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2.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3.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4.xml" ContentType="application/vnd.openxmlformats-officedocument.themeOverride+xml"/>
  <Override PartName="/xl/drawings/drawing6.xml" ContentType="application/vnd.openxmlformats-officedocument.drawing+xml"/>
  <Override PartName="/xl/comments5.xml" ContentType="application/vnd.openxmlformats-officedocument.spreadsheetml.comment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5.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6.xml" ContentType="application/vnd.openxmlformats-officedocument.themeOverrid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theme/themeOverride7.xml" ContentType="application/vnd.openxmlformats-officedocument.themeOverrid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theme/themeOverride8.xml" ContentType="application/vnd.openxmlformats-officedocument.themeOverrid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theme/themeOverride9.xml" ContentType="application/vnd.openxmlformats-officedocument.themeOverrid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theme/themeOverride10.xml" ContentType="application/vnd.openxmlformats-officedocument.themeOverrid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theme/themeOverride11.xml" ContentType="application/vnd.openxmlformats-officedocument.themeOverrid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theme/themeOverride12.xml" ContentType="application/vnd.openxmlformats-officedocument.themeOverrid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theme/themeOverride13.xml" ContentType="application/vnd.openxmlformats-officedocument.themeOverrid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theme/themeOverride14.xml" ContentType="application/vnd.openxmlformats-officedocument.themeOverrid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theme/themeOverride15.xml" ContentType="application/vnd.openxmlformats-officedocument.themeOverrid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theme/themeOverride16.xml" ContentType="application/vnd.openxmlformats-officedocument.themeOverrid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theme/themeOverride17.xml" ContentType="application/vnd.openxmlformats-officedocument.themeOverrid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theme/themeOverride18.xml" ContentType="application/vnd.openxmlformats-officedocument.themeOverrid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theme/themeOverride19.xml" ContentType="application/vnd.openxmlformats-officedocument.themeOverrid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theme/themeOverride20.xml" ContentType="application/vnd.openxmlformats-officedocument.themeOverrid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theme/themeOverride21.xml" ContentType="application/vnd.openxmlformats-officedocument.themeOverrid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theme/themeOverride22.xml" ContentType="application/vnd.openxmlformats-officedocument.themeOverrid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theme/themeOverride23.xml" ContentType="application/vnd.openxmlformats-officedocument.themeOverrid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theme/themeOverride24.xml" ContentType="application/vnd.openxmlformats-officedocument.themeOverrid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7.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drawings/drawing8.xml" ContentType="application/vnd.openxmlformats-officedocument.drawingml.chartshapes+xml"/>
  <Override PartName="/xl/charts/chart54.xml" ContentType="application/vnd.openxmlformats-officedocument.drawingml.chart+xml"/>
  <Override PartName="/xl/charts/style48.xml" ContentType="application/vnd.ms-office.chartstyle+xml"/>
  <Override PartName="/xl/charts/colors48.xml" ContentType="application/vnd.ms-office.chartcolorstyle+xml"/>
  <Override PartName="/xl/charts/chart55.xml" ContentType="application/vnd.openxmlformats-officedocument.drawingml.chart+xml"/>
  <Override PartName="/xl/charts/style49.xml" ContentType="application/vnd.ms-office.chartstyle+xml"/>
  <Override PartName="/xl/charts/colors49.xml" ContentType="application/vnd.ms-office.chartcolorstyle+xml"/>
  <Override PartName="/xl/charts/chart56.xml" ContentType="application/vnd.openxmlformats-officedocument.drawingml.chart+xml"/>
  <Override PartName="/xl/charts/style50.xml" ContentType="application/vnd.ms-office.chartstyle+xml"/>
  <Override PartName="/xl/charts/colors50.xml" ContentType="application/vnd.ms-office.chartcolorstyle+xml"/>
  <Override PartName="/xl/charts/chart57.xml" ContentType="application/vnd.openxmlformats-officedocument.drawingml.chart+xml"/>
  <Override PartName="/xl/charts/style51.xml" ContentType="application/vnd.ms-office.chartstyle+xml"/>
  <Override PartName="/xl/charts/colors51.xml" ContentType="application/vnd.ms-office.chartcolorstyle+xml"/>
  <Override PartName="/xl/charts/chart58.xml" ContentType="application/vnd.openxmlformats-officedocument.drawingml.chart+xml"/>
  <Override PartName="/xl/charts/style52.xml" ContentType="application/vnd.ms-office.chartstyle+xml"/>
  <Override PartName="/xl/charts/colors52.xml" ContentType="application/vnd.ms-office.chartcolorstyle+xml"/>
  <Override PartName="/xl/charts/chart59.xml" ContentType="application/vnd.openxmlformats-officedocument.drawingml.chart+xml"/>
  <Override PartName="/xl/charts/style53.xml" ContentType="application/vnd.ms-office.chartstyle+xml"/>
  <Override PartName="/xl/charts/colors53.xml" ContentType="application/vnd.ms-office.chartcolorstyle+xml"/>
  <Override PartName="/xl/charts/chart60.xml" ContentType="application/vnd.openxmlformats-officedocument.drawingml.chart+xml"/>
  <Override PartName="/xl/charts/style54.xml" ContentType="application/vnd.ms-office.chartstyle+xml"/>
  <Override PartName="/xl/charts/colors54.xml" ContentType="application/vnd.ms-office.chartcolorstyle+xml"/>
  <Override PartName="/xl/charts/chart61.xml" ContentType="application/vnd.openxmlformats-officedocument.drawingml.chart+xml"/>
  <Override PartName="/xl/charts/style55.xml" ContentType="application/vnd.ms-office.chartstyle+xml"/>
  <Override PartName="/xl/charts/colors55.xml" ContentType="application/vnd.ms-office.chartcolorstyle+xml"/>
  <Override PartName="/xl/charts/chart62.xml" ContentType="application/vnd.openxmlformats-officedocument.drawingml.chart+xml"/>
  <Override PartName="/xl/charts/style56.xml" ContentType="application/vnd.ms-office.chartstyle+xml"/>
  <Override PartName="/xl/charts/colors56.xml" ContentType="application/vnd.ms-office.chartcolorstyle+xml"/>
  <Override PartName="/xl/charts/chart63.xml" ContentType="application/vnd.openxmlformats-officedocument.drawingml.chart+xml"/>
  <Override PartName="/xl/charts/style57.xml" ContentType="application/vnd.ms-office.chartstyle+xml"/>
  <Override PartName="/xl/charts/colors57.xml" ContentType="application/vnd.ms-office.chartcolorstyle+xml"/>
  <Override PartName="/xl/charts/chart64.xml" ContentType="application/vnd.openxmlformats-officedocument.drawingml.chart+xml"/>
  <Override PartName="/xl/charts/style58.xml" ContentType="application/vnd.ms-office.chartstyle+xml"/>
  <Override PartName="/xl/charts/colors58.xml" ContentType="application/vnd.ms-office.chartcolorstyle+xml"/>
  <Override PartName="/xl/charts/chart65.xml" ContentType="application/vnd.openxmlformats-officedocument.drawingml.chart+xml"/>
  <Override PartName="/xl/charts/style59.xml" ContentType="application/vnd.ms-office.chartstyle+xml"/>
  <Override PartName="/xl/charts/colors59.xml" ContentType="application/vnd.ms-office.chartcolorstyle+xml"/>
  <Override PartName="/xl/charts/chart66.xml" ContentType="application/vnd.openxmlformats-officedocument.drawingml.chart+xml"/>
  <Override PartName="/xl/charts/style60.xml" ContentType="application/vnd.ms-office.chartstyle+xml"/>
  <Override PartName="/xl/charts/colors60.xml" ContentType="application/vnd.ms-office.chartcolorstyle+xml"/>
  <Override PartName="/xl/charts/chart67.xml" ContentType="application/vnd.openxmlformats-officedocument.drawingml.chart+xml"/>
  <Override PartName="/xl/charts/style61.xml" ContentType="application/vnd.ms-office.chartstyle+xml"/>
  <Override PartName="/xl/charts/colors61.xml" ContentType="application/vnd.ms-office.chartcolorstyle+xml"/>
  <Override PartName="/xl/charts/chart68.xml" ContentType="application/vnd.openxmlformats-officedocument.drawingml.chart+xml"/>
  <Override PartName="/xl/charts/style62.xml" ContentType="application/vnd.ms-office.chartstyle+xml"/>
  <Override PartName="/xl/charts/colors62.xml" ContentType="application/vnd.ms-office.chartcolorstyle+xml"/>
  <Override PartName="/xl/charts/chart69.xml" ContentType="application/vnd.openxmlformats-officedocument.drawingml.chart+xml"/>
  <Override PartName="/xl/charts/style63.xml" ContentType="application/vnd.ms-office.chartstyle+xml"/>
  <Override PartName="/xl/charts/colors63.xml" ContentType="application/vnd.ms-office.chartcolorstyle+xml"/>
  <Override PartName="/xl/charts/chart70.xml" ContentType="application/vnd.openxmlformats-officedocument.drawingml.chart+xml"/>
  <Override PartName="/xl/charts/style64.xml" ContentType="application/vnd.ms-office.chartstyle+xml"/>
  <Override PartName="/xl/charts/colors64.xml" ContentType="application/vnd.ms-office.chartcolorstyle+xml"/>
  <Override PartName="/xl/charts/chart71.xml" ContentType="application/vnd.openxmlformats-officedocument.drawingml.chart+xml"/>
  <Override PartName="/xl/charts/style65.xml" ContentType="application/vnd.ms-office.chartstyle+xml"/>
  <Override PartName="/xl/charts/colors65.xml" ContentType="application/vnd.ms-office.chartcolorstyle+xml"/>
  <Override PartName="/xl/charts/chart72.xml" ContentType="application/vnd.openxmlformats-officedocument.drawingml.chart+xml"/>
  <Override PartName="/xl/charts/style66.xml" ContentType="application/vnd.ms-office.chartstyle+xml"/>
  <Override PartName="/xl/charts/colors66.xml" ContentType="application/vnd.ms-office.chartcolorstyle+xml"/>
  <Override PartName="/xl/charts/chart73.xml" ContentType="application/vnd.openxmlformats-officedocument.drawingml.chart+xml"/>
  <Override PartName="/xl/charts/style67.xml" ContentType="application/vnd.ms-office.chartstyle+xml"/>
  <Override PartName="/xl/charts/colors67.xml" ContentType="application/vnd.ms-office.chartcolorstyle+xml"/>
  <Override PartName="/xl/charts/chart74.xml" ContentType="application/vnd.openxmlformats-officedocument.drawingml.chart+xml"/>
  <Override PartName="/xl/charts/style68.xml" ContentType="application/vnd.ms-office.chartstyle+xml"/>
  <Override PartName="/xl/charts/colors68.xml" ContentType="application/vnd.ms-office.chartcolorstyle+xml"/>
  <Override PartName="/xl/charts/chart75.xml" ContentType="application/vnd.openxmlformats-officedocument.drawingml.chart+xml"/>
  <Override PartName="/xl/charts/style69.xml" ContentType="application/vnd.ms-office.chartstyle+xml"/>
  <Override PartName="/xl/charts/colors69.xml" ContentType="application/vnd.ms-office.chartcolorstyle+xml"/>
  <Override PartName="/xl/charts/chart76.xml" ContentType="application/vnd.openxmlformats-officedocument.drawingml.chart+xml"/>
  <Override PartName="/xl/charts/style70.xml" ContentType="application/vnd.ms-office.chartstyle+xml"/>
  <Override PartName="/xl/charts/colors70.xml" ContentType="application/vnd.ms-office.chartcolorstyle+xml"/>
  <Override PartName="/xl/theme/themeOverride25.xml" ContentType="application/vnd.openxmlformats-officedocument.themeOverride+xml"/>
  <Override PartName="/xl/charts/chart77.xml" ContentType="application/vnd.openxmlformats-officedocument.drawingml.chart+xml"/>
  <Override PartName="/xl/charts/style71.xml" ContentType="application/vnd.ms-office.chartstyle+xml"/>
  <Override PartName="/xl/charts/colors71.xml" ContentType="application/vnd.ms-office.chartcolorstyle+xml"/>
  <Override PartName="/xl/theme/themeOverride26.xml" ContentType="application/vnd.openxmlformats-officedocument.themeOverride+xml"/>
  <Override PartName="/xl/charts/chart78.xml" ContentType="application/vnd.openxmlformats-officedocument.drawingml.chart+xml"/>
  <Override PartName="/xl/charts/style72.xml" ContentType="application/vnd.ms-office.chartstyle+xml"/>
  <Override PartName="/xl/charts/colors72.xml" ContentType="application/vnd.ms-office.chartcolorstyle+xml"/>
  <Override PartName="/xl/drawings/drawing9.xml" ContentType="application/vnd.openxmlformats-officedocument.drawing+xml"/>
  <Override PartName="/xl/drawings/drawing10.xml" ContentType="application/vnd.openxmlformats-officedocument.drawing+xml"/>
  <Override PartName="/xl/charts/chart79.xml" ContentType="application/vnd.openxmlformats-officedocument.drawingml.chart+xml"/>
  <Override PartName="/xl/charts/style73.xml" ContentType="application/vnd.ms-office.chartstyle+xml"/>
  <Override PartName="/xl/charts/colors7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newstreet1385.sharepoint.com/sites/Corp/Shared/TELECOMS/STOCKS/EMEA/Latam/Megacable/Model/"/>
    </mc:Choice>
  </mc:AlternateContent>
  <xr:revisionPtr revIDLastSave="867" documentId="8_{C55957A1-8A08-4320-81BB-66FDB249B695}" xr6:coauthVersionLast="47" xr6:coauthVersionMax="47" xr10:uidLastSave="{A10AF861-E351-491F-A6F0-1F2F96C4B167}"/>
  <bookViews>
    <workbookView xWindow="-120" yWindow="-120" windowWidth="29040" windowHeight="15720" tabRatio="757" activeTab="8" xr2:uid="{00000000-000D-0000-FFFF-FFFF00000000}"/>
  </bookViews>
  <sheets>
    <sheet name="Cover" sheetId="11" r:id="rId1"/>
    <sheet name="Summary" sheetId="12" r:id="rId2"/>
    <sheet name="Valuation" sheetId="6" r:id="rId3"/>
    <sheet name="Master" sheetId="1" r:id="rId4"/>
    <sheet name="Fixed" sheetId="2" r:id="rId5"/>
    <sheet name="Mobile" sheetId="5" r:id="rId6"/>
    <sheet name="Quarts" sheetId="3" r:id="rId7"/>
    <sheet name="Earnings snaps" sheetId="13" r:id="rId8"/>
    <sheet name="Anna" sheetId="9" r:id="rId9"/>
    <sheet name="Market BB quarts" sheetId="14" r:id="rId10"/>
    <sheet name="Analysis" sheetId="7" r:id="rId11"/>
    <sheet name="Notes" sheetId="4" r:id="rId12"/>
    <sheet name="PF model" sheetId="15" r:id="rId13"/>
    <sheet name="FKLink" sheetId="10" r:id="rId14"/>
    <sheet name="Sheet1" sheetId="16" r:id="rId15"/>
    <sheet name="Sheet2" sheetId="17"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__" localSheetId="13">#REF!</definedName>
    <definedName name="___">#REF!</definedName>
    <definedName name="________yr1996" localSheetId="13">#REF!</definedName>
    <definedName name="________yr1996">#REF!</definedName>
    <definedName name="___yr1996">#REF!</definedName>
    <definedName name="__FDS_HYPERLINK_TOGGLE_STATE__" hidden="1">"ON"</definedName>
    <definedName name="_1993A">#REF!</definedName>
    <definedName name="_1994A">#REF!</definedName>
    <definedName name="_1995">#REF!</definedName>
    <definedName name="_1995A">#REF!</definedName>
    <definedName name="_1996">#REF!</definedName>
    <definedName name="_1996A">#REF!</definedName>
    <definedName name="_1997">#REF!</definedName>
    <definedName name="_1997A">#REF!</definedName>
    <definedName name="_1998">#REF!</definedName>
    <definedName name="_1998E">#REF!</definedName>
    <definedName name="_1999">#REF!</definedName>
    <definedName name="_1999E">#REF!</definedName>
    <definedName name="_2000">#REF!</definedName>
    <definedName name="_2000E">#REF!</definedName>
    <definedName name="_2001">#REF!</definedName>
    <definedName name="_2001E">#REF!</definedName>
    <definedName name="_2002">#REF!</definedName>
    <definedName name="_2002E">#REF!</definedName>
    <definedName name="_2003E">#REF!</definedName>
    <definedName name="_2004E">#REF!</definedName>
    <definedName name="_2005E">#REF!</definedName>
    <definedName name="_Admin" hidden="1">"No"</definedName>
    <definedName name="_Fill" hidden="1">#REF!</definedName>
    <definedName name="_xlnm._FilterDatabase" localSheetId="1" hidden="1">#REF!</definedName>
    <definedName name="_xlnm._FilterDatabase" hidden="1">#REF!</definedName>
    <definedName name="_GSR008" hidden="1">[1]Equipment!$E$134:$DT$134</definedName>
    <definedName name="_GSR012" hidden="1">[1]Equipment!$E$185:$DT$185</definedName>
    <definedName name="_InAdmin" hidden="1">"No"</definedName>
    <definedName name="_Key1" localSheetId="0" hidden="1">#REF!</definedName>
    <definedName name="_Key1" localSheetId="1" hidden="1">#REF!</definedName>
    <definedName name="_Key1" hidden="1">#REF!</definedName>
    <definedName name="_LegalOk" hidden="1">"No"</definedName>
    <definedName name="_MC16" hidden="1">[1]Equipment!$E$80:$DT$80</definedName>
    <definedName name="_MC28" hidden="1">[1]Equipment!$E$77:$DT$77</definedName>
    <definedName name="_Order1" hidden="1">255</definedName>
    <definedName name="_Order2" hidden="1">0</definedName>
    <definedName name="_Sort" localSheetId="0" hidden="1">#REF!</definedName>
    <definedName name="_Sort" localSheetId="1" hidden="1">#REF!</definedName>
    <definedName name="_Sort" hidden="1">#REF!</definedName>
    <definedName name="_UP">#REF!</definedName>
    <definedName name="_yr1996">#REF!</definedName>
    <definedName name="a_sted">'[2]A-sted'!$A$8:$J$52</definedName>
    <definedName name="a_sted_akk">'[2]A-sted'!$O$8:$AA$59</definedName>
    <definedName name="adfa" localSheetId="1" hidden="1">#REF!</definedName>
    <definedName name="adfa" hidden="1">#REF!</definedName>
    <definedName name="anscount" localSheetId="0" hidden="1">2</definedName>
    <definedName name="anscount" localSheetId="1" hidden="1">2</definedName>
    <definedName name="anscount" hidden="1">1</definedName>
    <definedName name="Användare">#REF!</definedName>
    <definedName name="AP" hidden="1">[1]Model!$E$41</definedName>
    <definedName name="aRG">#REF!</definedName>
    <definedName name="ARPUInput" hidden="1">[1]Model!$E$142:$DT$142</definedName>
    <definedName name="asdfdf" localSheetId="1" hidden="1">{#N/A,#N/A,FALSE,"Statement of Ops";#N/A,#N/A,FALSE,"Trend Ops"}</definedName>
    <definedName name="asdfdf" hidden="1">{#N/A,#N/A,FALSE,"Statement of Ops";#N/A,#N/A,FALSE,"Trend Ops"}</definedName>
    <definedName name="assoc">#REF!</definedName>
    <definedName name="Assumptions" hidden="1">[1]Model!$A$30:$A$122</definedName>
    <definedName name="Austria_telenor_mobile_export">[3]IM!#REF!</definedName>
    <definedName name="AvgVoiceLines" hidden="1">[1]Model!$E$136:$DT$136</definedName>
    <definedName name="Balance_Sheet" hidden="1">'[1]Financial Statements'!$A$126:$A$177</definedName>
    <definedName name="bb" localSheetId="1" hidden="1">{#N/A,#N/A,FALSE,"Statement of Ops";#N/A,#N/A,FALSE,"Trend Ops"}</definedName>
    <definedName name="bb" hidden="1">{#N/A,#N/A,FALSE,"Statement of Ops";#N/A,#N/A,FALSE,"Trend Ops"}</definedName>
    <definedName name="Belgium_Belgacom_fixed_export">#REF!</definedName>
    <definedName name="Belgium_Belgacom_mobile_export">#REF!</definedName>
    <definedName name="bondcos">#REF!</definedName>
    <definedName name="bondcost">#REF!</definedName>
    <definedName name="BPackClust" hidden="1">[1]Equipment!$E$226:$DT$226</definedName>
    <definedName name="BPackRTU" hidden="1">[1]Equipment!$E$220:$DT$220</definedName>
    <definedName name="BPackRTUCapex" hidden="1">[1]Capex!$E$220:$DT$220</definedName>
    <definedName name="BPackRTULife" hidden="1">[1]Capex!$C$116</definedName>
    <definedName name="BPackRTUMaint" hidden="1">[1]Capex!$E$248:$DT$248</definedName>
    <definedName name="bsminority">#REF!</definedName>
    <definedName name="BT_Att">#REF!</definedName>
    <definedName name="BT_BSMins">#REF!</definedName>
    <definedName name="BT_CFPS">#REF!</definedName>
    <definedName name="BT_CFPS_fd">#REF!</definedName>
    <definedName name="BT_DPS">#REF!</definedName>
    <definedName name="BT_DtoE">#REF!</definedName>
    <definedName name="BT_EBITDA">#REF!</definedName>
    <definedName name="BT_EPS_fd">#REF!</definedName>
    <definedName name="BT_FA">#REF!</definedName>
    <definedName name="BT_Min">#REF!</definedName>
    <definedName name="BT_Minorities">#REF!</definedName>
    <definedName name="BT_Mins">#REF!</definedName>
    <definedName name="BT_NAV">#REF!</definedName>
    <definedName name="BT_NDebt">#REF!</definedName>
    <definedName name="BT_netdebt">#REF!</definedName>
    <definedName name="BT_Provs">#REF!</definedName>
    <definedName name="BT_R">#REF!</definedName>
    <definedName name="BT_Rec">#REF!</definedName>
    <definedName name="BT_ROCE">#REF!</definedName>
    <definedName name="BT_ROE">#REF!</definedName>
    <definedName name="BT_Sales">#REF!</definedName>
    <definedName name="BT_Shf">#REF!</definedName>
    <definedName name="BT_Shissued">#REF!</definedName>
    <definedName name="BT_UK_export">[4]IM!$K$12:$AL$48</definedName>
    <definedName name="BT_UP">#REF!</definedName>
    <definedName name="BTS" hidden="1">[1]Equipment!$E$212:$DT$212</definedName>
    <definedName name="BTSAppRTUCapex" hidden="1">[1]Capex!$E$218:$DT$218</definedName>
    <definedName name="BTSAppRTULife" hidden="1">[1]Capex!$C$114</definedName>
    <definedName name="BTSAppRTUMaint" hidden="1">[1]Capex!$E$247:$DT$247</definedName>
    <definedName name="BTSLife" hidden="1">[1]Capex!$C$112</definedName>
    <definedName name="BTSPlatRTUCapex" hidden="1">[1]Capex!$E$217:$DT$217</definedName>
    <definedName name="BTSPlatRTULife" hidden="1">[1]Capex!$C$113</definedName>
    <definedName name="BTSPlatRTUMaint" hidden="1">[1]Capex!$E$246:$DT$246</definedName>
    <definedName name="BTSRTU" hidden="1">[1]Equipment!$E$206:$DT$206</definedName>
    <definedName name="CalcSetting" hidden="1">[1]Equipment!$B$10</definedName>
    <definedName name="CallMgmtPctInbound" hidden="1">[1]Model!$E$118:$DT$118</definedName>
    <definedName name="CallMgmtPctOutbound" hidden="1">[1]Model!$E$119:$DT$119</definedName>
    <definedName name="Capital_Employed">#REF!</definedName>
    <definedName name="Card" hidden="1">[1]Equipment!$E$40:$DT$40</definedName>
    <definedName name="CardInput" hidden="1">'[1]Capex Input'!$E$48:$DT$48</definedName>
    <definedName name="cash">#REF!</definedName>
    <definedName name="Cash_Flow_Statement" hidden="1">'[1]Financial Statements'!$A$69:$A$122</definedName>
    <definedName name="casheps">#REF!</definedName>
    <definedName name="changend">#REF!</definedName>
    <definedName name="Chile">#REF!</definedName>
    <definedName name="CHT" hidden="1">[1]Equipment!$E$202:$DT$202</definedName>
    <definedName name="CHTInput" hidden="1">'[1]Capex Input'!$E$41:$DT$41</definedName>
    <definedName name="CMTSInputs" hidden="1">[1]Equipment!$E$13:$DT$57</definedName>
    <definedName name="CMTSOutputs" hidden="1">[1]Equipment!$E$59:$DT$68</definedName>
    <definedName name="CNAMPctInbound" hidden="1">[1]Model!$E$116:$DT$116</definedName>
    <definedName name="CNAMPctOutbound" hidden="1">[1]Model!$E$117:$DT$117</definedName>
    <definedName name="CodecInput" hidden="1">'[1]Capex Input'!$E$33:$DT$33</definedName>
    <definedName name="Cognit" hidden="1">[1]Equipment!$E$235:$DT$235</definedName>
    <definedName name="ColCount" hidden="1">[1]Equipment!$B$11</definedName>
    <definedName name="Company_Code">[5]Front!$E$10</definedName>
    <definedName name="Company_Name">[5]Front!$E$11</definedName>
    <definedName name="Core_old__BT_cap_ex">#REF!</definedName>
    <definedName name="corecapex">#REF!</definedName>
    <definedName name="cost_of_capital" hidden="1">[1]Model!$E$43</definedName>
    <definedName name="CPE">#REF!</definedName>
    <definedName name="CPULimit" hidden="1">[1]Equipment!$E$56:$DT$56</definedName>
    <definedName name="CPUPerDataSub" hidden="1">[1]Equipment!$E$36:$DT$36</definedName>
    <definedName name="CPUPerDS0" hidden="1">[1]Equipment!$E$35:$DT$35</definedName>
    <definedName name="CPUUtil" hidden="1">[1]Equipment!$E$63:$DT$63</definedName>
    <definedName name="CPUUtilData" hidden="1">[1]Equipment!$E$68:$DT$68</definedName>
    <definedName name="creditors">#REF!</definedName>
    <definedName name="cueps">#REF!</definedName>
    <definedName name="Currency">[5]Front!$E$15</definedName>
    <definedName name="Datatabell">#REF!</definedName>
    <definedName name="Date">[5]Front!$E$16</definedName>
    <definedName name="DB" localSheetId="1">"WIRENYPROD"</definedName>
    <definedName name="DB">"WIREUK"</definedName>
    <definedName name="DCF_Valuation">[6]UK!#REF!</definedName>
    <definedName name="debtors">#REF!</definedName>
    <definedName name="depre">#REF!</definedName>
    <definedName name="depreciation">#REF!</definedName>
    <definedName name="dere" localSheetId="1" hidden="1">{#N/A,#N/A,FALSE,"Statement of Ops";#N/A,#N/A,FALSE,"Trend Ops"}</definedName>
    <definedName name="dere" hidden="1">{#N/A,#N/A,FALSE,"Statement of Ops";#N/A,#N/A,FALSE,"Trend Ops"}</definedName>
    <definedName name="dfdfd" localSheetId="1" hidden="1">{#N/A,#N/A,FALSE,"Statement of Ops";#N/A,#N/A,FALSE,"Trend Ops"}</definedName>
    <definedName name="dfdfd" hidden="1">{#N/A,#N/A,FALSE,"Statement of Ops";#N/A,#N/A,FALSE,"Trend Ops"}</definedName>
    <definedName name="dfsdf" localSheetId="1" hidden="1">{#N/A,#N/A,FALSE,"Statement of Ops";#N/A,#N/A,FALSE,"Trend Ops"}</definedName>
    <definedName name="dfsdf" hidden="1">{#N/A,#N/A,FALSE,"Statement of Ops";#N/A,#N/A,FALSE,"Trend Ops"}</definedName>
    <definedName name="disposals">#REF!</definedName>
    <definedName name="divpaid">#REF!</definedName>
    <definedName name="dps">#REF!</definedName>
    <definedName name="dsf" localSheetId="1" hidden="1">{#N/A,#N/A,FALSE,"Statement of Ops";#N/A,#N/A,FALSE,"Trend Ops"}</definedName>
    <definedName name="dsf" hidden="1">{#N/A,#N/A,FALSE,"Statement of Ops";#N/A,#N/A,FALSE,"Trend Ops"}</definedName>
    <definedName name="DSPerDataSub" hidden="1">[1]Equipment!$E$30:$DT$30</definedName>
    <definedName name="DSPerDataSubInput" hidden="1">'[1]Capex Input'!$E$42:$DT$42</definedName>
    <definedName name="DSPerDom" hidden="1">[1]Equipment!$E$46:$DT$46</definedName>
    <definedName name="DSPerDS0" hidden="1">[1]Equipment!$E$24:$DT$24</definedName>
    <definedName name="DSUtil" hidden="1">[1]Equipment!$E$60:$DT$60</definedName>
    <definedName name="DSUtilData" hidden="1">[1]Equipment!$E$65:$DT$65</definedName>
    <definedName name="DualPctData" hidden="1">[1]Capex!$E$32:$DT$32</definedName>
    <definedName name="DualPctVoiceInput" hidden="1">[1]Model!$E$86:$DT$86</definedName>
    <definedName name="eeeeeeeeee" localSheetId="1" hidden="1">{#N/A,#N/A,FALSE,"Statement of Ops";#N/A,#N/A,FALSE,"Trend Ops"}</definedName>
    <definedName name="eeeeeeeeee" hidden="1">{#N/A,#N/A,FALSE,"Statement of Ops";#N/A,#N/A,FALSE,"Trend Ops"}</definedName>
    <definedName name="EgenRappPath">#REF!</definedName>
    <definedName name="eps">#REF!</definedName>
    <definedName name="Equipment_and_CAPEX" hidden="1">[1]Model!$A$199:$A$265</definedName>
    <definedName name="erere" localSheetId="1" hidden="1">{#N/A,#N/A,FALSE,"Statement of Ops";#N/A,#N/A,FALSE,"Trend Ops"}</definedName>
    <definedName name="erere" hidden="1">{#N/A,#N/A,FALSE,"Statement of Ops";#N/A,#N/A,FALSE,"Trend Ops"}</definedName>
    <definedName name="ererere" localSheetId="1" hidden="1">{#N/A,#N/A,FALSE,"Statement of Ops";#N/A,#N/A,FALSE,"Trend Ops"}</definedName>
    <definedName name="ererere" hidden="1">{#N/A,#N/A,FALSE,"Statement of Ops";#N/A,#N/A,FALSE,"Trend Ops"}</definedName>
    <definedName name="ErlangsPerLine" hidden="1">[1]Equipment!$E$29:$DT$29</definedName>
    <definedName name="ErlangsPerLineInput" hidden="1">'[1]Capex Input'!$E$40:$DT$40</definedName>
    <definedName name="F.1981.03">#REF!</definedName>
    <definedName name="F.1982.03">#REF!</definedName>
    <definedName name="F.1983.03">#REF!</definedName>
    <definedName name="F.1984.03">#REF!</definedName>
    <definedName name="F.1985.03">#REF!</definedName>
    <definedName name="F.1986.03">#REF!</definedName>
    <definedName name="F.1987.03">#REF!</definedName>
    <definedName name="F.1988.03">#REF!</definedName>
    <definedName name="F.1989.03">#REF!</definedName>
    <definedName name="F.1990.03">#REF!</definedName>
    <definedName name="F.1991.03">#REF!</definedName>
    <definedName name="F.1992.03">#REF!</definedName>
    <definedName name="F.1993.03">#REF!</definedName>
    <definedName name="F.1994.03">#REF!</definedName>
    <definedName name="F.1995.03">#REF!</definedName>
    <definedName name="F.1998.03">#REF!</definedName>
    <definedName name="fcf">#REF!</definedName>
    <definedName name="France_Telecom">#REF!</definedName>
    <definedName name="France_Telecom_Belgium_mobile_interconnect_receipts">#REF!</definedName>
    <definedName name="France_Telecom_Belgium_mobile_interconnect_receipts_from_fixed_operators">#REF!</definedName>
    <definedName name="France_Telecom_Belgium_mobile_interconnect_receipts_from_mobile_operators">#REF!</definedName>
    <definedName name="France_Telecom_Belgium_mobile_other_revenue">#REF!</definedName>
    <definedName name="France_Telecom_Belgium_mobile_retail_and_wholesale_services_revenue">#REF!</definedName>
    <definedName name="France_Telecom_Belgium_mobile_retail_revenue">#REF!</definedName>
    <definedName name="France_Telecom_Belgium_mobile_retail_subscribers">#REF!</definedName>
    <definedName name="France_Telecom_Belgium_mobile_revenue">#REF!</definedName>
    <definedName name="France_Telecom_Belgium_mobile_wholesale_revenue">#REF!</definedName>
    <definedName name="France_Telecom_Belgium_mobile_wholesale_subscribers">#REF!</definedName>
    <definedName name="France_Telecom_Denmark_mobile_interconnect_receipts">#REF!</definedName>
    <definedName name="France_Telecom_Denmark_mobile_interconnect_receipts_from_fixed_operators">#REF!</definedName>
    <definedName name="France_Telecom_Denmark_mobile_interconnect_receipts_from_mobile_operators">#REF!</definedName>
    <definedName name="France_Telecom_Denmark_mobile_other_revenue">#REF!</definedName>
    <definedName name="France_Telecom_Denmark_mobile_retail_and_wholesale_services_revenue">#REF!</definedName>
    <definedName name="France_Telecom_Denmark_mobile_retail_revenue">#REF!</definedName>
    <definedName name="France_Telecom_Denmark_mobile_retail_subscribers">#REF!</definedName>
    <definedName name="France_Telecom_Denmark_mobile_revenue">#REF!</definedName>
    <definedName name="France_Telecom_Denmark_mobile_wholesale_revenue">#REF!</definedName>
    <definedName name="France_Telecom_Denmark_mobile_wholesale_subscribers">#REF!</definedName>
    <definedName name="France_Telecom_Egypt_mobile_interconnect_receipts">#REF!</definedName>
    <definedName name="France_Telecom_Egypt_mobile_interconnect_receipts_from_fixed_operators">#REF!</definedName>
    <definedName name="France_Telecom_Egypt_mobile_interconnect_receipts_from_mobile_operators">#REF!</definedName>
    <definedName name="France_Telecom_Egypt_mobile_other_revenue">#REF!</definedName>
    <definedName name="France_Telecom_Egypt_mobile_retail_and_wholesale_services_revenue">#REF!</definedName>
    <definedName name="France_Telecom_Egypt_mobile_retail_revenue">#REF!</definedName>
    <definedName name="France_Telecom_Egypt_mobile_retail_subscribers">#REF!</definedName>
    <definedName name="France_Telecom_Egypt_mobile_revenue">#REF!</definedName>
    <definedName name="France_Telecom_Egypt_mobile_wholesale_revenue">#REF!</definedName>
    <definedName name="France_Telecom_Egypt_mobile_wholesale_subscribers">#REF!</definedName>
    <definedName name="France_Telecom_France_fixed_broadband_revenue__business">#REF!</definedName>
    <definedName name="France_Telecom_France_fixed_broadband_revenue__residential">#REF!</definedName>
    <definedName name="France_Telecom_France_fixed_broadband_revenue__residential___business">#REF!</definedName>
    <definedName name="France_Telecom_France_fixed_interconnect_receipts">#REF!</definedName>
    <definedName name="France_Telecom_France_fixed_interconnect_receipts_from_fixed_operators">#REF!</definedName>
    <definedName name="France_Telecom_France_fixed_interconnect_receipts_from_mobile_operators">#REF!</definedName>
    <definedName name="France_Telecom_France_fixed_other_revenue">#REF!</definedName>
    <definedName name="France_Telecom_France_fixed_retail_and_wholesale_services_revenue">#REF!</definedName>
    <definedName name="France_Telecom_France_fixed_retail_broadband_business_sites">#REF!</definedName>
    <definedName name="France_Telecom_France_fixed_retail_broadband_homes">#REF!</definedName>
    <definedName name="France_Telecom_France_fixed_retail_broadband_sites__homes_and_businesses">#REF!</definedName>
    <definedName name="France_Telecom_France_fixed_retail_business_sites">#REF!</definedName>
    <definedName name="France_Telecom_France_fixed_retail_homes">#REF!</definedName>
    <definedName name="France_Telecom_France_fixed_retail_lines__business">#REF!</definedName>
    <definedName name="France_Telecom_France_fixed_retail_lines__ISDN">#REF!</definedName>
    <definedName name="France_Telecom_France_fixed_retail_lines__PSTN">#REF!</definedName>
    <definedName name="France_Telecom_France_fixed_retail_lines__PSTN___ISDN">#REF!</definedName>
    <definedName name="France_Telecom_France_fixed_retail_lines__residential">#REF!</definedName>
    <definedName name="France_Telecom_France_fixed_retail_lines__residential___business">#REF!</definedName>
    <definedName name="France_Telecom_France_fixed_retail_revenue__business">#REF!</definedName>
    <definedName name="France_Telecom_France_fixed_retail_revenue__residential">#REF!</definedName>
    <definedName name="France_Telecom_France_fixed_retail_revenue__residential___business">#REF!</definedName>
    <definedName name="France_Telecom_France_fixed_revenue">#REF!</definedName>
    <definedName name="France_Telecom_France_fixed_wholesale_and_interconnect_services_revenue">#REF!</definedName>
    <definedName name="France_Telecom_France_fixed_wholesale_broadband_business_sites">#REF!</definedName>
    <definedName name="France_Telecom_France_fixed_wholesale_broadband_homes">#REF!</definedName>
    <definedName name="France_Telecom_France_fixed_wholesale_broadband_sites__homes_and_businesses">#REF!</definedName>
    <definedName name="France_Telecom_France_fixed_wholesale_business_sites">#REF!</definedName>
    <definedName name="France_Telecom_France_fixed_wholesale_homes">#REF!</definedName>
    <definedName name="France_Telecom_France_fixed_wholesale_lines__business">#REF!</definedName>
    <definedName name="France_Telecom_France_fixed_wholesale_lines__ISDN">#REF!</definedName>
    <definedName name="France_Telecom_France_fixed_wholesale_lines__PSTN">#REF!</definedName>
    <definedName name="France_Telecom_France_fixed_wholesale_lines__PSTN___ISDN">#REF!</definedName>
    <definedName name="France_Telecom_France_fixed_wholesale_lines__residential">#REF!</definedName>
    <definedName name="France_Telecom_France_fixed_wholesale_lines__residential___business">#REF!</definedName>
    <definedName name="France_Telecom_France_fixed_wholesale_revenue">#REF!</definedName>
    <definedName name="France_Telecom_France_mobile_interconnect_receipts">#REF!</definedName>
    <definedName name="France_Telecom_France_mobile_interconnect_receipts_from_fixed_operators">#REF!</definedName>
    <definedName name="France_Telecom_France_mobile_interconnect_receipts_from_mobile_operators">#REF!</definedName>
    <definedName name="France_Telecom_France_mobile_other_revenue">#REF!</definedName>
    <definedName name="France_Telecom_France_mobile_retail_and_wholesale_services_revenue">#REF!</definedName>
    <definedName name="France_Telecom_France_mobile_retail_revenue">#REF!</definedName>
    <definedName name="France_Telecom_France_mobile_retail_subscribers">#REF!</definedName>
    <definedName name="France_Telecom_France_mobile_revenue">#REF!</definedName>
    <definedName name="France_Telecom_France_mobile_wholesale_revenue">#REF!</definedName>
    <definedName name="France_Telecom_France_mobile_wholesale_subscribers">#REF!</definedName>
    <definedName name="France_Telecom_Netherlands_mobile_interconnect_receipts">#REF!</definedName>
    <definedName name="France_Telecom_Netherlands_mobile_interconnect_receipts_from_fixed_operators">#REF!</definedName>
    <definedName name="France_Telecom_Netherlands_mobile_interconnect_receipts_from_mobile_operators">#REF!</definedName>
    <definedName name="France_Telecom_Netherlands_mobile_other_revenue">#REF!</definedName>
    <definedName name="France_Telecom_Netherlands_mobile_retail_and_wholesale_services_revenue">#REF!</definedName>
    <definedName name="France_Telecom_Netherlands_mobile_retail_revenue">#REF!</definedName>
    <definedName name="France_Telecom_Netherlands_mobile_retail_subscribers">#REF!</definedName>
    <definedName name="France_Telecom_Netherlands_mobile_revenue">#REF!</definedName>
    <definedName name="France_Telecom_Netherlands_mobile_wholesale_revenue">#REF!</definedName>
    <definedName name="France_Telecom_Netherlands_mobile_wholesale_subscribers">#REF!</definedName>
    <definedName name="France_Telecom_Poland_fixed_broadband_revenue__business">#REF!</definedName>
    <definedName name="France_Telecom_Poland_fixed_broadband_revenue__residential">#REF!</definedName>
    <definedName name="France_Telecom_Poland_fixed_broadband_revenue__residential___business">#REF!</definedName>
    <definedName name="France_Telecom_Poland_fixed_interconnect_receipts">#REF!</definedName>
    <definedName name="France_Telecom_Poland_fixed_interconnect_receipts_from_fixed_operators">#REF!</definedName>
    <definedName name="France_Telecom_Poland_fixed_interconnect_receipts_from_mobile_operators">#REF!</definedName>
    <definedName name="France_Telecom_Poland_fixed_other_revenue">#REF!</definedName>
    <definedName name="France_Telecom_Poland_fixed_retail_and_wholesale_services_revenue">#REF!</definedName>
    <definedName name="France_Telecom_Poland_fixed_retail_broadband_business_sites">#REF!</definedName>
    <definedName name="France_Telecom_Poland_fixed_retail_broadband_homes">#REF!</definedName>
    <definedName name="France_Telecom_Poland_fixed_retail_broadband_sites__homes_and_businesses">#REF!</definedName>
    <definedName name="France_Telecom_Poland_fixed_retail_business_sites">#REF!</definedName>
    <definedName name="France_Telecom_Poland_fixed_retail_homes">#REF!</definedName>
    <definedName name="France_Telecom_Poland_fixed_retail_lines__business">#REF!</definedName>
    <definedName name="France_Telecom_Poland_fixed_retail_lines__ISDN">#REF!</definedName>
    <definedName name="France_Telecom_Poland_fixed_retail_lines__PSTN">#REF!</definedName>
    <definedName name="France_Telecom_Poland_fixed_retail_lines__PSTN___ISDN">#REF!</definedName>
    <definedName name="France_Telecom_Poland_fixed_retail_lines__residential">#REF!</definedName>
    <definedName name="France_Telecom_Poland_fixed_retail_lines__residential___business">#REF!</definedName>
    <definedName name="France_Telecom_Poland_fixed_retail_revenue__business">#REF!</definedName>
    <definedName name="France_Telecom_Poland_fixed_retail_revenue__residential">#REF!</definedName>
    <definedName name="France_Telecom_Poland_fixed_retail_revenue__residential___business">#REF!</definedName>
    <definedName name="France_Telecom_Poland_fixed_revenue">#REF!</definedName>
    <definedName name="France_Telecom_Poland_fixed_wholesale_and_interconnect_services_revenue">#REF!</definedName>
    <definedName name="France_Telecom_Poland_fixed_wholesale_broadband_business_sites">#REF!</definedName>
    <definedName name="France_Telecom_Poland_fixed_wholesale_broadband_homes">#REF!</definedName>
    <definedName name="France_Telecom_Poland_fixed_wholesale_broadband_sites__homes_and_businesses">#REF!</definedName>
    <definedName name="France_Telecom_Poland_fixed_wholesale_business_sites">#REF!</definedName>
    <definedName name="France_Telecom_Poland_fixed_wholesale_homes">#REF!</definedName>
    <definedName name="France_Telecom_Poland_fixed_wholesale_lines__business">#REF!</definedName>
    <definedName name="France_Telecom_Poland_fixed_wholesale_lines__ISDN">#REF!</definedName>
    <definedName name="France_Telecom_Poland_fixed_wholesale_lines__PSTN">#REF!</definedName>
    <definedName name="France_Telecom_Poland_fixed_wholesale_lines__PSTN___ISDN">#REF!</definedName>
    <definedName name="France_Telecom_Poland_fixed_wholesale_lines__residential">#REF!</definedName>
    <definedName name="France_Telecom_Poland_fixed_wholesale_lines__residential___business">#REF!</definedName>
    <definedName name="France_Telecom_Poland_fixed_wholesale_revenue">#REF!</definedName>
    <definedName name="France_Telecom_Poland_mobile_interconnect_receipts">#REF!</definedName>
    <definedName name="France_Telecom_Poland_mobile_interconnect_receipts_from_fixed_operators">#REF!</definedName>
    <definedName name="France_Telecom_Poland_mobile_interconnect_receipts_from_mobile_operators">#REF!</definedName>
    <definedName name="France_Telecom_Poland_mobile_other_revenue">#REF!</definedName>
    <definedName name="France_Telecom_Poland_mobile_retail_and_wholesale_services_revenue">#REF!</definedName>
    <definedName name="France_Telecom_Poland_mobile_retail_revenue">#REF!</definedName>
    <definedName name="France_Telecom_Poland_mobile_retail_subscribers">#REF!</definedName>
    <definedName name="France_Telecom_Poland_mobile_revenue">#REF!</definedName>
    <definedName name="France_Telecom_Poland_mobile_wholesale_revenue">#REF!</definedName>
    <definedName name="France_Telecom_Poland_mobile_wholesale_subscribers">#REF!</definedName>
    <definedName name="France_Telecom_Romania_mobile_interconnect_receipts">#REF!</definedName>
    <definedName name="France_Telecom_Romania_mobile_interconnect_receipts_from_fixed_operators">#REF!</definedName>
    <definedName name="France_Telecom_Romania_mobile_interconnect_receipts_from_mobile_operators">#REF!</definedName>
    <definedName name="France_Telecom_Romania_mobile_other_revenue">#REF!</definedName>
    <definedName name="France_Telecom_Romania_mobile_retail_and_wholesale_services_revenue">#REF!</definedName>
    <definedName name="France_Telecom_Romania_mobile_retail_revenue">#REF!</definedName>
    <definedName name="France_Telecom_Romania_mobile_retail_subscribers">#REF!</definedName>
    <definedName name="France_Telecom_Romania_mobile_revenue">#REF!</definedName>
    <definedName name="France_Telecom_Romania_mobile_wholesale_revenue">#REF!</definedName>
    <definedName name="France_Telecom_Romania_mobile_wholesale_subscribers">#REF!</definedName>
    <definedName name="France_Telecom_Slovakia_mobile_interconnect_receipts">#REF!</definedName>
    <definedName name="France_Telecom_Slovakia_mobile_interconnect_receipts_from_fixed_operators">#REF!</definedName>
    <definedName name="France_Telecom_Slovakia_mobile_interconnect_receipts_from_mobile_operators">#REF!</definedName>
    <definedName name="France_Telecom_Slovakia_mobile_other_revenue">#REF!</definedName>
    <definedName name="France_Telecom_Slovakia_mobile_retail_and_wholesale_services_revenue">#REF!</definedName>
    <definedName name="France_Telecom_Slovakia_mobile_retail_revenue">#REF!</definedName>
    <definedName name="France_Telecom_Slovakia_mobile_retail_subscribers">#REF!</definedName>
    <definedName name="France_Telecom_Slovakia_mobile_revenue">#REF!</definedName>
    <definedName name="France_Telecom_Slovakia_mobile_wholesale_revenue">#REF!</definedName>
    <definedName name="France_Telecom_Slovakia_mobile_wholesale_subscribers">#REF!</definedName>
    <definedName name="France_Telecom_Switzerland_mobile_interconnect_receipts">#REF!</definedName>
    <definedName name="France_Telecom_Switzerland_mobile_interconnect_receipts_from_fixed_operators">#REF!</definedName>
    <definedName name="France_Telecom_Switzerland_mobile_interconnect_receipts_from_mobile_operators">#REF!</definedName>
    <definedName name="France_Telecom_Switzerland_mobile_other_revenue">#REF!</definedName>
    <definedName name="France_Telecom_Switzerland_mobile_retail_and_wholesale_services_revenue">#REF!</definedName>
    <definedName name="France_Telecom_Switzerland_mobile_retail_revenue">#REF!</definedName>
    <definedName name="France_Telecom_Switzerland_mobile_retail_subscribers">#REF!</definedName>
    <definedName name="France_Telecom_Switzerland_mobile_revenue">#REF!</definedName>
    <definedName name="France_Telecom_Switzerland_mobile_wholesale_revenue">#REF!</definedName>
    <definedName name="France_Telecom_Switzerland_mobile_wholesale_subscribers">#REF!</definedName>
    <definedName name="France_Telecom2">#REF!</definedName>
    <definedName name="France_TelecomFrancefixedretail_revenue__residential">#REF!</definedName>
    <definedName name="FT">#REF!</definedName>
    <definedName name="g_Cumulative_Net_Income" hidden="1">[1]Results!$P$157:$AH$192</definedName>
    <definedName name="g_Discounted_Cash" hidden="1">[1]Results!$A$341:$M$376</definedName>
    <definedName name="g_Expenses" hidden="1">[1]Results!$P$203:$AH$238</definedName>
    <definedName name="g_IRR" hidden="1">[1]Results!$P$65:$AH$100</definedName>
    <definedName name="g_Net_Income" hidden="1">[1]Results!$A$157:$M$192</definedName>
    <definedName name="g_NPV" hidden="1">[1]Results!$A$65:$M$100</definedName>
    <definedName name="g_Service_Revenue" hidden="1">[1]Results!$A$203:$M$238</definedName>
    <definedName name="g_User_defined_1" hidden="1">[1]Results!$A$249:$M$284</definedName>
    <definedName name="g_User_defined_2" hidden="1">[1]Results!$P$249:$AH$284</definedName>
    <definedName name="g_User_defined_3" hidden="1">[1]Results!$A$295:$M$330</definedName>
    <definedName name="g_User_defined_4" hidden="1">[1]Results!$P$295:$AH$330</definedName>
    <definedName name="GBPUSD">[7]Summary!$C$84</definedName>
    <definedName name="gdps">#REF!</definedName>
    <definedName name="GOS" hidden="1">[1]Equipment!$E$23:$DT$23</definedName>
    <definedName name="GOSInput" hidden="1">'[1]Capex Input'!$E$36:$DT$36</definedName>
    <definedName name="Graphs" hidden="1">[1]Results!$A$49:$A$62</definedName>
    <definedName name="GrossAddDual" hidden="1">[1]Model!$E$104:$DT$104</definedName>
    <definedName name="GrossAddFromHSD" hidden="1">[1]Model!$E$102:$DT$102</definedName>
    <definedName name="GrossAddVoiceOnly" hidden="1">[1]Model!$E$100:$DT$100</definedName>
    <definedName name="GrossLineAdds" hidden="1">[1]Model!$E$107:$DT$107</definedName>
    <definedName name="GSR008Data" hidden="1">[1]Equipment!$E$143:$DT$143</definedName>
    <definedName name="GSR012Data" hidden="1">[1]Equipment!$E$191:$DT$191</definedName>
    <definedName name="GSR1OC12_CMTS" hidden="1">[1]Equipment!$E$131:$DT$131</definedName>
    <definedName name="GSR1OC12Data_CMTS" hidden="1">[1]Equipment!$E$140:$DT$140</definedName>
    <definedName name="GSR4OC12_DC" hidden="1">[1]Equipment!$E$179:$DT$179</definedName>
    <definedName name="GSR4OC12ATM" hidden="1">[1]Equipment!$E$182:$DT$182</definedName>
    <definedName name="GSR4OC12Data_DC" hidden="1">[1]Equipment!$E$188:$DT$188</definedName>
    <definedName name="GSR4OC3_CMTS" hidden="1">[1]Equipment!$E$128:$DT$128</definedName>
    <definedName name="GSR4OC3Data_CMTS" hidden="1">[1]Equipment!$E$137:$DT$137</definedName>
    <definedName name="GSRCapex" hidden="1">[1]Capex!$E$266:$DT$266</definedName>
    <definedName name="GSRLife" hidden="1">[1]Capex!$C$102</definedName>
    <definedName name="GSRMaint" hidden="1">[1]Capex!$E$291:$DT$291</definedName>
    <definedName name="h.IsCSM" hidden="1">"CSModel"</definedName>
    <definedName name="HHP" hidden="1">[1]Capex!$E$12:$DT$12</definedName>
    <definedName name="HHPInput" hidden="1">[1]Model!$E$71:$DT$71</definedName>
    <definedName name="HTML_CodePage" hidden="1">1252</definedName>
    <definedName name="HTML_Description" hidden="1">"IBN Products"</definedName>
    <definedName name="HTML_Email" hidden="1">""</definedName>
    <definedName name="HTML_Header" hidden="1">"Edit"</definedName>
    <definedName name="HTML_LastUpdate" hidden="1">"24/05/97"</definedName>
    <definedName name="HTML_LineAfter" hidden="1">FALSE</definedName>
    <definedName name="HTML_LineBefore" hidden="1">TRUE</definedName>
    <definedName name="HTML_Name" hidden="1">"Mike Bibbings"</definedName>
    <definedName name="HTML_OBDlg2" hidden="1">TRUE</definedName>
    <definedName name="HTML_OBDlg4" hidden="1">TRUE</definedName>
    <definedName name="HTML_OS" hidden="1">0</definedName>
    <definedName name="HTML_PathFile" hidden="1">"C:\My Documents\mmelHTML.htm"</definedName>
    <definedName name="HTML_Title" hidden="1">"Master Edit List"</definedName>
    <definedName name="HubSize" hidden="1">[1]Equipment!$E$17:$DT$17</definedName>
    <definedName name="HubSizeInput" hidden="1">'[1]Capex Input'!$E$27:$DT$27</definedName>
    <definedName name="I1.1989.09">[8]cuslink!#REF!</definedName>
    <definedName name="I1.1996.09">#REF!</definedName>
    <definedName name="inccred">#REF!</definedName>
    <definedName name="Income_Statement" hidden="1">'[1]Financial Statements'!$A$31:$A$65</definedName>
    <definedName name="income_tax_rate" hidden="1">[1]Model!$E$42</definedName>
    <definedName name="incpenprov">#REF!</definedName>
    <definedName name="increc">#REF!</definedName>
    <definedName name="incstock">#REF!</definedName>
    <definedName name="Intangible_Fixed_Assets">#REF!</definedName>
    <definedName name="InTC">#REF!</definedName>
    <definedName name="investments">#REF!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USIP" hidden="1">"c2245"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39420.5584027778</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ssmin">#REF!</definedName>
    <definedName name="issord">#REF!</definedName>
    <definedName name="ITC">#REF!</definedName>
    <definedName name="k_kost">'[2]K-kost'!$A$9:$J$37</definedName>
    <definedName name="k_kost_akk">'[2]K-kost'!$O$8:$AA$42</definedName>
    <definedName name="kk" localSheetId="1" hidden="1">#REF!</definedName>
    <definedName name="kk" hidden="1">#REF!</definedName>
    <definedName name="Kopieringsområde">'[9]Business Sol'!$A$7:$K$77</definedName>
    <definedName name="LATASize" hidden="1">[1]Equipment!$E$149:$DT$149</definedName>
    <definedName name="LATASizeInput" hidden="1">'[1]Capex Input'!$E$28:$DT$28</definedName>
    <definedName name="Leased">#REF!</definedName>
    <definedName name="LegalOk" hidden="1">"No"</definedName>
    <definedName name="limcount" hidden="1">1</definedName>
    <definedName name="Linerent">#REF!</definedName>
    <definedName name="Lines_per_100_pop">#REF!</definedName>
    <definedName name="LinesPerFN" hidden="1">[1]Equipment!$E$15:$DT$15</definedName>
    <definedName name="LinesPerSubInput" hidden="1">[1]Model!$E$77:$DT$77</definedName>
    <definedName name="lll" localSheetId="1" hidden="1">{#N/A,#N/A,FALSE,"Statement of Ops";#N/A,#N/A,FALSE,"Trend Ops"}</definedName>
    <definedName name="lll" hidden="1">{#N/A,#N/A,FALSE,"Statement of Ops";#N/A,#N/A,FALSE,"Trend Ops"}</definedName>
    <definedName name="llll" localSheetId="1" hidden="1">{#N/A,#N/A,FALSE,"Statement of Ops";#N/A,#N/A,FALSE,"Trend Ops"}</definedName>
    <definedName name="llll" hidden="1">{#N/A,#N/A,FALSE,"Statement of Ops";#N/A,#N/A,FALSE,"Trend Ops"}</definedName>
    <definedName name="lllll" localSheetId="1" hidden="1">{#N/A,#N/A,FALSE,"Statement of Ops";#N/A,#N/A,FALSE,"Trend Ops"}</definedName>
    <definedName name="lllll" hidden="1">{#N/A,#N/A,FALSE,"Statement of Ops";#N/A,#N/A,FALSE,"Trend Ops"}</definedName>
    <definedName name="LNPPct" hidden="1">[1]Model!$E$120:$DT$120</definedName>
    <definedName name="LookupAppRTU" hidden="1">'[1]BTS Tables'!$B$30:$B$81</definedName>
    <definedName name="LookupCPS" hidden="1">'[1]BTS Tables'!$A$3:$A$27</definedName>
    <definedName name="LookupLines" hidden="1">'[1]BTS Tables'!$A$30:$A$81</definedName>
    <definedName name="LookupPlatRTU" hidden="1">'[1]BTS Tables'!$B$3:$B$27</definedName>
    <definedName name="Lösenord">#REF!</definedName>
    <definedName name="ltd">#REF!</definedName>
    <definedName name="måned">[10]Grunndata!$B$3:$C$14</definedName>
    <definedName name="MC16Data" hidden="1">[1]Equipment!$E$98:$DT$98</definedName>
    <definedName name="MC28Data" hidden="1">[1]Equipment!$E$95:$DT$95</definedName>
    <definedName name="md" hidden="1">[1]Model!$E$52</definedName>
    <definedName name="MGX" hidden="1">[1]Equipment!$E$161:$DT$161</definedName>
    <definedName name="MGXCapex" hidden="1">[1]Capex!$E$267:$DT$267</definedName>
    <definedName name="MGXLife" hidden="1">[1]Capex!$C$108</definedName>
    <definedName name="MGXMaint" hidden="1">[1]Capex!$E$292:$DT$292</definedName>
    <definedName name="minority">#REF!</definedName>
    <definedName name="MinPerLineLocal" hidden="1">[1]Model!$E$111:$DT$111</definedName>
    <definedName name="MinPerLineToll" hidden="1">[1]Model!$E$112:$DT$112</definedName>
    <definedName name="Mobile">#REF!</definedName>
    <definedName name="mv" hidden="1">[1]Model!$E$51</definedName>
    <definedName name="Net_Assets">#REF!</definedName>
    <definedName name="Net_Profit_SGW_Adjusted_">#REF!</definedName>
    <definedName name="netint">#REF!</definedName>
    <definedName name="netprofit">#REF!</definedName>
    <definedName name="ni_divs">#REF!</definedName>
    <definedName name="nidivs">#REF!</definedName>
    <definedName name="oldcueps">#REF!</definedName>
    <definedName name="OnNetMaxInput" hidden="1">'[1]Capex Input'!$E$29:$DT$29</definedName>
    <definedName name="Operations" hidden="1">[1]Model!$A$269:$A$412</definedName>
    <definedName name="oppro">#REF!</definedName>
    <definedName name="opprofit">#REF!</definedName>
    <definedName name="Oss">#REF!</definedName>
    <definedName name="OSSInput" hidden="1">'[1]Capex Input'!$E$144:$DT$144</definedName>
    <definedName name="Other_Long_Term_Liabilities">#REF!</definedName>
    <definedName name="Otherinc">#REF!</definedName>
    <definedName name="Otherop">#REF!</definedName>
    <definedName name="Otheropcf">#REF!</definedName>
    <definedName name="ownwork">#REF!</definedName>
    <definedName name="p" hidden="1">[1]Model!$E$53</definedName>
    <definedName name="pbt">#REF!</definedName>
    <definedName name="PentrData" hidden="1">[1]Equipment!$E$4:$DT$4</definedName>
    <definedName name="PentrDataInput" hidden="1">[1]Model!$E$76:$DT$76</definedName>
    <definedName name="PentrVoice" hidden="1">[1]Equipment!$E$2:$DT$2</definedName>
    <definedName name="PentrVoiceInput" hidden="1">[1]Model!$E$75:$DT$75</definedName>
    <definedName name="Period">[5]Front!$E$12</definedName>
    <definedName name="Peru">#REF!</definedName>
    <definedName name="PHSInput" hidden="1">'[1]Capex Input'!$E$35:$DT$35</definedName>
    <definedName name="PlatformInput" hidden="1">'[1]Capex Input'!$E$47:$DT$47</definedName>
    <definedName name="_xlnm.Print_Area" localSheetId="0">#REF!</definedName>
    <definedName name="_xlnm.Print_Area" localSheetId="3">Master!$A$1:$AP$431</definedName>
    <definedName name="_xlnm.Print_Area" localSheetId="1">#REF!</definedName>
    <definedName name="_xlnm.Print_Area">#N/A</definedName>
    <definedName name="_xlnm.Print_Titles" localSheetId="0">#REF!</definedName>
    <definedName name="_xlnm.Print_Titles" localSheetId="1">#REF!</definedName>
    <definedName name="_xlnm.Print_Titles">#N/A</definedName>
    <definedName name="proforma">[11]proforma!#REF!</definedName>
    <definedName name="ProjectName" localSheetId="13">{"Client Name or Project Name"}</definedName>
    <definedName name="ProjectName">{"Client Name or Project Name"}</definedName>
    <definedName name="PT_Portugal_fixed_export">#REF!</definedName>
    <definedName name="PT_Portugal_mobile_export">#REF!</definedName>
    <definedName name="Purchase_of_tangible_fixed_assets">#REF!</definedName>
    <definedName name="purfai">#REF!</definedName>
    <definedName name="pursub">#REF!</definedName>
    <definedName name="purtfa">#REF!</definedName>
    <definedName name="Q1.1996.06">#REF!</definedName>
    <definedName name="Q1_Account" localSheetId="1">#REF!</definedName>
    <definedName name="Q1_Account">#REF!</definedName>
    <definedName name="Q1_Coding">#REF!</definedName>
    <definedName name="Q1_Data">#REF!</definedName>
    <definedName name="Q1_Period">#REF!</definedName>
    <definedName name="Q1_TP">#REF!</definedName>
    <definedName name="Q2.1996.09">#REF!</definedName>
    <definedName name="Q2_Account">#REF!</definedName>
    <definedName name="Q2_Coding">#REF!</definedName>
    <definedName name="Q2_Data">#REF!</definedName>
    <definedName name="Q2_Period">#REF!</definedName>
    <definedName name="Q2_TP">#REF!</definedName>
    <definedName name="Q3.1996.12">#REF!</definedName>
    <definedName name="Q3_Account">#REF!</definedName>
    <definedName name="Q3_Coding">#REF!</definedName>
    <definedName name="Q3_Data">#REF!</definedName>
    <definedName name="Q3_Period">#REF!</definedName>
    <definedName name="Q3_TP">#REF!</definedName>
    <definedName name="Q4_Account">#REF!</definedName>
    <definedName name="Q4_Coding">#REF!</definedName>
    <definedName name="Q4_Data">#REF!</definedName>
    <definedName name="Q4_Period">#REF!</definedName>
    <definedName name="Q4_TP">#REF!</definedName>
    <definedName name="QC用労働時間有">'[12]03FY 2nd Hafl Latest Estimate'!$A$1:$A$2638</definedName>
    <definedName name="QC用労働時間無">'[12]03FY 2nd Hafl Latest Estimate'!$A$1:$D$618</definedName>
    <definedName name="RapportTyp">#REF!</definedName>
    <definedName name="Redundancy">#REF!</definedName>
    <definedName name="RedundantEdgeInput" hidden="1">'[1]Capex Input'!$E$51:$DT$51</definedName>
    <definedName name="RedundantGWInput" hidden="1">'[1]Capex Input'!$E$53:$DT$53</definedName>
    <definedName name="RedundNInput" hidden="1">'[1]Capex Input'!$E$58:$DT$58</definedName>
    <definedName name="Repdate1" localSheetId="1">#REF!</definedName>
    <definedName name="Repdate1">#REF!</definedName>
    <definedName name="Repdate2" localSheetId="1">#REF!</definedName>
    <definedName name="Repdate2">#REF!</definedName>
    <definedName name="res_2002">#REF!</definedName>
    <definedName name="res_2002_a">#REF!</definedName>
    <definedName name="Revenue">#REF!</definedName>
    <definedName name="RevFixed_05">[13]TPSA_Model!$O$468</definedName>
    <definedName name="RF" hidden="1">[1]Equipment!$E$92:$DT$92</definedName>
    <definedName name="RFData" hidden="1">[1]Equipment!$E$110:$DT$110</definedName>
    <definedName name="rngColData">'[14]RevCost Report'!$G$1:$Y$65536,'[14]RevCost Report'!$AA$1:$BV$65536</definedName>
    <definedName name="rngColHidden">'[14]RevCost Report'!$A$1:$B$65536,'[14]RevCost Report'!$D$1:$D$65536</definedName>
    <definedName name="rngHideMissingColumns">FALSE</definedName>
    <definedName name="rngHideMissingRows">FALSE</definedName>
    <definedName name="rngRowHidden">'[14]RevCost Report'!$A$4:$IV$5,'[14]RevCost Report'!$A$11:$IV$17</definedName>
    <definedName name="RoutesPerLATA" hidden="1">[1]Model!$E$114:$DT$114</definedName>
    <definedName name="Rpt_Month">[15]★ﾒﾆｭｰ!$I$31</definedName>
    <definedName name="Rpt_Year">[15]★ﾒﾆｭｰ!$I$30</definedName>
    <definedName name="salefa">#REF!</definedName>
    <definedName name="SalvagePct" hidden="1">[1]Model!$E$38</definedName>
    <definedName name="SampleInput" hidden="1">'[1]Capex Input'!$E$34:$DT$34</definedName>
    <definedName name="SAPBEXhrIndnt" hidden="1">1</definedName>
    <definedName name="SAPBEXrevision" hidden="1">0</definedName>
    <definedName name="SAPBEXsysID" hidden="1">"UBP"</definedName>
    <definedName name="SAPBEXwbID" hidden="1">"46ZQZIX9P9TMSSGKMZCTXHTXP"</definedName>
    <definedName name="sdsdsd" localSheetId="1" hidden="1">{#N/A,#N/A,FALSE,"Statement of Ops";#N/A,#N/A,FALSE,"Trend Ops"}</definedName>
    <definedName name="sdsdsd" hidden="1">{#N/A,#N/A,FALSE,"Statement of Ops";#N/A,#N/A,FALSE,"Trend Ops"}</definedName>
    <definedName name="SecretArchiveNumber" hidden="1">1</definedName>
    <definedName name="Select_Inc_Exp">[16]Ref!$B$12</definedName>
    <definedName name="sencount" localSheetId="0" hidden="1">2</definedName>
    <definedName name="sencount" localSheetId="1" hidden="1">2</definedName>
    <definedName name="sencount" hidden="1">1</definedName>
    <definedName name="ServerHWCapex" hidden="1">[1]Capex!$E$268:$DT$268</definedName>
    <definedName name="ServerHWMaint" hidden="1">[1]Capex!$E$293:$DT$293</definedName>
    <definedName name="Services_and_Revenue" hidden="1">[1]Model!$A$126:$A$195</definedName>
    <definedName name="sfsdf" localSheetId="1" hidden="1">{#N/A,#N/A,FALSE,"Statement of Ops";#N/A,#N/A,FALSE,"Trend Ops"}</definedName>
    <definedName name="sfsdf" hidden="1">{#N/A,#N/A,FALSE,"Statement of Ops";#N/A,#N/A,FALSE,"Trend Ops"}</definedName>
    <definedName name="sharecap">#REF!</definedName>
    <definedName name="Sheetname_Instructions" localSheetId="1">[16]Ref!#REF!</definedName>
    <definedName name="Sheetname_Instructions">[16]Ref!#REF!</definedName>
    <definedName name="show_base">[16]WaterFall_Prep!$U$1</definedName>
    <definedName name="show_newbase">[16]WaterFall_Prep!$W$1</definedName>
    <definedName name="show_pctchange">[16]WaterFall_Prep!$Y$1</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PAPrint">[17]SPA!$A$1:$AD$48,[17]SPA!$A$90:$AD$137</definedName>
    <definedName name="Staff">#REF!</definedName>
    <definedName name="staffcosts">#REF!</definedName>
    <definedName name="std">#REF!</definedName>
    <definedName name="stocks">#REF!</definedName>
    <definedName name="subs1" localSheetId="1" hidden="1">{"Monthly Rev",#N/A,FALSE,"DetRev";"Monthly Tech",#N/A,FALSE,"DetTech";"Monthly CSR",#N/A,FALSE,"DetCSR";"Monthly Mrkt",#N/A,FALSE,"DetMrkt";"Monthly Online",#N/A,FALSE,"DetOnline";"Monthly AdSales",#N/A,FALSE,"DetAdSales";"Monthly LO",#N/A,FALSE,"DETLO";"Monthly Admin",#N/A,FALSE,"DetAdmin";"Monthly Prod",#N/A,FALSE,"DetProd";"Headcount Monthly",#N/A,FALSE,"Headcount"}</definedName>
    <definedName name="subs1" hidden="1">{"Monthly Rev",#N/A,FALSE,"DetRev";"Monthly Tech",#N/A,FALSE,"DetTech";"Monthly CSR",#N/A,FALSE,"DetCSR";"Monthly Mrkt",#N/A,FALSE,"DetMrkt";"Monthly Online",#N/A,FALSE,"DetOnline";"Monthly AdSales",#N/A,FALSE,"DetAdSales";"Monthly LO",#N/A,FALSE,"DETLO";"Monthly Admin",#N/A,FALSE,"DetAdmin";"Monthly Prod",#N/A,FALSE,"DetProd";"Headcount Monthly",#N/A,FALSE,"Headcount"}</definedName>
    <definedName name="subtotal">[18]基礎ﾃﾞｰﾀ!#REF!</definedName>
    <definedName name="sweden_telenor_mobile_export">[3]IM!#REF!</definedName>
    <definedName name="TA">[12]Sheet3!$A$1:$E$196</definedName>
    <definedName name="Tangible_Fixed_Assets">#REF!</definedName>
    <definedName name="tax">#REF!</definedName>
    <definedName name="taxpaid">#REF!</definedName>
    <definedName name="telcopay">#REF!</definedName>
    <definedName name="Telesp">#REF!</definedName>
    <definedName name="Template.WIRE">"DBACCESS"</definedName>
    <definedName name="tfa">#REF!</definedName>
    <definedName name="TI_Italy_fixed_export">#REF!</definedName>
    <definedName name="Total_lines">#REF!</definedName>
    <definedName name="Trace">FALSE</definedName>
    <definedName name="Transaction_Type">[5]Front!$E$20</definedName>
    <definedName name="Trend_Start">[15]★ﾒﾆｭｰ!$L$31</definedName>
    <definedName name="uBR10Data" hidden="1">[1]Equipment!$E$100:$DT$100</definedName>
    <definedName name="uBR1OC12" hidden="1">[1]Equipment!$E$91:$DT$91</definedName>
    <definedName name="uBR1OC12Data" hidden="1">[1]Equipment!$E$109:$DT$109</definedName>
    <definedName name="uBR1OC3" hidden="1">[1]Equipment!$E$88:$DT$88</definedName>
    <definedName name="uBR1OC3Data" hidden="1">[1]Equipment!$E$106:$DT$106</definedName>
    <definedName name="uBR7Data" hidden="1">[1]Equipment!$E$103:$DT$103</definedName>
    <definedName name="uBRCapex" hidden="1">[1]Capex!$E$265:$DT$265</definedName>
    <definedName name="uBRLife" hidden="1">[1]Capex!$C$92</definedName>
    <definedName name="uBRMaint" hidden="1">[1]Capex!$E$290:$DT$290</definedName>
    <definedName name="UK_population__ms">#REF!</definedName>
    <definedName name="UKPrint">[17]UK!$A$90:$AD$137,[17]UK!$A$1:$AD$48</definedName>
    <definedName name="unadjusted">#REF!</definedName>
    <definedName name="uOne" hidden="1">[1]Equipment!$E$259:$DT$259</definedName>
    <definedName name="UpgradeVersion">"v2.35"</definedName>
    <definedName name="UPIBVPrint">[17]UPIBV!$A$1:$AD$48,[17]UPIBV!$A$90:$AD$137</definedName>
    <definedName name="UPIOPrint">[17]UPIO!$A$90:$AD$137,[17]UPIO!$A$1:$AD$48</definedName>
    <definedName name="UPVPPrint">[17]UPVP!$A$1:$AD$48,[17]UPVP!$A$90:$AD$137</definedName>
    <definedName name="USBandwidth" hidden="1">[1]Equipment!$E$54:$DT$54</definedName>
    <definedName name="USDBRL">[7]Summary!$C$86</definedName>
    <definedName name="USDJPY">[7]Summary!$C$87</definedName>
    <definedName name="UsefulLife" hidden="1">[1]Model!$E$37</definedName>
    <definedName name="USPerDataSub" hidden="1">[1]Equipment!$E$31:$DT$31</definedName>
    <definedName name="USPerDataSubInput" hidden="1">'[1]Capex Input'!$E$43:$DT$43</definedName>
    <definedName name="USPerDom" hidden="1">[1]Equipment!$E$47:$DT$47</definedName>
    <definedName name="USPerDS0" hidden="1">[1]Equipment!$E$25:$DT$25</definedName>
    <definedName name="USUtil" hidden="1">[1]Equipment!$E$61:$DT$61</definedName>
    <definedName name="USUtilData" hidden="1">[1]Equipment!$E$66:$DT$66</definedName>
    <definedName name="valuearea">[19]data!$AQ$26:$CS$864</definedName>
    <definedName name="variance_logic" localSheetId="1">#REF!</definedName>
    <definedName name="variance_logic">#REF!</definedName>
    <definedName name="VerintFixed" hidden="1">[1]Equipment!$E$244:$DT$244</definedName>
    <definedName name="VerintVar" hidden="1">[1]Equipment!$E$250:$DT$250</definedName>
    <definedName name="Version.WIRE">1</definedName>
    <definedName name="vis_måned">[10]Grunndata!$A$3:$B$14</definedName>
    <definedName name="VISM" hidden="1">[1]Equipment!$E$159:$DT$159</definedName>
    <definedName name="VoiceLines" hidden="1">[1]Model!$E$83:$DT$83</definedName>
    <definedName name="VoiceSubs" hidden="1">[1]Model!$E$81:$DT$81</definedName>
    <definedName name="WANBandwidth" hidden="1">[1]Equipment!$E$55:$DT$55</definedName>
    <definedName name="WANPerDataSub" hidden="1">[1]Equipment!$E$32:$DT$32</definedName>
    <definedName name="WANPerDS0" hidden="1">[1]Equipment!$E$26:$DT$26</definedName>
    <definedName name="WANUtil" hidden="1">[1]Equipment!$E$62:$DT$62</definedName>
    <definedName name="WANUtilData" hidden="1">[1]Equipment!$E$67:$DT$67</definedName>
    <definedName name="WhoIs" hidden="1">"Developed by Cisco Systems, August 2002"</definedName>
    <definedName name="Workbook.Author">[20]Contents!$B$14</definedName>
    <definedName name="Workbook.Authors_Email_Address">[20]Contents!$B$15</definedName>
    <definedName name="Workbook.Objective">[20]Contents!$B$6</definedName>
    <definedName name="Workbook.Status">[20]Contents!$B$9</definedName>
    <definedName name="Workbook.Title">[20]Contents!$B$5</definedName>
    <definedName name="Workbook.Version">[20]Contents!$B$8</definedName>
    <definedName name="WORKBOOK_SAPBEXq0003" comment="DP_4">"DP_4"</definedName>
    <definedName name="WORKBOOK_SAPBEXq0004" comment="DP_5">"DP_5"</definedName>
    <definedName name="WORKBOOK_SAPBEXq0009" comment="DP_6">"DP_6"</definedName>
    <definedName name="WORKBOOK_SAPBEXq0010" comment="DP_7">"DP_7"</definedName>
    <definedName name="WORKBOOK_SAPBEXq0011" comment="DP_8">"DP_8"</definedName>
    <definedName name="WORKBOOK_SAPBEXq0012" comment="DP_9">"DP_9"</definedName>
    <definedName name="WORKBOOK_SAPBEXq0015" comment="DP_10">"DP_10"</definedName>
    <definedName name="wrn.4Q._.Report." localSheetId="1" hidden="1">{"Summary OCF",#N/A,FALSE,"Summary OCF";"Rev &amp; OCF",#N/A,FALSE,"Revenue and OCF";"Exp",#N/A,FALSE,"Expenses";"Subs",#N/A,FALSE,"Subscribers"}</definedName>
    <definedName name="wrn.4Q._.Report." hidden="1">{"Summary OCF",#N/A,FALSE,"Summary OCF";"Rev &amp; OCF",#N/A,FALSE,"Revenue and OCF";"Exp",#N/A,FALSE,"Expenses";"Subs",#N/A,FALSE,"Subscribers"}</definedName>
    <definedName name="wrn.Budget._.Annual." localSheetId="1" hidden="1">{"Annual P&amp;L",#N/A,TRUE,"P&amp;L";"Annual Revenue 1",#N/A,TRUE,"DetRev";"Annual Revenue 2",#N/A,TRUE,"DetRev";"Annual Tech",#N/A,TRUE,"DetTech";"Annual Customer Service",#N/A,TRUE,"DetCSR";"Annual Marketing",#N/A,TRUE,"DetMrkt";"Annual Online",#N/A,TRUE,"DetOnline";"Annual Telephony",#N/A,TRUE,"DetTelephony";"Annual Adsales",#N/A,TRUE,"DetAdSales";"Annual LO",#N/A,TRUE,"DETLO";"Annual Administration",#N/A,TRUE,"DetAdmin";"Annual Product",#N/A,TRUE,"DetProd";"Annual Manpower",#N/A,TRUE,"Manpower Summary"}</definedName>
    <definedName name="wrn.Budget._.Annual." hidden="1">{"Annual P&amp;L",#N/A,TRUE,"P&amp;L";"Annual Revenue 1",#N/A,TRUE,"DetRev";"Annual Revenue 2",#N/A,TRUE,"DetRev";"Annual Tech",#N/A,TRUE,"DetTech";"Annual Customer Service",#N/A,TRUE,"DetCSR";"Annual Marketing",#N/A,TRUE,"DetMrkt";"Annual Online",#N/A,TRUE,"DetOnline";"Annual Telephony",#N/A,TRUE,"DetTelephony";"Annual Adsales",#N/A,TRUE,"DetAdSales";"Annual LO",#N/A,TRUE,"DETLO";"Annual Administration",#N/A,TRUE,"DetAdmin";"Annual Product",#N/A,TRUE,"DetProd";"Annual Manpower",#N/A,TRUE,"Manpower Summary"}</definedName>
    <definedName name="wrn.Budget._.Trend." localSheetId="1" hidden="1">{"Trend P&amp;L",#N/A,TRUE,"P&amp;L";"Trend Revenue 1",#N/A,TRUE,"DetRev";"Trend Revenue 2",#N/A,TRUE,"DetRev";"Trend Tech",#N/A,TRUE,"DetTech";"Trend Customer Service",#N/A,TRUE,"DetCSR";"Trend Marketing",#N/A,TRUE,"DetMrkt";"Trend Online",#N/A,TRUE,"DetOnline";"Trend Telephony",#N/A,TRUE,"DetTelephony";"Trend Adsales",#N/A,TRUE,"DetAdSales";"Trend LO",#N/A,TRUE,"DETLO";"Trend Administration",#N/A,TRUE,"DetAdmin";"Trend Product",#N/A,TRUE,"DetProd"}</definedName>
    <definedName name="wrn.Budget._.Trend." hidden="1">{"Trend P&amp;L",#N/A,TRUE,"P&amp;L";"Trend Revenue 1",#N/A,TRUE,"DetRev";"Trend Revenue 2",#N/A,TRUE,"DetRev";"Trend Tech",#N/A,TRUE,"DetTech";"Trend Customer Service",#N/A,TRUE,"DetCSR";"Trend Marketing",#N/A,TRUE,"DetMrkt";"Trend Online",#N/A,TRUE,"DetOnline";"Trend Telephony",#N/A,TRUE,"DetTelephony";"Trend Adsales",#N/A,TRUE,"DetAdSales";"Trend LO",#N/A,TRUE,"DETLO";"Trend Administration",#N/A,TRUE,"DetAdmin";"Trend Product",#N/A,TRUE,"DetProd"}</definedName>
    <definedName name="wrn.Cable._.Headcount._.Reports." localSheetId="1" hidden="1">{"Headcount Annual",#N/A,FALSE,"Headcount";"Headcount Monthly",#N/A,FALSE,"Headcount"}</definedName>
    <definedName name="wrn.Cable._.Headcount._.Reports." hidden="1">{"Headcount Annual",#N/A,FALSE,"Headcount";"Headcount Monthly",#N/A,FALSE,"Headcount"}</definedName>
    <definedName name="wrn.Capital." localSheetId="1" hidden="1">{"Capital",#N/A,FALSE,"CapSum"}</definedName>
    <definedName name="wrn.Capital." hidden="1">{"Capital",#N/A,FALSE,"CapSum"}</definedName>
    <definedName name="wrn.Capital._.Report." localSheetId="1" hidden="1">{"Capital",#N/A,FALSE,"CapSum"}</definedName>
    <definedName name="wrn.Capital._.Report." hidden="1">{"Capital",#N/A,FALSE,"CapSum"}</definedName>
    <definedName name="wrn.Capital._.Reports." localSheetId="1" hidden="1">{"Capital Summary",#N/A,FALSE,"CapSum";"Other Capital",#N/A,FALSE,"CapDet";"Construction Report",#N/A,FALSE,"ConstRep"}</definedName>
    <definedName name="wrn.Capital._.Reports." hidden="1">{"Capital Summary",#N/A,FALSE,"CapSum";"Other Capital",#N/A,FALSE,"CapDet";"Construction Report",#N/A,FALSE,"ConstRep"}</definedName>
    <definedName name="wrn.Capital._.Summary." localSheetId="1" hidden="1">{"Capital",#N/A,FALSE,"CapSum"}</definedName>
    <definedName name="wrn.Capital._.Summary." hidden="1">{"Capital",#N/A,FALSE,"CapSum"}</definedName>
    <definedName name="wrn.Current._.Month." localSheetId="1" hidden="1">{"current month",#N/A,FALSE,"Capitalization"}</definedName>
    <definedName name="wrn.Current._.Month." hidden="1">{"current month",#N/A,FALSE,"Capitalization"}</definedName>
    <definedName name="wrn.Digital._.Sub._.Detail." localSheetId="1" hidden="1">{"Digital Detail",#N/A,FALSE,"Digital"}</definedName>
    <definedName name="wrn.Digital._.Sub._.Detail." hidden="1">{"Digital Detail",#N/A,FALSE,"Digital"}</definedName>
    <definedName name="wrn.Financial._.Reports." localSheetId="1" hidden="1">{#N/A,#N/A,FALSE,"Statement of Ops";#N/A,#N/A,FALSE,"Trend Ops";#N/A,#N/A,FALSE,"Revenue";#N/A,#N/A,FALSE,"Trend Rev";#N/A,#N/A,FALSE,"Tech";#N/A,#N/A,FALSE,"Trend Tech";#N/A,#N/A,FALSE,"Cust Serv";#N/A,#N/A,FALSE,"Trend Cust Serv";#N/A,#N/A,FALSE,"Marketing";#N/A,#N/A,FALSE,"Trend Marketing";#N/A,#N/A,FALSE,"Online";#N/A,#N/A,FALSE,"Trend Online";#N/A,#N/A,FALSE,"Telephony";#N/A,#N/A,FALSE,"Trend Telephony";#N/A,#N/A,FALSE,"Ad Sales";#N/A,#N/A,FALSE,"Trend Ad Sales";#N/A,#N/A,FALSE,"LO";#N/A,#N/A,FALSE,"Trend LO";#N/A,#N/A,FALSE,"Admin";#N/A,#N/A,FALSE,"Trend Admin";#N/A,#N/A,FALSE,"Product";#N/A,#N/A,FALSE,"Trend Product"}</definedName>
    <definedName name="wrn.Financial._.Reports." hidden="1">{#N/A,#N/A,FALSE,"Statement of Ops";#N/A,#N/A,FALSE,"Trend Ops";#N/A,#N/A,FALSE,"Revenue";#N/A,#N/A,FALSE,"Trend Rev";#N/A,#N/A,FALSE,"Tech";#N/A,#N/A,FALSE,"Trend Tech";#N/A,#N/A,FALSE,"Cust Serv";#N/A,#N/A,FALSE,"Trend Cust Serv";#N/A,#N/A,FALSE,"Marketing";#N/A,#N/A,FALSE,"Trend Marketing";#N/A,#N/A,FALSE,"Online";#N/A,#N/A,FALSE,"Trend Online";#N/A,#N/A,FALSE,"Telephony";#N/A,#N/A,FALSE,"Trend Telephony";#N/A,#N/A,FALSE,"Ad Sales";#N/A,#N/A,FALSE,"Trend Ad Sales";#N/A,#N/A,FALSE,"LO";#N/A,#N/A,FALSE,"Trend LO";#N/A,#N/A,FALSE,"Admin";#N/A,#N/A,FALSE,"Trend Admin";#N/A,#N/A,FALSE,"Product";#N/A,#N/A,FALSE,"Trend Product"}</definedName>
    <definedName name="wrn.Monthly._.Financial._.Reports." localSheetId="1" hidden="1">{"Monthly Rev",#N/A,FALSE,"DetRev";"Monthly Tech",#N/A,FALSE,"DetTech";"Monthly CSR",#N/A,FALSE,"DetCSR";"Monthly Mrkt",#N/A,FALSE,"DetMrkt";"Monthly Online",#N/A,FALSE,"DetOnline";"Monthly AdSales",#N/A,FALSE,"DetAdSales";"Monthly LO",#N/A,FALSE,"DETLO";"Monthly Admin",#N/A,FALSE,"DetAdmin";"Monthly Prod",#N/A,FALSE,"DetProd";"Headcount Monthly",#N/A,FALSE,"Headcount"}</definedName>
    <definedName name="wrn.Monthly._.Financial._.Reports." hidden="1">{"Monthly Rev",#N/A,FALSE,"DetRev";"Monthly Tech",#N/A,FALSE,"DetTech";"Monthly CSR",#N/A,FALSE,"DetCSR";"Monthly Mrkt",#N/A,FALSE,"DetMrkt";"Monthly Online",#N/A,FALSE,"DetOnline";"Monthly AdSales",#N/A,FALSE,"DetAdSales";"Monthly LO",#N/A,FALSE,"DETLO";"Monthly Admin",#N/A,FALSE,"DetAdmin";"Monthly Prod",#N/A,FALSE,"DetProd";"Headcount Monthly",#N/A,FALSE,"Headcount"}</definedName>
    <definedName name="wrn.No._.Ad._.Sales._.Reports." localSheetId="1" hidden="1">{"Annual P&amp;L NoAd",#N/A,FALSE,"P&amp;L No Ad Sales";"Annual Rev NoAd",#N/A,FALSE,"DetRev No Ad Sales";"Monthly P&amp;L NoAd",#N/A,FALSE,"P&amp;L No Ad Sales";"Monthly Rev NoAd",#N/A,FALSE,"DetRev No Ad Sales"}</definedName>
    <definedName name="wrn.No._.Ad._.Sales._.Reports." hidden="1">{"Annual P&amp;L NoAd",#N/A,FALSE,"P&amp;L No Ad Sales";"Annual Rev NoAd",#N/A,FALSE,"DetRev No Ad Sales";"Monthly P&amp;L NoAd",#N/A,FALSE,"P&amp;L No Ad Sales";"Monthly Rev NoAd",#N/A,FALSE,"DetRev No Ad Sales"}</definedName>
    <definedName name="wrn.No._.AdSales._.Annual." localSheetId="1" hidden="1">{"P&amp;L No Ads Annual",#N/A,TRUE,"P&amp;L No Ad Sales";"Revenue No Ads Annual",#N/A,TRUE,"DetRev No Ad Sales"}</definedName>
    <definedName name="wrn.No._.AdSales._.Annual." hidden="1">{"P&amp;L No Ads Annual",#N/A,TRUE,"P&amp;L No Ad Sales";"Revenue No Ads Annual",#N/A,TRUE,"DetRev No Ad Sales"}</definedName>
    <definedName name="wrn.No._.AdSales._.Financial." localSheetId="1" hidden="1">{"Annual P&amp;L No Ads",#N/A,TRUE,"Trend No AdSales";"Monthly P&amp;L No Ads",#N/A,TRUE,"Trend No AdSales";"Annual Rev no Ads",#N/A,TRUE,"Trend Rev No AdSales";"Monthly Rev No Ads",#N/A,TRUE,"Trend Rev No AdSales"}</definedName>
    <definedName name="wrn.No._.AdSales._.Financial." hidden="1">{"Annual P&amp;L No Ads",#N/A,TRUE,"Trend No AdSales";"Monthly P&amp;L No Ads",#N/A,TRUE,"Trend No AdSales";"Annual Rev no Ads",#N/A,TRUE,"Trend Rev No AdSales";"Monthly Rev No Ads",#N/A,TRUE,"Trend Rev No AdSales"}</definedName>
    <definedName name="wrn.No._.Adsales._.Reports." localSheetId="1" hidden="1">{"Trend P&amp;L No Adsales",#N/A,TRUE,"P&amp;L No Ad Sales";"Annual P&amp;L No Adsales",#N/A,TRUE,"P&amp;L No Ad Sales";"Trend Revenue no Adsales",#N/A,TRUE,"DetRev No AdSales";"Annual Revenue No AdSales",#N/A,TRUE,"DetRev No AdSales"}</definedName>
    <definedName name="wrn.No._.Adsales._.Reports." hidden="1">{"Trend P&amp;L No Adsales",#N/A,TRUE,"P&amp;L No Ad Sales";"Annual P&amp;L No Adsales",#N/A,TRUE,"P&amp;L No Ad Sales";"Trend Revenue no Adsales",#N/A,TRUE,"DetRev No AdSales";"Annual Revenue No AdSales",#N/A,TRUE,"DetRev No AdSales"}</definedName>
    <definedName name="wrn.No._.AdSales._.Trend." localSheetId="1" hidden="1">{"P&amp;L No Ads Trend",#N/A,TRUE,"P&amp;L No Ad Sales";"Revenue No Ads Trend",#N/A,TRUE,"DetRev No Ad Sales"}</definedName>
    <definedName name="wrn.No._.AdSales._.Trend." hidden="1">{"P&amp;L No Ads Trend",#N/A,TRUE,"P&amp;L No Ad Sales";"Revenue No Ads Trend",#N/A,TRUE,"DetRev No Ad Sales"}</definedName>
    <definedName name="wrn.Online._.Headcount._.Reports." localSheetId="1" hidden="1">{"Online Headcount Annual",#N/A,FALSE,"Headcount";"Online Headcount Monthly",#N/A,FALSE,"Headcount"}</definedName>
    <definedName name="wrn.Online._.Headcount._.Reports." hidden="1">{"Online Headcount Annual",#N/A,FALSE,"Headcount";"Online Headcount Monthly",#N/A,FALSE,"Headcount"}</definedName>
    <definedName name="wrn.Online._.Sub._.Detail." localSheetId="1" hidden="1">{"Online Detail",#N/A,FALSE,"OnLine"}</definedName>
    <definedName name="wrn.Online._.Sub._.Detail." hidden="1">{"Online Detail",#N/A,FALSE,"OnLine"}</definedName>
    <definedName name="wrn.PandL." localSheetId="13" hidden="1">{"P&amp;L",#N/A,FALSE,"annual"}</definedName>
    <definedName name="wrn.PandL." hidden="1">{"P&amp;L",#N/A,FALSE,"annual"}</definedName>
    <definedName name="wrn.Pay._.Sub._.Detail." localSheetId="1" hidden="1">{"Pay Detail",#N/A,FALSE,"Pay"}</definedName>
    <definedName name="wrn.Pay._.Sub._.Detail." hidden="1">{"Pay Detail",#N/A,FALSE,"Pay"}</definedName>
    <definedName name="wrn.Trend." localSheetId="1" hidden="1">{"trend",#N/A,TRUE,"Capitalization"}</definedName>
    <definedName name="wrn.Trend." hidden="1">{"trend",#N/A,TRUE,"Capitalization"}</definedName>
    <definedName name="wrn.Trend._.Reports." localSheetId="1" hidden="1">{"P&amp;L Trend",#N/A,TRUE,"P&amp;L";"Revenue Trend",#N/A,TRUE,"DetRev";"Tech Trend",#N/A,TRUE,"DetTech";"Customer Service Trend",#N/A,TRUE,"DetCSR";"Marketing Trend",#N/A,TRUE,"DetMrkt";"Online Trend",#N/A,TRUE,"DetOnline";"Telephony Trend",#N/A,TRUE,"DetTelephony";"Adsales Trend",#N/A,TRUE,"DetAdSales";"LO Trend",#N/A,TRUE,"DETLO";"Admin Trend",#N/A,TRUE,"DetAdmin";"Product Trend",#N/A,TRUE,"DetProd"}</definedName>
    <definedName name="wrn.Trend._.Reports." hidden="1">{"P&amp;L Trend",#N/A,TRUE,"P&amp;L";"Revenue Trend",#N/A,TRUE,"DetRev";"Tech Trend",#N/A,TRUE,"DetTech";"Customer Service Trend",#N/A,TRUE,"DetCSR";"Marketing Trend",#N/A,TRUE,"DetMrkt";"Online Trend",#N/A,TRUE,"DetOnline";"Telephony Trend",#N/A,TRUE,"DetTelephony";"Adsales Trend",#N/A,TRUE,"DetAdSales";"LO Trend",#N/A,TRUE,"DETLO";"Admin Trend",#N/A,TRUE,"DetAdmin";"Product Trend",#N/A,TRUE,"DetProd"}</definedName>
    <definedName name="wrn.Vodafone._.printout." localSheetId="13" hidden="1">{"Groupannual",#N/A,FALSE,"Groupannual";"VodMann",#N/A,FALSE,"VodMann";"Data",#N/A,FALSE,"Data";"Group International",#N/A,FALSE,"Group International";"BellAir",#N/A,FALSE,"BellAir";"DCF sum of parts",#N/A,FALSE,"DCF sum of parts";"licences",#N/A,FALSE,"licences"}</definedName>
    <definedName name="wrn.Vodafone._.printout." hidden="1">{"Groupannual",#N/A,FALSE,"Groupannual";"VodMann",#N/A,FALSE,"VodMann";"Data",#N/A,FALSE,"Data";"Group International",#N/A,FALSE,"Group International";"BellAir",#N/A,FALSE,"BellAir";"DCF sum of parts",#N/A,FALSE,"DCF sum of parts";"licences",#N/A,FALSE,"licences"}</definedName>
    <definedName name="wwwwwwwwwwwww" localSheetId="1" hidden="1">{#N/A,#N/A,FALSE,"Statement of Ops";#N/A,#N/A,FALSE,"Trend Ops"}</definedName>
    <definedName name="wwwwwwwwwwwww" hidden="1">{#N/A,#N/A,FALSE,"Statement of Ops";#N/A,#N/A,FALSE,"Trend Ops"}</definedName>
    <definedName name="xxxx" localSheetId="1" hidden="1">{"P&amp;L Annual",#N/A,FALSE,"P&amp;L";"Rev Annual",#N/A,FALSE,"DetRev";"Tech Annual",#N/A,FALSE,"DetTech";"CSR Annual",#N/A,FALSE,"DetCSR";"Marketing Annual",#N/A,FALSE,"DetMrkt";"Ad Sales Annual",#N/A,FALSE,"DetAdSales";"LO Annual",#N/A,FALSE,"DETLO";"Admin Annual",#N/A,FALSE,"DetAdmin";"Product Annual",#N/A,FALSE,"DetProd"}</definedName>
    <definedName name="xxxx" hidden="1">{"P&amp;L Annual",#N/A,FALSE,"P&amp;L";"Rev Annual",#N/A,FALSE,"DetRev";"Tech Annual",#N/A,FALSE,"DetTech";"CSR Annual",#N/A,FALSE,"DetCSR";"Marketing Annual",#N/A,FALSE,"DetMrkt";"Ad Sales Annual",#N/A,FALSE,"DetAdSales";"LO Annual",#N/A,FALSE,"DETLO";"Admin Annual",#N/A,FALSE,"DetAdmin";"Product Annual",#N/A,FALSE,"DetProd"}</definedName>
    <definedName name="Year_ending_March">#REF!</definedName>
    <definedName name="years">#REF!</definedName>
    <definedName name="Yellow">#REF!</definedName>
    <definedName name="YTDcomrange1" localSheetId="1">#REF!</definedName>
    <definedName name="YTDcomrange1">#REF!</definedName>
    <definedName name="YTDcomrange2" localSheetId="1">#REF!</definedName>
    <definedName name="YTDcomrange2">#REF!</definedName>
    <definedName name="Z_FB9FEF07_E23D_4093_B787_DA7C6E65880F_.wvu.PrintTitles" hidden="1">'[21]Inputs - Debt Roll'!$A$1:$F$65536,'[21]Inputs - Debt Roll'!$A$1:$IV$9</definedName>
    <definedName name="ｸﾞﾚｰ">'[22]ﾃﾞｰﾀ加工(MTD)'!$EY$4</definedName>
    <definedName name="ｸﾞﾚｰY">'[22]ﾃﾞｰﾀ加工(YTD)'!$EY$4</definedName>
    <definedName name="チケット別日別販売実績_DAT" localSheetId="1">#REF!</definedName>
    <definedName name="チケット別日別販売実績_DAT">#REF!</definedName>
    <definedName name="ベニューリスト" localSheetId="1">#REF!</definedName>
    <definedName name="ベニューリスト">#REF!</definedName>
    <definedName name="元DATA">'[12]03FY 2nd Hafl Latest Estimate'!$B$2:$J$1450</definedName>
    <definedName name="利益処分計算">'[12]03FY 2nd Hafl Latest Estimate'!#REF!</definedName>
    <definedName name="勘定科目" localSheetId="1">#REF!</definedName>
    <definedName name="勘定科目">#REF!</definedName>
    <definedName name="印刷01">'[12]03FY 2nd Hafl Latest Estimate'!$B$4:$Z$399</definedName>
    <definedName name="印刷02">'[12]03FY 2nd Hafl Latest Estimate'!$B$400:$Z$474</definedName>
    <definedName name="反転">'[22]ﾃﾞｰﾀ加工(MTD)'!$FC$4</definedName>
    <definedName name="反転Y">'[22]ﾃﾞｰﾀ加工(YTD)'!$FC$4</definedName>
    <definedName name="基本項目_FLAG">[18]基礎ﾃﾞｰﾀ!#REF!</definedName>
    <definedName name="消税率" localSheetId="1">#REF!</definedName>
    <definedName name="消税率">#REF!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33" i="2" l="1"/>
  <c r="Y133" i="2" s="1"/>
  <c r="Z133" i="2" s="1"/>
  <c r="AA133" i="2" s="1"/>
  <c r="AB133" i="2" s="1"/>
  <c r="AC133" i="2" s="1"/>
  <c r="AD133" i="2" s="1"/>
  <c r="AN176" i="9" l="1"/>
  <c r="AN130" i="9"/>
  <c r="AN122" i="9"/>
  <c r="AN108" i="9"/>
  <c r="AN71" i="9"/>
  <c r="AN17" i="9"/>
  <c r="AM176" i="9"/>
  <c r="AM130" i="9"/>
  <c r="AM122" i="9"/>
  <c r="AM108" i="9"/>
  <c r="AM71" i="9"/>
  <c r="AM17" i="9"/>
  <c r="AL176" i="9"/>
  <c r="AL130" i="9"/>
  <c r="AL122" i="9"/>
  <c r="AL108" i="9"/>
  <c r="AL71" i="9"/>
  <c r="AL17" i="9"/>
  <c r="AK176" i="9"/>
  <c r="AK130" i="9"/>
  <c r="AK122" i="9"/>
  <c r="AK108" i="9"/>
  <c r="AK71" i="9"/>
  <c r="AK17" i="9"/>
  <c r="AJ176" i="9"/>
  <c r="AJ130" i="9"/>
  <c r="AJ122" i="9"/>
  <c r="AJ108" i="9"/>
  <c r="AJ71" i="9"/>
  <c r="AJ17" i="9"/>
  <c r="BV72" i="3" l="1"/>
  <c r="BV140" i="3" s="1"/>
  <c r="EC140" i="3" s="1"/>
  <c r="BU72" i="3"/>
  <c r="BU140" i="3" s="1"/>
  <c r="EB140" i="3" s="1"/>
  <c r="X358" i="1"/>
  <c r="Y358" i="1"/>
  <c r="T360" i="1"/>
  <c r="S360" i="1"/>
  <c r="R360" i="1"/>
  <c r="Q360" i="1"/>
  <c r="P360" i="1"/>
  <c r="O360" i="1"/>
  <c r="N360" i="1"/>
  <c r="L360" i="1"/>
  <c r="M115" i="1"/>
  <c r="X135" i="1"/>
  <c r="U135" i="1"/>
  <c r="Y157" i="1"/>
  <c r="Y149" i="1"/>
  <c r="Y150" i="1" s="1"/>
  <c r="BG191" i="3"/>
  <c r="BF191" i="3"/>
  <c r="BE191" i="3"/>
  <c r="BD191" i="3"/>
  <c r="BC191" i="3"/>
  <c r="BB191" i="3"/>
  <c r="BA191" i="3"/>
  <c r="AZ191" i="3"/>
  <c r="AY191" i="3"/>
  <c r="AX191" i="3"/>
  <c r="AW191" i="3"/>
  <c r="AV191" i="3"/>
  <c r="AU191" i="3"/>
  <c r="AT191" i="3"/>
  <c r="AR191" i="3"/>
  <c r="AQ191" i="3"/>
  <c r="AP191" i="3"/>
  <c r="AN191" i="3"/>
  <c r="Y174" i="1"/>
  <c r="Y181" i="1"/>
  <c r="BX199" i="3"/>
  <c r="BW199" i="3" s="1"/>
  <c r="BT172" i="3"/>
  <c r="M132" i="2"/>
  <c r="F132" i="2"/>
  <c r="G132" i="2"/>
  <c r="H132" i="2"/>
  <c r="I132" i="2"/>
  <c r="J132" i="2"/>
  <c r="K132" i="2"/>
  <c r="L132" i="2"/>
  <c r="T132" i="2"/>
  <c r="T71" i="2"/>
  <c r="U71" i="2" s="1"/>
  <c r="I71" i="2"/>
  <c r="H71" i="2"/>
  <c r="T81" i="2"/>
  <c r="Q96" i="2"/>
  <c r="R96" i="2"/>
  <c r="S96" i="2"/>
  <c r="T89" i="2"/>
  <c r="BV87" i="3"/>
  <c r="EC87" i="3" s="1"/>
  <c r="BU87" i="3"/>
  <c r="EB87" i="3" s="1"/>
  <c r="EB4" i="3"/>
  <c r="EC4" i="3"/>
  <c r="ED4" i="3"/>
  <c r="T64" i="2"/>
  <c r="BV60" i="3"/>
  <c r="BU60" i="3"/>
  <c r="EB72" i="3" l="1"/>
  <c r="BV81" i="3"/>
  <c r="EC81" i="3" s="1"/>
  <c r="BU81" i="3"/>
  <c r="EB81" i="3" s="1"/>
  <c r="BV195" i="3"/>
  <c r="BV197" i="3" s="1"/>
  <c r="BV202" i="3" s="1"/>
  <c r="Y359" i="1"/>
  <c r="BU191" i="3"/>
  <c r="T133" i="2"/>
  <c r="BV159" i="3"/>
  <c r="BV160" i="3" s="1"/>
  <c r="BV191" i="3"/>
  <c r="BU159" i="3"/>
  <c r="BU160" i="3" s="1"/>
  <c r="EC72" i="3"/>
  <c r="BV141" i="3"/>
  <c r="S97" i="2"/>
  <c r="R97" i="2"/>
  <c r="AX37" i="14"/>
  <c r="AX36" i="14"/>
  <c r="AX34" i="14"/>
  <c r="AX24" i="14"/>
  <c r="AX22" i="14"/>
  <c r="AX12" i="14"/>
  <c r="AW37" i="14"/>
  <c r="AW36" i="14"/>
  <c r="AW34" i="14"/>
  <c r="AW24" i="14"/>
  <c r="AW22" i="14"/>
  <c r="AA87" i="14"/>
  <c r="AA86" i="14"/>
  <c r="AA84" i="14"/>
  <c r="AX6" i="14"/>
  <c r="AX2" i="14"/>
  <c r="AX33" i="14" s="1"/>
  <c r="BV193" i="3" l="1"/>
  <c r="BV194" i="3" s="1"/>
  <c r="BU193" i="3"/>
  <c r="BU192" i="3" s="1"/>
  <c r="BV208" i="3"/>
  <c r="BV210" i="3" s="1"/>
  <c r="BV205" i="3"/>
  <c r="BV169" i="3"/>
  <c r="BU169" i="3"/>
  <c r="BU195" i="3"/>
  <c r="BU141" i="3"/>
  <c r="AA67" i="14"/>
  <c r="BV192" i="3" l="1"/>
  <c r="BU194" i="3"/>
  <c r="BU197" i="3"/>
  <c r="BU202" i="3" s="1"/>
  <c r="AA60" i="14"/>
  <c r="AA59" i="14"/>
  <c r="AA57" i="14"/>
  <c r="AA45" i="14"/>
  <c r="AA35" i="14"/>
  <c r="AA33" i="14"/>
  <c r="AA31" i="14"/>
  <c r="AA29" i="14"/>
  <c r="AA23" i="14"/>
  <c r="AA18" i="14"/>
  <c r="AA11" i="14"/>
  <c r="AA10" i="14"/>
  <c r="AA5" i="14"/>
  <c r="AA4" i="14"/>
  <c r="AA3" i="14"/>
  <c r="X352" i="1"/>
  <c r="Y352" i="1"/>
  <c r="Y348" i="1"/>
  <c r="Y96" i="1"/>
  <c r="U237" i="1"/>
  <c r="U96" i="1" s="1"/>
  <c r="N22" i="6" s="1"/>
  <c r="V237" i="1"/>
  <c r="V96" i="1" s="1"/>
  <c r="O22" i="6" s="1"/>
  <c r="X237" i="1"/>
  <c r="X96" i="1" s="1"/>
  <c r="Q22" i="6" s="1"/>
  <c r="W237" i="1"/>
  <c r="W96" i="1" s="1"/>
  <c r="P22" i="6" s="1"/>
  <c r="AB233" i="1"/>
  <c r="AC233" i="1" s="1"/>
  <c r="AD233" i="1" s="1"/>
  <c r="AE233" i="1" s="1"/>
  <c r="AF233" i="1" s="1"/>
  <c r="AG233" i="1" s="1"/>
  <c r="AH233" i="1" s="1"/>
  <c r="AI233" i="1" s="1"/>
  <c r="Y231" i="1"/>
  <c r="Y230" i="1"/>
  <c r="Y227" i="1"/>
  <c r="Y226" i="1"/>
  <c r="G13" i="6"/>
  <c r="BU208" i="3" l="1"/>
  <c r="BU210" i="3" s="1"/>
  <c r="BU205" i="3"/>
  <c r="AA39" i="14"/>
  <c r="AA16" i="14"/>
  <c r="AA7" i="14"/>
  <c r="AA13" i="14"/>
  <c r="AA30" i="14"/>
  <c r="Y353" i="1"/>
  <c r="Y200" i="1"/>
  <c r="Y199" i="1"/>
  <c r="Y194" i="1"/>
  <c r="Y307" i="1"/>
  <c r="Y224" i="1"/>
  <c r="Y223" i="1"/>
  <c r="Y221" i="1"/>
  <c r="Y220" i="1"/>
  <c r="T147" i="2"/>
  <c r="X174" i="1"/>
  <c r="AA51" i="14" l="1"/>
  <c r="AA54" i="14"/>
  <c r="AA53" i="14"/>
  <c r="AA50" i="14"/>
  <c r="AA52" i="14"/>
  <c r="AA19" i="14"/>
  <c r="V174" i="1"/>
  <c r="W174" i="1"/>
  <c r="U149" i="1" l="1"/>
  <c r="X149" i="1"/>
  <c r="X150" i="1" s="1"/>
  <c r="W149" i="1"/>
  <c r="W150" i="1" s="1"/>
  <c r="BW39" i="3"/>
  <c r="BW40" i="3"/>
  <c r="BW38" i="3"/>
  <c r="BU24" i="3"/>
  <c r="BU19" i="3"/>
  <c r="BU12" i="3"/>
  <c r="U16" i="2"/>
  <c r="BU8" i="3"/>
  <c r="T25" i="2"/>
  <c r="T15" i="2"/>
  <c r="T5" i="2"/>
  <c r="T34" i="2"/>
  <c r="BU20" i="3" l="1"/>
  <c r="BU44" i="3" s="1"/>
  <c r="EB19" i="3"/>
  <c r="BU25" i="3"/>
  <c r="BU45" i="3" s="1"/>
  <c r="EB24" i="3"/>
  <c r="BV8" i="3"/>
  <c r="EC8" i="3" s="1"/>
  <c r="EB8" i="3"/>
  <c r="BU15" i="3"/>
  <c r="EB12" i="3"/>
  <c r="BV12" i="3"/>
  <c r="BV24" i="3"/>
  <c r="BV19" i="3"/>
  <c r="BU28" i="3"/>
  <c r="BU22" i="3"/>
  <c r="BU27" i="3"/>
  <c r="BU13" i="3"/>
  <c r="BU43" i="3" s="1"/>
  <c r="BU9" i="3"/>
  <c r="AA191" i="13"/>
  <c r="AA187" i="13"/>
  <c r="AE148" i="13"/>
  <c r="AE137" i="13"/>
  <c r="AE112" i="13"/>
  <c r="AE111" i="13"/>
  <c r="AE110" i="13"/>
  <c r="AE79" i="13"/>
  <c r="AE78" i="13"/>
  <c r="AE73" i="13"/>
  <c r="AE82" i="13" s="1"/>
  <c r="AE66" i="13"/>
  <c r="AE58" i="13"/>
  <c r="AE99" i="13" s="1"/>
  <c r="AE57" i="13"/>
  <c r="AE96" i="13" s="1"/>
  <c r="AE56" i="13"/>
  <c r="AE92" i="13" s="1"/>
  <c r="AE52" i="13"/>
  <c r="BU46" i="3" l="1"/>
  <c r="BV20" i="3"/>
  <c r="BV44" i="3" s="1"/>
  <c r="EC19" i="3"/>
  <c r="BV25" i="3"/>
  <c r="BV45" i="3" s="1"/>
  <c r="EC24" i="3"/>
  <c r="BV9" i="3"/>
  <c r="BV15" i="3"/>
  <c r="EC12" i="3"/>
  <c r="BV27" i="3"/>
  <c r="BV13" i="3"/>
  <c r="BV43" i="3" s="1"/>
  <c r="BV22" i="3"/>
  <c r="BV28" i="3"/>
  <c r="EA140" i="3"/>
  <c r="AE149" i="13" s="1"/>
  <c r="EA246" i="3"/>
  <c r="EA245" i="3"/>
  <c r="EA244" i="3"/>
  <c r="EA241" i="3"/>
  <c r="EA240" i="3"/>
  <c r="EA239" i="3"/>
  <c r="EA238" i="3"/>
  <c r="EA234" i="3"/>
  <c r="EA233" i="3"/>
  <c r="EA232" i="3"/>
  <c r="EA231" i="3"/>
  <c r="EA230" i="3"/>
  <c r="EA229" i="3"/>
  <c r="EA228" i="3"/>
  <c r="EA227" i="3"/>
  <c r="EA226" i="3"/>
  <c r="EA225" i="3"/>
  <c r="EA224" i="3"/>
  <c r="EA223" i="3"/>
  <c r="EA222" i="3"/>
  <c r="EA221" i="3"/>
  <c r="EA220" i="3"/>
  <c r="EA219" i="3"/>
  <c r="EA218" i="3"/>
  <c r="EA217" i="3"/>
  <c r="EA196" i="3"/>
  <c r="EA193" i="3"/>
  <c r="EA149" i="3"/>
  <c r="EA125" i="3"/>
  <c r="EA120" i="3"/>
  <c r="EA87" i="3"/>
  <c r="AE83" i="13" s="1"/>
  <c r="EA81" i="3"/>
  <c r="AE84" i="13" s="1"/>
  <c r="EA80" i="3"/>
  <c r="EA72" i="3"/>
  <c r="AE85" i="13" s="1"/>
  <c r="EA70" i="3"/>
  <c r="EA69" i="3"/>
  <c r="AE32" i="13" s="1"/>
  <c r="EA68" i="3"/>
  <c r="AE31" i="13" s="1"/>
  <c r="EA67" i="3"/>
  <c r="AE30" i="13" s="1"/>
  <c r="EA56" i="3"/>
  <c r="EA53" i="3"/>
  <c r="EA52" i="3"/>
  <c r="AE69" i="13" s="1"/>
  <c r="EA51" i="3"/>
  <c r="AE68" i="13" s="1"/>
  <c r="EA50" i="3"/>
  <c r="AE67" i="13" s="1"/>
  <c r="EA24" i="3"/>
  <c r="EA19" i="3"/>
  <c r="EA12" i="3"/>
  <c r="EA8" i="3"/>
  <c r="EA4" i="3"/>
  <c r="AE29" i="13" s="1"/>
  <c r="AE47" i="13" s="1"/>
  <c r="S27" i="13"/>
  <c r="S26" i="13"/>
  <c r="S20" i="13"/>
  <c r="AN20" i="13" s="1"/>
  <c r="S18" i="13"/>
  <c r="AN18" i="13" s="1"/>
  <c r="S17" i="13"/>
  <c r="AN17" i="13" s="1"/>
  <c r="S15" i="13"/>
  <c r="AN15" i="13" s="1"/>
  <c r="S9" i="13"/>
  <c r="S7" i="13"/>
  <c r="S5" i="13"/>
  <c r="AN5" i="13" s="1"/>
  <c r="S4" i="13"/>
  <c r="S3" i="13"/>
  <c r="AN3" i="13" s="1"/>
  <c r="BV46" i="3" l="1"/>
  <c r="BV29" i="3"/>
  <c r="S8" i="13"/>
  <c r="AN8" i="13" s="1"/>
  <c r="AE60" i="13"/>
  <c r="AE90" i="13" s="1"/>
  <c r="AE94" i="13" s="1"/>
  <c r="AE55" i="13"/>
  <c r="S6" i="13"/>
  <c r="S12" i="13" s="1"/>
  <c r="AN7" i="13"/>
  <c r="AN4" i="13"/>
  <c r="BT118" i="3" l="1"/>
  <c r="BT54" i="3"/>
  <c r="BT49" i="3"/>
  <c r="AA76" i="14" s="1"/>
  <c r="BT57" i="3"/>
  <c r="BT195" i="3"/>
  <c r="BT191" i="3"/>
  <c r="BT184" i="3"/>
  <c r="BT183" i="3"/>
  <c r="BT169" i="3"/>
  <c r="BT163" i="3"/>
  <c r="BT153" i="3"/>
  <c r="BT141" i="3"/>
  <c r="BT89" i="3"/>
  <c r="BT85" i="3"/>
  <c r="BT73" i="3"/>
  <c r="BT160" i="3" s="1"/>
  <c r="AA188" i="13" s="1"/>
  <c r="BT71" i="3"/>
  <c r="BT60" i="3"/>
  <c r="AE53" i="13"/>
  <c r="BT28" i="3"/>
  <c r="BU29" i="3" s="1"/>
  <c r="BT25" i="3"/>
  <c r="BT22" i="3"/>
  <c r="BT20" i="3"/>
  <c r="AE49" i="13" s="1"/>
  <c r="BT15" i="3"/>
  <c r="BT13" i="3"/>
  <c r="AE48" i="13" s="1"/>
  <c r="BT9" i="3"/>
  <c r="G1068" i="7"/>
  <c r="H1068" i="7"/>
  <c r="G1066" i="7"/>
  <c r="H1066" i="7"/>
  <c r="I1066" i="7" s="1"/>
  <c r="J1066" i="7" s="1"/>
  <c r="K1066" i="7" s="1"/>
  <c r="L1066" i="7" s="1"/>
  <c r="M1066" i="7" s="1"/>
  <c r="H1064" i="7"/>
  <c r="P8" i="5"/>
  <c r="G45" i="14"/>
  <c r="H45" i="14"/>
  <c r="I45" i="14"/>
  <c r="J45" i="14"/>
  <c r="K45" i="14"/>
  <c r="L45" i="14"/>
  <c r="M45" i="14"/>
  <c r="N45" i="14"/>
  <c r="O45" i="14"/>
  <c r="P45" i="14"/>
  <c r="Q45" i="14"/>
  <c r="R45" i="14"/>
  <c r="S45" i="14"/>
  <c r="T45" i="14"/>
  <c r="U45" i="14"/>
  <c r="V45" i="14"/>
  <c r="W45" i="14"/>
  <c r="X45" i="14"/>
  <c r="Y45" i="14"/>
  <c r="Z45" i="14"/>
  <c r="F45" i="14"/>
  <c r="AW12" i="14"/>
  <c r="AW6" i="14"/>
  <c r="Z87" i="14"/>
  <c r="Z86" i="14"/>
  <c r="Z84" i="14"/>
  <c r="W3" i="14"/>
  <c r="AX3" i="14" s="1"/>
  <c r="X3" i="14"/>
  <c r="Y3" i="14"/>
  <c r="Z3" i="14"/>
  <c r="Z60" i="14"/>
  <c r="Z59" i="14"/>
  <c r="Z57" i="14"/>
  <c r="Z35" i="14"/>
  <c r="Z33" i="14"/>
  <c r="Z23" i="14"/>
  <c r="Z31" i="14"/>
  <c r="Z29" i="14"/>
  <c r="Z18" i="14"/>
  <c r="Z11" i="14"/>
  <c r="AA27" i="14" l="1"/>
  <c r="AA85" i="14"/>
  <c r="AE76" i="13"/>
  <c r="AE150" i="13" s="1"/>
  <c r="AA17" i="14"/>
  <c r="Z39" i="14"/>
  <c r="AA58" i="14"/>
  <c r="BT45" i="3"/>
  <c r="AE63" i="13" s="1"/>
  <c r="AE50" i="13"/>
  <c r="AE51" i="13" s="1"/>
  <c r="BT192" i="3"/>
  <c r="BT197" i="3"/>
  <c r="EA200" i="3"/>
  <c r="EA154" i="3"/>
  <c r="AE138" i="13"/>
  <c r="EA49" i="3"/>
  <c r="AA192" i="13"/>
  <c r="S10" i="13"/>
  <c r="AE74" i="13"/>
  <c r="BT43" i="3"/>
  <c r="S23" i="13"/>
  <c r="BT44" i="3"/>
  <c r="AE62" i="13" s="1"/>
  <c r="AE95" i="13" s="1"/>
  <c r="S24" i="13"/>
  <c r="BT194" i="3"/>
  <c r="BT173" i="3"/>
  <c r="Z30" i="14"/>
  <c r="Z51" i="14" l="1"/>
  <c r="Z50" i="14"/>
  <c r="Z52" i="14"/>
  <c r="AA61" i="14"/>
  <c r="Z53" i="14"/>
  <c r="Z54" i="14"/>
  <c r="BT202" i="3"/>
  <c r="BT46" i="3"/>
  <c r="AE64" i="13" s="1"/>
  <c r="AE61" i="13"/>
  <c r="AE91" i="13" s="1"/>
  <c r="S14" i="13"/>
  <c r="AN14" i="13" s="1"/>
  <c r="Z5" i="14"/>
  <c r="S16" i="13" l="1"/>
  <c r="AN16" i="13" s="1"/>
  <c r="BT205" i="3"/>
  <c r="BT208" i="3"/>
  <c r="Z4" i="14"/>
  <c r="Y10" i="14"/>
  <c r="X10" i="14"/>
  <c r="X16" i="14" s="1"/>
  <c r="W10" i="14"/>
  <c r="AX10" i="14" s="1"/>
  <c r="Z10" i="14"/>
  <c r="Z67" i="14"/>
  <c r="S19" i="13" l="1"/>
  <c r="AN19" i="13" s="1"/>
  <c r="BT210" i="3"/>
  <c r="Z16" i="14"/>
  <c r="AW10" i="14"/>
  <c r="Z13" i="14"/>
  <c r="Z7" i="14"/>
  <c r="Z19" i="14" l="1"/>
  <c r="AW3" i="14" l="1"/>
  <c r="K65" i="14"/>
  <c r="DN233" i="3"/>
  <c r="BO239" i="3" l="1"/>
  <c r="BO240" i="3" s="1"/>
  <c r="BS240" i="3" s="1"/>
  <c r="BO238" i="3"/>
  <c r="DZ232" i="3"/>
  <c r="DZ229" i="3"/>
  <c r="DZ224" i="3"/>
  <c r="BS219" i="3"/>
  <c r="DZ219" i="3" s="1"/>
  <c r="BS222" i="3"/>
  <c r="DZ222" i="3" s="1"/>
  <c r="BS225" i="3"/>
  <c r="DZ225" i="3" s="1"/>
  <c r="BS226" i="3"/>
  <c r="DZ226" i="3" s="1"/>
  <c r="BS227" i="3"/>
  <c r="DZ227" i="3" s="1"/>
  <c r="BS230" i="3"/>
  <c r="DZ230" i="3" s="1"/>
  <c r="BS233" i="3"/>
  <c r="DZ233" i="3" s="1"/>
  <c r="Z191" i="13"/>
  <c r="Z187" i="13"/>
  <c r="BO195" i="3"/>
  <c r="DS196" i="3"/>
  <c r="DS193" i="3"/>
  <c r="DT196" i="3"/>
  <c r="DT193" i="3"/>
  <c r="DU196" i="3"/>
  <c r="DU193" i="3"/>
  <c r="DV196" i="3"/>
  <c r="DV193" i="3"/>
  <c r="DW196" i="3"/>
  <c r="DW193" i="3"/>
  <c r="DX196" i="3"/>
  <c r="DX193" i="3"/>
  <c r="DY196" i="3"/>
  <c r="DY193" i="3"/>
  <c r="DZ196" i="3"/>
  <c r="DZ193" i="3"/>
  <c r="BO154" i="3"/>
  <c r="BF153" i="3"/>
  <c r="BG153" i="3"/>
  <c r="BH153" i="3"/>
  <c r="DO153" i="3" s="1"/>
  <c r="BI153" i="3"/>
  <c r="DP153" i="3" s="1"/>
  <c r="BJ153" i="3"/>
  <c r="BK153" i="3"/>
  <c r="BL153" i="3"/>
  <c r="BM153" i="3"/>
  <c r="BN153" i="3"/>
  <c r="BO153" i="3"/>
  <c r="BP153" i="3"/>
  <c r="EA153" i="3" s="1"/>
  <c r="BQ153" i="3"/>
  <c r="BR153" i="3"/>
  <c r="BS153" i="3"/>
  <c r="BS195" i="3"/>
  <c r="BS197" i="3" s="1"/>
  <c r="BS223" i="3" s="1"/>
  <c r="DZ223" i="3" s="1"/>
  <c r="BS191" i="3"/>
  <c r="BS192" i="3" s="1"/>
  <c r="BS184" i="3"/>
  <c r="BT185" i="3" s="1"/>
  <c r="BS183" i="3"/>
  <c r="BS172" i="3"/>
  <c r="BS169" i="3"/>
  <c r="Z192" i="13" s="1"/>
  <c r="BS163" i="3"/>
  <c r="DZ56" i="3"/>
  <c r="BS71" i="3"/>
  <c r="BP85" i="3"/>
  <c r="BQ85" i="3"/>
  <c r="BR85" i="3"/>
  <c r="BS85" i="3"/>
  <c r="BR57" i="3"/>
  <c r="BQ57" i="3"/>
  <c r="BP57" i="3"/>
  <c r="EA57" i="3" s="1"/>
  <c r="BS57" i="3"/>
  <c r="BS49" i="3"/>
  <c r="T96" i="2" s="1"/>
  <c r="T97" i="2" s="1"/>
  <c r="BS54" i="3"/>
  <c r="DZ72" i="3"/>
  <c r="DZ52" i="3"/>
  <c r="AD69" i="13" s="1"/>
  <c r="DZ51" i="3"/>
  <c r="AD68" i="13" s="1"/>
  <c r="DZ50" i="3"/>
  <c r="AD67" i="13" s="1"/>
  <c r="DZ24" i="3"/>
  <c r="DZ19" i="3"/>
  <c r="DZ12" i="3"/>
  <c r="DZ8" i="3"/>
  <c r="DZ4" i="3"/>
  <c r="AD148" i="13"/>
  <c r="AD137" i="13"/>
  <c r="AD112" i="13"/>
  <c r="AD111" i="13"/>
  <c r="AD110" i="13"/>
  <c r="AD79" i="13"/>
  <c r="AD78" i="13"/>
  <c r="AD73" i="13"/>
  <c r="AD82" i="13" s="1"/>
  <c r="AD66" i="13"/>
  <c r="AD58" i="13"/>
  <c r="AD99" i="13" s="1"/>
  <c r="AD57" i="13"/>
  <c r="AD96" i="13" s="1"/>
  <c r="AD56" i="13"/>
  <c r="AD92" i="13" s="1"/>
  <c r="AD52" i="13"/>
  <c r="Y27" i="13"/>
  <c r="Y26" i="13"/>
  <c r="Y24" i="13"/>
  <c r="Y23" i="13"/>
  <c r="Y19" i="13"/>
  <c r="Y18" i="13"/>
  <c r="Y17" i="13"/>
  <c r="Y16" i="13"/>
  <c r="Y10" i="13"/>
  <c r="Y9" i="13"/>
  <c r="Y7" i="13"/>
  <c r="Y5" i="13"/>
  <c r="Y4" i="13"/>
  <c r="Y3" i="13"/>
  <c r="R27" i="13"/>
  <c r="R26" i="13"/>
  <c r="R18" i="13"/>
  <c r="R17" i="13"/>
  <c r="R15" i="13"/>
  <c r="R3" i="13"/>
  <c r="AF71" i="14"/>
  <c r="AF72" i="14" s="1"/>
  <c r="AE71" i="14"/>
  <c r="AD71" i="14"/>
  <c r="AD72" i="14" s="1"/>
  <c r="X76" i="14"/>
  <c r="Y76" i="14"/>
  <c r="AV37" i="14"/>
  <c r="AV36" i="14"/>
  <c r="AV34" i="14"/>
  <c r="AV24" i="14"/>
  <c r="AV22" i="14"/>
  <c r="AV12" i="14"/>
  <c r="AV10" i="14"/>
  <c r="AU37" i="14"/>
  <c r="AU36" i="14"/>
  <c r="AU34" i="14"/>
  <c r="AU24" i="14"/>
  <c r="AU22" i="14"/>
  <c r="AU12" i="14"/>
  <c r="AU10" i="14"/>
  <c r="AT37" i="14"/>
  <c r="AT36" i="14"/>
  <c r="AT34" i="14"/>
  <c r="AT24" i="14"/>
  <c r="AT22" i="14"/>
  <c r="AT12" i="14"/>
  <c r="AT10" i="14"/>
  <c r="DZ49" i="3" l="1"/>
  <c r="Z76" i="14"/>
  <c r="DZ153" i="3"/>
  <c r="DR153" i="3"/>
  <c r="DV153" i="3"/>
  <c r="DU153" i="3"/>
  <c r="DQ153" i="3"/>
  <c r="DT153" i="3"/>
  <c r="DS153" i="3"/>
  <c r="AD138" i="13"/>
  <c r="DX153" i="3"/>
  <c r="DW153" i="3"/>
  <c r="BS221" i="3"/>
  <c r="BS246" i="3" s="1"/>
  <c r="DZ154" i="3"/>
  <c r="BO244" i="3"/>
  <c r="DY153" i="3"/>
  <c r="BS218" i="3"/>
  <c r="BS194" i="3"/>
  <c r="BS217" i="3"/>
  <c r="DZ195" i="3"/>
  <c r="DZ200" i="3"/>
  <c r="DZ240" i="3"/>
  <c r="BS173" i="3"/>
  <c r="BS202" i="3"/>
  <c r="BS228" i="3" s="1"/>
  <c r="DZ228" i="3" s="1"/>
  <c r="R14" i="13"/>
  <c r="X86" i="14"/>
  <c r="Y86" i="14"/>
  <c r="Y87" i="14"/>
  <c r="X84" i="14"/>
  <c r="Y84" i="14"/>
  <c r="BS220" i="3" l="1"/>
  <c r="DZ220" i="3" s="1"/>
  <c r="DZ221" i="3"/>
  <c r="BS238" i="3"/>
  <c r="DZ238" i="3" s="1"/>
  <c r="DZ218" i="3"/>
  <c r="BS241" i="3"/>
  <c r="DZ241" i="3" s="1"/>
  <c r="DZ141" i="3" s="1"/>
  <c r="DZ217" i="3"/>
  <c r="BS208" i="3"/>
  <c r="BS205" i="3"/>
  <c r="BS231" i="3" s="1"/>
  <c r="DZ231" i="3" s="1"/>
  <c r="R16" i="13"/>
  <c r="X35" i="14"/>
  <c r="Y35" i="14"/>
  <c r="X57" i="14"/>
  <c r="Y57" i="14"/>
  <c r="X59" i="14"/>
  <c r="Y59" i="14"/>
  <c r="X60" i="14"/>
  <c r="Y60" i="14"/>
  <c r="Y33" i="14"/>
  <c r="Y31" i="14"/>
  <c r="Y29" i="14"/>
  <c r="X33" i="14"/>
  <c r="X31" i="14"/>
  <c r="X29" i="14"/>
  <c r="X23" i="14"/>
  <c r="Y23" i="14"/>
  <c r="Y67" i="14"/>
  <c r="X67" i="14"/>
  <c r="Y18" i="14"/>
  <c r="X18" i="14"/>
  <c r="Y16" i="14"/>
  <c r="X11" i="14"/>
  <c r="Y11" i="14"/>
  <c r="S18" i="14"/>
  <c r="R18" i="14"/>
  <c r="Q18" i="14"/>
  <c r="P18" i="14"/>
  <c r="O18" i="14"/>
  <c r="N18" i="14"/>
  <c r="M18" i="14"/>
  <c r="L18" i="14"/>
  <c r="K18" i="14"/>
  <c r="J18" i="14"/>
  <c r="I18" i="14"/>
  <c r="H18" i="14"/>
  <c r="G18" i="14"/>
  <c r="F18" i="14"/>
  <c r="E18" i="14"/>
  <c r="D18" i="14"/>
  <c r="C18" i="14"/>
  <c r="W503" i="14"/>
  <c r="V503" i="14"/>
  <c r="U503" i="14"/>
  <c r="T503" i="14"/>
  <c r="AW2" i="14"/>
  <c r="AW33" i="14" s="1"/>
  <c r="AV6" i="14"/>
  <c r="AV5" i="14"/>
  <c r="AV3" i="14"/>
  <c r="AV2" i="14"/>
  <c r="AV33" i="14" s="1"/>
  <c r="AU6" i="14"/>
  <c r="AU5" i="14"/>
  <c r="AU3" i="14"/>
  <c r="AU2" i="14"/>
  <c r="AU33" i="14" s="1"/>
  <c r="AE72" i="14" l="1"/>
  <c r="Z58" i="14"/>
  <c r="Z85" i="14"/>
  <c r="Z27" i="14"/>
  <c r="BS239" i="3"/>
  <c r="DZ239" i="3" s="1"/>
  <c r="BS234" i="3"/>
  <c r="DZ234" i="3" s="1"/>
  <c r="BS210" i="3"/>
  <c r="BS235" i="3" s="1"/>
  <c r="R19" i="13"/>
  <c r="Y27" i="14"/>
  <c r="X39" i="14"/>
  <c r="X54" i="14" s="1"/>
  <c r="Y13" i="14"/>
  <c r="X13" i="14"/>
  <c r="Y39" i="14"/>
  <c r="Y30" i="14"/>
  <c r="Y85" i="14"/>
  <c r="X30" i="14"/>
  <c r="Y58" i="14"/>
  <c r="Y50" i="14" l="1"/>
  <c r="Z61" i="14"/>
  <c r="BS244" i="3"/>
  <c r="BS245" i="3" s="1"/>
  <c r="X50" i="14"/>
  <c r="X51" i="14"/>
  <c r="Y51" i="14"/>
  <c r="Y52" i="14"/>
  <c r="Y54" i="14"/>
  <c r="X53" i="14"/>
  <c r="Y53" i="14"/>
  <c r="X52" i="14"/>
  <c r="Y61" i="14"/>
  <c r="X4" i="14"/>
  <c r="Y4" i="14"/>
  <c r="E27" i="2"/>
  <c r="F27" i="2"/>
  <c r="E17" i="2"/>
  <c r="F17" i="2"/>
  <c r="BP54" i="3"/>
  <c r="BQ54" i="3"/>
  <c r="BR54" i="3"/>
  <c r="BX80" i="3"/>
  <c r="Y191" i="13"/>
  <c r="Y187" i="13"/>
  <c r="AC148" i="13"/>
  <c r="AC138" i="13"/>
  <c r="AC137" i="13"/>
  <c r="AC52" i="13"/>
  <c r="AC58" i="13"/>
  <c r="AC99" i="13" s="1"/>
  <c r="AC57" i="13"/>
  <c r="AC96" i="13" s="1"/>
  <c r="AC56" i="13"/>
  <c r="AC92" i="13" s="1"/>
  <c r="AC66" i="13"/>
  <c r="AC112" i="13"/>
  <c r="AC111" i="13"/>
  <c r="AC110" i="13"/>
  <c r="AC79" i="13"/>
  <c r="AC78" i="13"/>
  <c r="AC74" i="13"/>
  <c r="AC73" i="13"/>
  <c r="AC82" i="13" s="1"/>
  <c r="GB195" i="3"/>
  <c r="GB191" i="3"/>
  <c r="Q27" i="13"/>
  <c r="Q26" i="13"/>
  <c r="Q20" i="13"/>
  <c r="Q18" i="13"/>
  <c r="Q17" i="13"/>
  <c r="Q15" i="13"/>
  <c r="Q10" i="13"/>
  <c r="Q7" i="13"/>
  <c r="Q5" i="13"/>
  <c r="Q4" i="13"/>
  <c r="Q3" i="13"/>
  <c r="DY140" i="3"/>
  <c r="AC149" i="13" s="1"/>
  <c r="DY104" i="3"/>
  <c r="AC33" i="13" s="1"/>
  <c r="DY80" i="3"/>
  <c r="DY79" i="3"/>
  <c r="DY77" i="3"/>
  <c r="DY76" i="3"/>
  <c r="DY72" i="3"/>
  <c r="AC85" i="13" s="1"/>
  <c r="DY52" i="3"/>
  <c r="AC69" i="13" s="1"/>
  <c r="DY51" i="3"/>
  <c r="AC68" i="13" s="1"/>
  <c r="DY50" i="3"/>
  <c r="AC67" i="13" s="1"/>
  <c r="DY49" i="3"/>
  <c r="DY24" i="3"/>
  <c r="DY19" i="3"/>
  <c r="DY12" i="3"/>
  <c r="DY8" i="3"/>
  <c r="BR130" i="3"/>
  <c r="AC75" i="13" s="1"/>
  <c r="BR172" i="3"/>
  <c r="BR195" i="3"/>
  <c r="BR191" i="3"/>
  <c r="BR184" i="3"/>
  <c r="BS185" i="3" s="1"/>
  <c r="BR183" i="3"/>
  <c r="BR169" i="3"/>
  <c r="Y192" i="13" s="1"/>
  <c r="BR163" i="3"/>
  <c r="BR141" i="3"/>
  <c r="BR60" i="3"/>
  <c r="BR35" i="3"/>
  <c r="BR34" i="3"/>
  <c r="AC53" i="13" s="1"/>
  <c r="BR33" i="3"/>
  <c r="BR28" i="3"/>
  <c r="BR27" i="3"/>
  <c r="BR25" i="3"/>
  <c r="BR45" i="3" s="1"/>
  <c r="AC63" i="13" s="1"/>
  <c r="BR22" i="3"/>
  <c r="BR20" i="3"/>
  <c r="BR44" i="3" s="1"/>
  <c r="AC62" i="13" s="1"/>
  <c r="AC95" i="13" s="1"/>
  <c r="BR15" i="3"/>
  <c r="BR13" i="3"/>
  <c r="Q23" i="13" s="1"/>
  <c r="BR9" i="3"/>
  <c r="BV30" i="3" l="1"/>
  <c r="EC28" i="3"/>
  <c r="DZ244" i="3"/>
  <c r="BR192" i="3"/>
  <c r="DO220" i="3" s="1"/>
  <c r="BR197" i="3"/>
  <c r="Q14" i="13" s="1"/>
  <c r="BO245" i="3"/>
  <c r="BO246" i="3" s="1"/>
  <c r="DZ246" i="3" s="1"/>
  <c r="DY117" i="3"/>
  <c r="Q9" i="13"/>
  <c r="Y7" i="14"/>
  <c r="AC76" i="13"/>
  <c r="AC150" i="13" s="1"/>
  <c r="Y17" i="14"/>
  <c r="X7" i="14"/>
  <c r="Q6" i="13"/>
  <c r="AC48" i="13"/>
  <c r="BR173" i="3"/>
  <c r="AC49" i="13"/>
  <c r="AC50" i="13"/>
  <c r="BR43" i="3"/>
  <c r="Q24" i="13"/>
  <c r="BR194" i="3"/>
  <c r="DO222" i="3" s="1"/>
  <c r="Q8" i="13"/>
  <c r="DZ245" i="3" l="1"/>
  <c r="BR202" i="3"/>
  <c r="X19" i="14"/>
  <c r="Y19" i="14"/>
  <c r="Q12" i="13"/>
  <c r="BR46" i="3"/>
  <c r="AC64" i="13" s="1"/>
  <c r="AC61" i="13"/>
  <c r="AC91" i="13" s="1"/>
  <c r="AC51" i="13"/>
  <c r="Q16" i="13" l="1"/>
  <c r="BR208" i="3"/>
  <c r="BV209" i="3" s="1"/>
  <c r="BR205" i="3"/>
  <c r="X191" i="13"/>
  <c r="X187" i="13"/>
  <c r="BR210" i="3" l="1"/>
  <c r="Q19" i="13"/>
  <c r="AB148" i="13"/>
  <c r="AB138" i="13"/>
  <c r="AB137" i="13"/>
  <c r="AB79" i="13"/>
  <c r="AB78" i="13"/>
  <c r="AB74" i="13"/>
  <c r="AB73" i="13"/>
  <c r="AB82" i="13" s="1"/>
  <c r="AB112" i="13"/>
  <c r="AB111" i="13"/>
  <c r="AB110" i="13"/>
  <c r="DX140" i="3"/>
  <c r="AB149" i="13" s="1"/>
  <c r="DX104" i="3"/>
  <c r="DX80" i="3"/>
  <c r="DX79" i="3"/>
  <c r="DX77" i="3"/>
  <c r="DX76" i="3"/>
  <c r="DX72" i="3"/>
  <c r="AB85" i="13" s="1"/>
  <c r="DX52" i="3"/>
  <c r="AB69" i="13" s="1"/>
  <c r="DX51" i="3"/>
  <c r="AB68" i="13" s="1"/>
  <c r="DX50" i="3"/>
  <c r="AB67" i="13" s="1"/>
  <c r="DX49" i="3"/>
  <c r="DX24" i="3"/>
  <c r="DX19" i="3"/>
  <c r="DX12" i="3"/>
  <c r="DX8" i="3"/>
  <c r="DX4" i="3"/>
  <c r="AB66" i="13"/>
  <c r="AB58" i="13"/>
  <c r="AB99" i="13" s="1"/>
  <c r="AB57" i="13"/>
  <c r="AB96" i="13" s="1"/>
  <c r="AB56" i="13"/>
  <c r="AB92" i="13" s="1"/>
  <c r="AB52" i="13"/>
  <c r="GA195" i="3"/>
  <c r="GA194" i="3" s="1"/>
  <c r="GA191" i="3"/>
  <c r="GA192" i="3" s="1"/>
  <c r="P5" i="13"/>
  <c r="O5" i="13"/>
  <c r="AS5" i="13" s="1"/>
  <c r="P27" i="13"/>
  <c r="P26" i="13"/>
  <c r="P20" i="13"/>
  <c r="P18" i="13"/>
  <c r="P17" i="13"/>
  <c r="P15" i="13"/>
  <c r="P10" i="13"/>
  <c r="P7" i="13"/>
  <c r="P4" i="13"/>
  <c r="P3" i="13"/>
  <c r="BO125" i="3"/>
  <c r="BQ88" i="3"/>
  <c r="BQ195" i="3"/>
  <c r="BQ191" i="3"/>
  <c r="BQ184" i="3"/>
  <c r="BR185" i="3" s="1"/>
  <c r="BQ183" i="3"/>
  <c r="BQ172" i="3"/>
  <c r="BQ169" i="3"/>
  <c r="X192" i="13" s="1"/>
  <c r="BQ163" i="3"/>
  <c r="BQ141" i="3"/>
  <c r="BQ89" i="3"/>
  <c r="BQ73" i="3"/>
  <c r="BQ160" i="3" s="1"/>
  <c r="X188" i="13" s="1"/>
  <c r="BQ60" i="3"/>
  <c r="F4" i="12"/>
  <c r="Y249" i="1"/>
  <c r="Z249" i="1" s="1"/>
  <c r="AA249" i="1" s="1"/>
  <c r="AB249" i="1" s="1"/>
  <c r="AC249" i="1" s="1"/>
  <c r="AD249" i="1" s="1"/>
  <c r="AE249" i="1" s="1"/>
  <c r="AF249" i="1" s="1"/>
  <c r="AG249" i="1" s="1"/>
  <c r="AH249" i="1" s="1"/>
  <c r="AI249" i="1" s="1"/>
  <c r="P373" i="1"/>
  <c r="O373" i="1"/>
  <c r="N373" i="1"/>
  <c r="M373" i="1"/>
  <c r="L373" i="1"/>
  <c r="U362" i="1"/>
  <c r="V309" i="1" s="1"/>
  <c r="T362" i="1"/>
  <c r="U309" i="1" s="1"/>
  <c r="N362" i="1"/>
  <c r="O98" i="1" s="1"/>
  <c r="L362" i="1"/>
  <c r="L98" i="1" s="1"/>
  <c r="X360" i="1"/>
  <c r="V360" i="1"/>
  <c r="U360" i="1"/>
  <c r="V359" i="1"/>
  <c r="U359" i="1"/>
  <c r="T359" i="1"/>
  <c r="S359" i="1"/>
  <c r="R359" i="1"/>
  <c r="Q359" i="1"/>
  <c r="P359" i="1"/>
  <c r="O359" i="1"/>
  <c r="W358" i="1"/>
  <c r="W360" i="1" s="1"/>
  <c r="M358" i="1"/>
  <c r="N354" i="1"/>
  <c r="N356" i="1" s="1"/>
  <c r="M354" i="1"/>
  <c r="M356" i="1" s="1"/>
  <c r="L354" i="1"/>
  <c r="L356" i="1" s="1"/>
  <c r="K354" i="1"/>
  <c r="K356" i="1" s="1"/>
  <c r="J354" i="1"/>
  <c r="J356" i="1" s="1"/>
  <c r="N353" i="1"/>
  <c r="M353" i="1"/>
  <c r="L353" i="1"/>
  <c r="K353" i="1"/>
  <c r="J353" i="1"/>
  <c r="O352" i="1"/>
  <c r="P352" i="1" s="1"/>
  <c r="U350" i="1"/>
  <c r="N350" i="1"/>
  <c r="M350" i="1"/>
  <c r="L350" i="1"/>
  <c r="K350" i="1"/>
  <c r="J350" i="1"/>
  <c r="U349" i="1"/>
  <c r="N349" i="1"/>
  <c r="M349" i="1"/>
  <c r="L349" i="1"/>
  <c r="K349" i="1"/>
  <c r="J349" i="1"/>
  <c r="X348" i="1"/>
  <c r="Y349" i="1" s="1"/>
  <c r="W348" i="1"/>
  <c r="V348" i="1"/>
  <c r="O348" i="1"/>
  <c r="O350" i="1" s="1"/>
  <c r="K342" i="1"/>
  <c r="J342" i="1"/>
  <c r="I342" i="1"/>
  <c r="H342" i="1"/>
  <c r="G342" i="1"/>
  <c r="F342" i="1"/>
  <c r="E342" i="1"/>
  <c r="D342" i="1"/>
  <c r="X335" i="1"/>
  <c r="W335" i="1"/>
  <c r="V335" i="1"/>
  <c r="U335" i="1"/>
  <c r="T335" i="1"/>
  <c r="S335" i="1"/>
  <c r="R335" i="1"/>
  <c r="Q335" i="1"/>
  <c r="P335" i="1"/>
  <c r="O335" i="1"/>
  <c r="N335" i="1"/>
  <c r="M335" i="1"/>
  <c r="L335" i="1"/>
  <c r="D334" i="1"/>
  <c r="E334" i="1" s="1"/>
  <c r="F334" i="1" s="1"/>
  <c r="G334" i="1" s="1"/>
  <c r="H334" i="1" s="1"/>
  <c r="I334" i="1" s="1"/>
  <c r="J334" i="1" s="1"/>
  <c r="K334" i="1" s="1"/>
  <c r="L334" i="1" s="1"/>
  <c r="M334" i="1" s="1"/>
  <c r="N334" i="1" s="1"/>
  <c r="O334" i="1" s="1"/>
  <c r="P334" i="1" s="1"/>
  <c r="Q334" i="1" s="1"/>
  <c r="R334" i="1" s="1"/>
  <c r="S334" i="1" s="1"/>
  <c r="T334" i="1" s="1"/>
  <c r="U334" i="1" s="1"/>
  <c r="V334" i="1" s="1"/>
  <c r="W334" i="1" s="1"/>
  <c r="X334" i="1" s="1"/>
  <c r="Y334" i="1" s="1"/>
  <c r="Z334" i="1" s="1"/>
  <c r="AA334" i="1" s="1"/>
  <c r="AB334" i="1" s="1"/>
  <c r="AC334" i="1" s="1"/>
  <c r="AD334" i="1" s="1"/>
  <c r="AE334" i="1" s="1"/>
  <c r="AF334" i="1" s="1"/>
  <c r="AG334" i="1" s="1"/>
  <c r="AH334" i="1" s="1"/>
  <c r="AI334" i="1" s="1"/>
  <c r="AI330" i="1"/>
  <c r="AI101" i="1" s="1"/>
  <c r="AH330" i="1"/>
  <c r="AH101" i="1" s="1"/>
  <c r="AG330" i="1"/>
  <c r="AG101" i="1" s="1"/>
  <c r="AF330" i="1"/>
  <c r="AF101" i="1" s="1"/>
  <c r="AE330" i="1"/>
  <c r="AE101" i="1" s="1"/>
  <c r="AD330" i="1"/>
  <c r="AD101" i="1" s="1"/>
  <c r="AC330" i="1"/>
  <c r="AC101" i="1" s="1"/>
  <c r="AB330" i="1"/>
  <c r="AB101" i="1" s="1"/>
  <c r="AA330" i="1"/>
  <c r="AA101" i="1" s="1"/>
  <c r="Z330" i="1"/>
  <c r="Z101" i="1" s="1"/>
  <c r="Y330" i="1"/>
  <c r="X330" i="1"/>
  <c r="W330" i="1"/>
  <c r="V330" i="1"/>
  <c r="U330" i="1"/>
  <c r="T330" i="1"/>
  <c r="S330" i="1"/>
  <c r="R330" i="1"/>
  <c r="Q330" i="1"/>
  <c r="P330" i="1"/>
  <c r="O330" i="1"/>
  <c r="N330" i="1"/>
  <c r="M330" i="1"/>
  <c r="L330" i="1"/>
  <c r="K330" i="1"/>
  <c r="J330" i="1"/>
  <c r="I330" i="1"/>
  <c r="H330" i="1"/>
  <c r="G330" i="1"/>
  <c r="F330" i="1"/>
  <c r="E330" i="1"/>
  <c r="D330" i="1"/>
  <c r="D322" i="1"/>
  <c r="E322" i="1" s="1"/>
  <c r="F322" i="1" s="1"/>
  <c r="G322" i="1" s="1"/>
  <c r="H322" i="1" s="1"/>
  <c r="I322" i="1" s="1"/>
  <c r="J322" i="1" s="1"/>
  <c r="K322" i="1" s="1"/>
  <c r="L322" i="1" s="1"/>
  <c r="M322" i="1" s="1"/>
  <c r="N322" i="1" s="1"/>
  <c r="O322" i="1" s="1"/>
  <c r="P322" i="1" s="1"/>
  <c r="Q322" i="1" s="1"/>
  <c r="R322" i="1" s="1"/>
  <c r="S322" i="1" s="1"/>
  <c r="T322" i="1" s="1"/>
  <c r="U322" i="1" s="1"/>
  <c r="V322" i="1" s="1"/>
  <c r="W322" i="1" s="1"/>
  <c r="X322" i="1" s="1"/>
  <c r="Y322" i="1" s="1"/>
  <c r="Z322" i="1" s="1"/>
  <c r="AA322" i="1" s="1"/>
  <c r="AB322" i="1" s="1"/>
  <c r="AC322" i="1" s="1"/>
  <c r="AD322" i="1" s="1"/>
  <c r="AE322" i="1" s="1"/>
  <c r="AF322" i="1" s="1"/>
  <c r="AG322" i="1" s="1"/>
  <c r="AH322" i="1" s="1"/>
  <c r="AI322" i="1" s="1"/>
  <c r="H318" i="1"/>
  <c r="G318" i="1"/>
  <c r="F318" i="1"/>
  <c r="E318" i="1"/>
  <c r="D318" i="1"/>
  <c r="P316" i="1"/>
  <c r="P318" i="1" s="1"/>
  <c r="O316" i="1"/>
  <c r="O318" i="1" s="1"/>
  <c r="N316" i="1"/>
  <c r="N318" i="1" s="1"/>
  <c r="M316" i="1"/>
  <c r="M318" i="1" s="1"/>
  <c r="L316" i="1"/>
  <c r="L318" i="1" s="1"/>
  <c r="K316" i="1"/>
  <c r="K318" i="1" s="1"/>
  <c r="J316" i="1"/>
  <c r="J318" i="1" s="1"/>
  <c r="I316" i="1"/>
  <c r="I318" i="1" s="1"/>
  <c r="D315" i="1"/>
  <c r="E315" i="1" s="1"/>
  <c r="F315" i="1" s="1"/>
  <c r="G315" i="1" s="1"/>
  <c r="H315" i="1" s="1"/>
  <c r="I315" i="1" s="1"/>
  <c r="J315" i="1" s="1"/>
  <c r="K315" i="1" s="1"/>
  <c r="L315" i="1" s="1"/>
  <c r="M315" i="1" s="1"/>
  <c r="N315" i="1" s="1"/>
  <c r="O315" i="1" s="1"/>
  <c r="P315" i="1" s="1"/>
  <c r="Q315" i="1" s="1"/>
  <c r="R315" i="1" s="1"/>
  <c r="S315" i="1" s="1"/>
  <c r="T315" i="1" s="1"/>
  <c r="U315" i="1" s="1"/>
  <c r="V315" i="1" s="1"/>
  <c r="W315" i="1" s="1"/>
  <c r="X315" i="1" s="1"/>
  <c r="Y315" i="1" s="1"/>
  <c r="Z315" i="1" s="1"/>
  <c r="AA315" i="1" s="1"/>
  <c r="AB315" i="1" s="1"/>
  <c r="AC315" i="1" s="1"/>
  <c r="AD315" i="1" s="1"/>
  <c r="AE315" i="1" s="1"/>
  <c r="AF315" i="1" s="1"/>
  <c r="AG315" i="1" s="1"/>
  <c r="AH315" i="1" s="1"/>
  <c r="AI315" i="1" s="1"/>
  <c r="K309" i="1"/>
  <c r="J309" i="1"/>
  <c r="I309" i="1"/>
  <c r="H309" i="1"/>
  <c r="G309" i="1"/>
  <c r="F309" i="1"/>
  <c r="E309" i="1"/>
  <c r="D309" i="1"/>
  <c r="D308" i="1"/>
  <c r="X307" i="1"/>
  <c r="X81" i="1" s="1"/>
  <c r="W307" i="1"/>
  <c r="W81" i="1" s="1"/>
  <c r="V307" i="1"/>
  <c r="V81" i="1" s="1"/>
  <c r="U307" i="1"/>
  <c r="U81" i="1" s="1"/>
  <c r="T307" i="1"/>
  <c r="T81" i="1" s="1"/>
  <c r="S307" i="1"/>
  <c r="S81" i="1" s="1"/>
  <c r="R307" i="1"/>
  <c r="R81" i="1" s="1"/>
  <c r="Q307" i="1"/>
  <c r="Q81" i="1" s="1"/>
  <c r="P307" i="1"/>
  <c r="P81" i="1" s="1"/>
  <c r="O307" i="1"/>
  <c r="O81" i="1" s="1"/>
  <c r="N307" i="1"/>
  <c r="N81" i="1" s="1"/>
  <c r="D306" i="1"/>
  <c r="E306" i="1" s="1"/>
  <c r="F306" i="1" s="1"/>
  <c r="G306" i="1" s="1"/>
  <c r="H306" i="1" s="1"/>
  <c r="I306" i="1" s="1"/>
  <c r="J306" i="1" s="1"/>
  <c r="K306" i="1" s="1"/>
  <c r="L306" i="1" s="1"/>
  <c r="M306" i="1" s="1"/>
  <c r="N306" i="1" s="1"/>
  <c r="O306" i="1" s="1"/>
  <c r="P306" i="1" s="1"/>
  <c r="Q306" i="1" s="1"/>
  <c r="R306" i="1" s="1"/>
  <c r="S306" i="1" s="1"/>
  <c r="T306" i="1" s="1"/>
  <c r="U306" i="1" s="1"/>
  <c r="V306" i="1" s="1"/>
  <c r="W306" i="1" s="1"/>
  <c r="X306" i="1" s="1"/>
  <c r="Y306" i="1" s="1"/>
  <c r="Z306" i="1" s="1"/>
  <c r="AA306" i="1" s="1"/>
  <c r="AB306" i="1" s="1"/>
  <c r="AC306" i="1" s="1"/>
  <c r="AD306" i="1" s="1"/>
  <c r="AE306" i="1" s="1"/>
  <c r="AF306" i="1" s="1"/>
  <c r="AG306" i="1" s="1"/>
  <c r="AH306" i="1" s="1"/>
  <c r="AI306" i="1" s="1"/>
  <c r="X300" i="1"/>
  <c r="X341" i="1" s="1"/>
  <c r="W300" i="1"/>
  <c r="W341" i="1" s="1"/>
  <c r="V300" i="1"/>
  <c r="V341" i="1" s="1"/>
  <c r="U300" i="1"/>
  <c r="U341" i="1" s="1"/>
  <c r="S300" i="1"/>
  <c r="S341" i="1" s="1"/>
  <c r="R300" i="1"/>
  <c r="R341" i="1" s="1"/>
  <c r="Q300" i="1"/>
  <c r="Q341" i="1" s="1"/>
  <c r="P300" i="1"/>
  <c r="P341" i="1" s="1"/>
  <c r="O300" i="1"/>
  <c r="O341" i="1" s="1"/>
  <c r="N300" i="1"/>
  <c r="N341" i="1" s="1"/>
  <c r="M300" i="1"/>
  <c r="M341" i="1" s="1"/>
  <c r="L300" i="1"/>
  <c r="L341" i="1" s="1"/>
  <c r="K300" i="1"/>
  <c r="J300" i="1"/>
  <c r="I300" i="1"/>
  <c r="H300" i="1"/>
  <c r="G300" i="1"/>
  <c r="F300" i="1"/>
  <c r="E300" i="1"/>
  <c r="D300" i="1"/>
  <c r="Y300" i="1"/>
  <c r="Y341" i="1" s="1"/>
  <c r="T298" i="1"/>
  <c r="T300" i="1" s="1"/>
  <c r="T341" i="1" s="1"/>
  <c r="C297" i="1"/>
  <c r="T291" i="1"/>
  <c r="T339" i="1" s="1"/>
  <c r="S291" i="1"/>
  <c r="S339" i="1" s="1"/>
  <c r="R291" i="1"/>
  <c r="R339" i="1" s="1"/>
  <c r="Q291" i="1"/>
  <c r="Q339" i="1" s="1"/>
  <c r="P291" i="1"/>
  <c r="P339" i="1" s="1"/>
  <c r="O291" i="1"/>
  <c r="O339" i="1" s="1"/>
  <c r="N291" i="1"/>
  <c r="N339" i="1" s="1"/>
  <c r="M291" i="1"/>
  <c r="M339" i="1" s="1"/>
  <c r="L291" i="1"/>
  <c r="L339" i="1" s="1"/>
  <c r="D291" i="1"/>
  <c r="U289" i="1"/>
  <c r="U291" i="1" s="1"/>
  <c r="U339" i="1" s="1"/>
  <c r="D288" i="1"/>
  <c r="E288" i="1" s="1"/>
  <c r="E297" i="1" s="1"/>
  <c r="AI278" i="1"/>
  <c r="AH278" i="1"/>
  <c r="AG278" i="1"/>
  <c r="AF278" i="1"/>
  <c r="AE278" i="1"/>
  <c r="AD278" i="1"/>
  <c r="AC278" i="1"/>
  <c r="AB278" i="1"/>
  <c r="AA278" i="1"/>
  <c r="Z278" i="1"/>
  <c r="Y278" i="1"/>
  <c r="X278" i="1"/>
  <c r="W278" i="1"/>
  <c r="V278" i="1"/>
  <c r="U278" i="1"/>
  <c r="T278" i="1"/>
  <c r="S278" i="1"/>
  <c r="R278" i="1"/>
  <c r="Q278" i="1"/>
  <c r="P278" i="1"/>
  <c r="O278" i="1"/>
  <c r="N278" i="1"/>
  <c r="M278" i="1"/>
  <c r="L278" i="1"/>
  <c r="AI274" i="1"/>
  <c r="AH274" i="1"/>
  <c r="AG274" i="1"/>
  <c r="AF274" i="1"/>
  <c r="AE274" i="1"/>
  <c r="AD274" i="1"/>
  <c r="AC274" i="1"/>
  <c r="AB274" i="1"/>
  <c r="AA274" i="1"/>
  <c r="Z274" i="1"/>
  <c r="Y274" i="1"/>
  <c r="X274" i="1"/>
  <c r="W274" i="1"/>
  <c r="V274" i="1"/>
  <c r="U274" i="1"/>
  <c r="T274" i="1"/>
  <c r="S274" i="1"/>
  <c r="R274" i="1"/>
  <c r="Q274" i="1"/>
  <c r="P274" i="1"/>
  <c r="O274" i="1"/>
  <c r="N274" i="1"/>
  <c r="M274" i="1"/>
  <c r="L274" i="1"/>
  <c r="T259" i="1"/>
  <c r="S259" i="1"/>
  <c r="R259" i="1"/>
  <c r="Q259" i="1"/>
  <c r="P259" i="1"/>
  <c r="O259" i="1"/>
  <c r="N259" i="1"/>
  <c r="M259" i="1"/>
  <c r="L259" i="1"/>
  <c r="D256" i="1"/>
  <c r="E256" i="1" s="1"/>
  <c r="F256" i="1" s="1"/>
  <c r="G256" i="1" s="1"/>
  <c r="H256" i="1" s="1"/>
  <c r="I256" i="1" s="1"/>
  <c r="J256" i="1" s="1"/>
  <c r="K256" i="1" s="1"/>
  <c r="L256" i="1" s="1"/>
  <c r="M256" i="1" s="1"/>
  <c r="N256" i="1" s="1"/>
  <c r="O256" i="1" s="1"/>
  <c r="P256" i="1" s="1"/>
  <c r="Q256" i="1" s="1"/>
  <c r="R256" i="1" s="1"/>
  <c r="S256" i="1" s="1"/>
  <c r="T256" i="1" s="1"/>
  <c r="U256" i="1" s="1"/>
  <c r="V256" i="1" s="1"/>
  <c r="W256" i="1" s="1"/>
  <c r="X256" i="1" s="1"/>
  <c r="Y256" i="1" s="1"/>
  <c r="Z256" i="1" s="1"/>
  <c r="AA256" i="1" s="1"/>
  <c r="AB256" i="1" s="1"/>
  <c r="AC256" i="1" s="1"/>
  <c r="AD256" i="1" s="1"/>
  <c r="AE256" i="1" s="1"/>
  <c r="AF256" i="1" s="1"/>
  <c r="AG256" i="1" s="1"/>
  <c r="AH256" i="1" s="1"/>
  <c r="AI256" i="1" s="1"/>
  <c r="Y246" i="1"/>
  <c r="Z246" i="1" s="1"/>
  <c r="X242" i="1"/>
  <c r="W242" i="1"/>
  <c r="V242" i="1"/>
  <c r="U242" i="1"/>
  <c r="T242" i="1"/>
  <c r="S242" i="1"/>
  <c r="R242" i="1"/>
  <c r="Q242" i="1"/>
  <c r="P242" i="1"/>
  <c r="O242" i="1"/>
  <c r="N242" i="1"/>
  <c r="M242" i="1"/>
  <c r="L242" i="1"/>
  <c r="K242" i="1"/>
  <c r="J242" i="1"/>
  <c r="I242" i="1"/>
  <c r="H242" i="1"/>
  <c r="G242" i="1"/>
  <c r="F242" i="1"/>
  <c r="E242" i="1"/>
  <c r="D242" i="1"/>
  <c r="D241" i="1"/>
  <c r="E241" i="1" s="1"/>
  <c r="F241" i="1" s="1"/>
  <c r="G241" i="1" s="1"/>
  <c r="H241" i="1" s="1"/>
  <c r="I241" i="1" s="1"/>
  <c r="J241" i="1" s="1"/>
  <c r="K241" i="1" s="1"/>
  <c r="L241" i="1" s="1"/>
  <c r="M241" i="1" s="1"/>
  <c r="N241" i="1" s="1"/>
  <c r="O241" i="1" s="1"/>
  <c r="P241" i="1" s="1"/>
  <c r="Q241" i="1" s="1"/>
  <c r="R241" i="1" s="1"/>
  <c r="S241" i="1" s="1"/>
  <c r="T241" i="1" s="1"/>
  <c r="U241" i="1" s="1"/>
  <c r="V241" i="1" s="1"/>
  <c r="W241" i="1" s="1"/>
  <c r="X241" i="1" s="1"/>
  <c r="Y241" i="1" s="1"/>
  <c r="Z241" i="1" s="1"/>
  <c r="AA241" i="1" s="1"/>
  <c r="AB241" i="1" s="1"/>
  <c r="AC241" i="1" s="1"/>
  <c r="AD241" i="1" s="1"/>
  <c r="AE241" i="1" s="1"/>
  <c r="AF241" i="1" s="1"/>
  <c r="AG241" i="1" s="1"/>
  <c r="AH241" i="1" s="1"/>
  <c r="AI241" i="1" s="1"/>
  <c r="Z232" i="1"/>
  <c r="Z72" i="1" s="1"/>
  <c r="X231" i="1"/>
  <c r="U231" i="1"/>
  <c r="T231" i="1"/>
  <c r="S231" i="1"/>
  <c r="R231" i="1"/>
  <c r="Q231" i="1"/>
  <c r="P231" i="1"/>
  <c r="X230" i="1"/>
  <c r="Y73" i="1" s="1"/>
  <c r="W230" i="1"/>
  <c r="U230" i="1"/>
  <c r="T230" i="1"/>
  <c r="S230" i="1"/>
  <c r="R230" i="1"/>
  <c r="Q230" i="1"/>
  <c r="P230" i="1"/>
  <c r="O230" i="1"/>
  <c r="V229" i="1"/>
  <c r="V231" i="1" s="1"/>
  <c r="N229" i="1"/>
  <c r="O231" i="1" s="1"/>
  <c r="M229" i="1"/>
  <c r="M73" i="1" s="1"/>
  <c r="L229" i="1"/>
  <c r="L231" i="1" s="1"/>
  <c r="X227" i="1"/>
  <c r="W227" i="1"/>
  <c r="X226" i="1"/>
  <c r="W226" i="1"/>
  <c r="V226" i="1"/>
  <c r="X224" i="1"/>
  <c r="W224" i="1"/>
  <c r="V224" i="1"/>
  <c r="U224" i="1"/>
  <c r="T224" i="1"/>
  <c r="Q224" i="1"/>
  <c r="P224" i="1"/>
  <c r="O224" i="1"/>
  <c r="N224" i="1"/>
  <c r="M224" i="1"/>
  <c r="L224" i="1"/>
  <c r="X223" i="1"/>
  <c r="W223" i="1"/>
  <c r="V223" i="1"/>
  <c r="U223" i="1"/>
  <c r="T223" i="1"/>
  <c r="S223" i="1"/>
  <c r="Q223" i="1"/>
  <c r="P223" i="1"/>
  <c r="O223" i="1"/>
  <c r="N223" i="1"/>
  <c r="M223" i="1"/>
  <c r="L223" i="1"/>
  <c r="R222" i="1"/>
  <c r="R62" i="1" s="1"/>
  <c r="X221" i="1"/>
  <c r="W221" i="1"/>
  <c r="V221" i="1"/>
  <c r="U221" i="1"/>
  <c r="T221" i="1"/>
  <c r="S221" i="1"/>
  <c r="R221" i="1"/>
  <c r="Q221" i="1"/>
  <c r="P221" i="1"/>
  <c r="O221" i="1"/>
  <c r="N221" i="1"/>
  <c r="M221" i="1"/>
  <c r="L221" i="1"/>
  <c r="X220" i="1"/>
  <c r="W220" i="1"/>
  <c r="V220" i="1"/>
  <c r="U220" i="1"/>
  <c r="T220" i="1"/>
  <c r="S220" i="1"/>
  <c r="R220" i="1"/>
  <c r="Q220" i="1"/>
  <c r="P220" i="1"/>
  <c r="O220" i="1"/>
  <c r="N220" i="1"/>
  <c r="M220" i="1"/>
  <c r="L220" i="1"/>
  <c r="D218" i="1"/>
  <c r="E218" i="1" s="1"/>
  <c r="F218" i="1" s="1"/>
  <c r="G218" i="1" s="1"/>
  <c r="H218" i="1" s="1"/>
  <c r="I218" i="1" s="1"/>
  <c r="J218" i="1" s="1"/>
  <c r="K218" i="1" s="1"/>
  <c r="L218" i="1" s="1"/>
  <c r="M218" i="1" s="1"/>
  <c r="N218" i="1" s="1"/>
  <c r="O218" i="1" s="1"/>
  <c r="P218" i="1" s="1"/>
  <c r="Q218" i="1" s="1"/>
  <c r="R218" i="1" s="1"/>
  <c r="S218" i="1" s="1"/>
  <c r="T218" i="1" s="1"/>
  <c r="U218" i="1" s="1"/>
  <c r="V218" i="1" s="1"/>
  <c r="W218" i="1" s="1"/>
  <c r="X218" i="1" s="1"/>
  <c r="Y218" i="1" s="1"/>
  <c r="Z218" i="1" s="1"/>
  <c r="AA218" i="1" s="1"/>
  <c r="AB218" i="1" s="1"/>
  <c r="AC218" i="1" s="1"/>
  <c r="AD218" i="1" s="1"/>
  <c r="AE218" i="1" s="1"/>
  <c r="AF218" i="1" s="1"/>
  <c r="AG218" i="1" s="1"/>
  <c r="AH218" i="1" s="1"/>
  <c r="AI218" i="1" s="1"/>
  <c r="X210" i="1"/>
  <c r="X211" i="1" s="1"/>
  <c r="W210" i="1"/>
  <c r="W211" i="1" s="1"/>
  <c r="U203" i="1"/>
  <c r="U194" i="1" s="1"/>
  <c r="U196" i="1" s="1"/>
  <c r="M203" i="1"/>
  <c r="M194" i="1" s="1"/>
  <c r="M196" i="1" s="1"/>
  <c r="X200" i="1"/>
  <c r="Y77" i="1" s="1"/>
  <c r="W200" i="1"/>
  <c r="W77" i="1" s="1"/>
  <c r="W252" i="1" s="1"/>
  <c r="W78" i="1" s="1"/>
  <c r="V200" i="1"/>
  <c r="V77" i="1" s="1"/>
  <c r="V252" i="1" s="1"/>
  <c r="V78" i="1" s="1"/>
  <c r="U200" i="1"/>
  <c r="U77" i="1" s="1"/>
  <c r="U252" i="1" s="1"/>
  <c r="U78" i="1" s="1"/>
  <c r="T200" i="1"/>
  <c r="T77" i="1" s="1"/>
  <c r="T252" i="1" s="1"/>
  <c r="T78" i="1" s="1"/>
  <c r="S200" i="1"/>
  <c r="N200" i="1"/>
  <c r="N77" i="1" s="1"/>
  <c r="N252" i="1" s="1"/>
  <c r="N78" i="1" s="1"/>
  <c r="X199" i="1"/>
  <c r="W199" i="1"/>
  <c r="W74" i="1" s="1"/>
  <c r="V199" i="1"/>
  <c r="V74" i="1" s="1"/>
  <c r="U199" i="1"/>
  <c r="U74" i="1" s="1"/>
  <c r="T199" i="1"/>
  <c r="S199" i="1"/>
  <c r="S74" i="1" s="1"/>
  <c r="M199" i="1"/>
  <c r="M193" i="1" s="1"/>
  <c r="L199" i="1"/>
  <c r="L193" i="1" s="1"/>
  <c r="X194" i="1"/>
  <c r="X196" i="1" s="1"/>
  <c r="W194" i="1"/>
  <c r="W196" i="1" s="1"/>
  <c r="V194" i="1"/>
  <c r="V196" i="1" s="1"/>
  <c r="T194" i="1"/>
  <c r="T196" i="1" s="1"/>
  <c r="S194" i="1"/>
  <c r="S196" i="1" s="1"/>
  <c r="R194" i="1"/>
  <c r="R196" i="1" s="1"/>
  <c r="Q194" i="1"/>
  <c r="Q196" i="1" s="1"/>
  <c r="P194" i="1"/>
  <c r="P196" i="1" s="1"/>
  <c r="O194" i="1"/>
  <c r="O196" i="1" s="1"/>
  <c r="N194" i="1"/>
  <c r="N196" i="1" s="1"/>
  <c r="L194" i="1"/>
  <c r="L196" i="1" s="1"/>
  <c r="R193" i="1"/>
  <c r="Q193" i="1"/>
  <c r="P193" i="1"/>
  <c r="O193" i="1"/>
  <c r="U184" i="1"/>
  <c r="S184" i="1"/>
  <c r="Q184" i="1"/>
  <c r="P184" i="1"/>
  <c r="X181" i="1"/>
  <c r="Y182" i="1" s="1"/>
  <c r="W181" i="1"/>
  <c r="T181" i="1"/>
  <c r="S181" i="1"/>
  <c r="R181" i="1"/>
  <c r="Q181" i="1"/>
  <c r="P181" i="1"/>
  <c r="O181" i="1"/>
  <c r="L181" i="1"/>
  <c r="L182" i="1" s="1"/>
  <c r="AI175" i="1"/>
  <c r="AH175" i="1"/>
  <c r="AG175" i="1"/>
  <c r="AF175" i="1"/>
  <c r="AE175" i="1"/>
  <c r="AD175" i="1"/>
  <c r="AC175" i="1"/>
  <c r="AB175" i="1"/>
  <c r="AA175" i="1"/>
  <c r="Z175" i="1"/>
  <c r="Y175" i="1"/>
  <c r="X175" i="1"/>
  <c r="X176" i="1" s="1"/>
  <c r="X338" i="1" s="1"/>
  <c r="W175" i="1"/>
  <c r="W176" i="1" s="1"/>
  <c r="W338" i="1" s="1"/>
  <c r="V175" i="1"/>
  <c r="V176" i="1" s="1"/>
  <c r="V338" i="1" s="1"/>
  <c r="U175" i="1"/>
  <c r="U176" i="1" s="1"/>
  <c r="U338" i="1" s="1"/>
  <c r="T175" i="1"/>
  <c r="S175" i="1"/>
  <c r="S176" i="1" s="1"/>
  <c r="S338" i="1" s="1"/>
  <c r="R175" i="1"/>
  <c r="Q175" i="1"/>
  <c r="Q176" i="1" s="1"/>
  <c r="Q338" i="1" s="1"/>
  <c r="P175" i="1"/>
  <c r="P176" i="1" s="1"/>
  <c r="P338" i="1" s="1"/>
  <c r="O175" i="1"/>
  <c r="N175" i="1"/>
  <c r="M175" i="1"/>
  <c r="L175" i="1"/>
  <c r="T174" i="1"/>
  <c r="R174" i="1"/>
  <c r="R184" i="1" s="1"/>
  <c r="O174" i="1"/>
  <c r="O184" i="1" s="1"/>
  <c r="N174" i="1"/>
  <c r="N93" i="1" s="1"/>
  <c r="M174" i="1"/>
  <c r="M25" i="1" s="1"/>
  <c r="L174" i="1"/>
  <c r="D173" i="1"/>
  <c r="E173" i="1" s="1"/>
  <c r="F173" i="1" s="1"/>
  <c r="G173" i="1" s="1"/>
  <c r="H173" i="1" s="1"/>
  <c r="I173" i="1" s="1"/>
  <c r="J173" i="1" s="1"/>
  <c r="K173" i="1" s="1"/>
  <c r="L173" i="1" s="1"/>
  <c r="M173" i="1" s="1"/>
  <c r="N173" i="1" s="1"/>
  <c r="O173" i="1" s="1"/>
  <c r="P173" i="1" s="1"/>
  <c r="Q173" i="1" s="1"/>
  <c r="R173" i="1" s="1"/>
  <c r="S173" i="1" s="1"/>
  <c r="T173" i="1" s="1"/>
  <c r="U173" i="1" s="1"/>
  <c r="V173" i="1" s="1"/>
  <c r="W173" i="1" s="1"/>
  <c r="X173" i="1" s="1"/>
  <c r="Y173" i="1" s="1"/>
  <c r="Z173" i="1" s="1"/>
  <c r="AA173" i="1" s="1"/>
  <c r="AB173" i="1" s="1"/>
  <c r="AC173" i="1" s="1"/>
  <c r="AD173" i="1" s="1"/>
  <c r="AE173" i="1" s="1"/>
  <c r="AF173" i="1" s="1"/>
  <c r="AG173" i="1" s="1"/>
  <c r="AH173" i="1" s="1"/>
  <c r="AI173" i="1" s="1"/>
  <c r="W168" i="1"/>
  <c r="V168" i="1"/>
  <c r="U168" i="1"/>
  <c r="M168" i="1"/>
  <c r="L168" i="1"/>
  <c r="X167" i="1"/>
  <c r="W167" i="1"/>
  <c r="V167" i="1"/>
  <c r="U167" i="1"/>
  <c r="T167" i="1"/>
  <c r="S167" i="1"/>
  <c r="R167" i="1"/>
  <c r="Q167" i="1"/>
  <c r="P167" i="1"/>
  <c r="O167" i="1"/>
  <c r="N167" i="1"/>
  <c r="M167" i="1"/>
  <c r="L167" i="1"/>
  <c r="V160" i="1"/>
  <c r="W160" i="1" s="1"/>
  <c r="X160" i="1" s="1"/>
  <c r="Y160" i="1" s="1"/>
  <c r="Z160" i="1" s="1"/>
  <c r="AA160" i="1" s="1"/>
  <c r="AB160" i="1" s="1"/>
  <c r="AC160" i="1" s="1"/>
  <c r="AD160" i="1" s="1"/>
  <c r="AE160" i="1" s="1"/>
  <c r="AF160" i="1" s="1"/>
  <c r="AG160" i="1" s="1"/>
  <c r="AH160" i="1" s="1"/>
  <c r="AI160" i="1" s="1"/>
  <c r="U159" i="1"/>
  <c r="V159" i="1" s="1"/>
  <c r="W159" i="1" s="1"/>
  <c r="X159" i="1" s="1"/>
  <c r="Y159" i="1" s="1"/>
  <c r="T159" i="1"/>
  <c r="S159" i="1"/>
  <c r="R159" i="1"/>
  <c r="O159" i="1"/>
  <c r="N159" i="1"/>
  <c r="M159" i="1"/>
  <c r="L159" i="1"/>
  <c r="X157" i="1"/>
  <c r="W157" i="1"/>
  <c r="V157" i="1"/>
  <c r="U157" i="1"/>
  <c r="T157" i="1"/>
  <c r="S157" i="1"/>
  <c r="R157" i="1"/>
  <c r="Q157" i="1"/>
  <c r="P157" i="1"/>
  <c r="O157" i="1"/>
  <c r="N157" i="1"/>
  <c r="M157" i="1"/>
  <c r="L157" i="1"/>
  <c r="X156" i="1"/>
  <c r="L153" i="1"/>
  <c r="X21" i="1"/>
  <c r="W111" i="1"/>
  <c r="M149" i="1"/>
  <c r="L149" i="1"/>
  <c r="V149" i="1"/>
  <c r="V150" i="1" s="1"/>
  <c r="D146" i="1"/>
  <c r="E146" i="1" s="1"/>
  <c r="F146" i="1" s="1"/>
  <c r="G146" i="1" s="1"/>
  <c r="H146" i="1" s="1"/>
  <c r="I146" i="1" s="1"/>
  <c r="J146" i="1" s="1"/>
  <c r="K146" i="1" s="1"/>
  <c r="L146" i="1" s="1"/>
  <c r="M146" i="1" s="1"/>
  <c r="N146" i="1" s="1"/>
  <c r="O146" i="1" s="1"/>
  <c r="P146" i="1" s="1"/>
  <c r="Q146" i="1" s="1"/>
  <c r="R146" i="1" s="1"/>
  <c r="S146" i="1" s="1"/>
  <c r="T146" i="1" s="1"/>
  <c r="U146" i="1" s="1"/>
  <c r="V146" i="1" s="1"/>
  <c r="W146" i="1" s="1"/>
  <c r="X146" i="1" s="1"/>
  <c r="Y146" i="1" s="1"/>
  <c r="Z146" i="1" s="1"/>
  <c r="AA146" i="1" s="1"/>
  <c r="AB146" i="1" s="1"/>
  <c r="AC146" i="1" s="1"/>
  <c r="AD146" i="1" s="1"/>
  <c r="AE146" i="1" s="1"/>
  <c r="AF146" i="1" s="1"/>
  <c r="AG146" i="1" s="1"/>
  <c r="AH146" i="1" s="1"/>
  <c r="AI146" i="1" s="1"/>
  <c r="X142" i="1"/>
  <c r="W142" i="1"/>
  <c r="V142" i="1"/>
  <c r="U142" i="1"/>
  <c r="T142" i="1"/>
  <c r="Y141" i="1"/>
  <c r="Y94" i="1" s="1"/>
  <c r="T135" i="1"/>
  <c r="W134" i="1"/>
  <c r="V134" i="1"/>
  <c r="W133" i="1"/>
  <c r="W135" i="1" s="1"/>
  <c r="V133" i="1"/>
  <c r="V135" i="1" s="1"/>
  <c r="Y132" i="1"/>
  <c r="Z132" i="1" s="1"/>
  <c r="AA132" i="1" s="1"/>
  <c r="AB132" i="1" s="1"/>
  <c r="AC132" i="1" s="1"/>
  <c r="AD132" i="1" s="1"/>
  <c r="AE132" i="1" s="1"/>
  <c r="AF132" i="1" s="1"/>
  <c r="AG132" i="1" s="1"/>
  <c r="AH132" i="1" s="1"/>
  <c r="AI132" i="1" s="1"/>
  <c r="T129" i="1"/>
  <c r="U129" i="1" s="1"/>
  <c r="V129" i="1" s="1"/>
  <c r="W129" i="1" s="1"/>
  <c r="X129" i="1" s="1"/>
  <c r="Y129" i="1" s="1"/>
  <c r="Z129" i="1" s="1"/>
  <c r="AA129" i="1" s="1"/>
  <c r="AB129" i="1" s="1"/>
  <c r="AC129" i="1" s="1"/>
  <c r="AD129" i="1" s="1"/>
  <c r="AE129" i="1" s="1"/>
  <c r="AF129" i="1" s="1"/>
  <c r="AG129" i="1" s="1"/>
  <c r="AH129" i="1" s="1"/>
  <c r="AI129" i="1" s="1"/>
  <c r="S127" i="1"/>
  <c r="T126" i="1"/>
  <c r="U126" i="1" s="1"/>
  <c r="V126" i="1" s="1"/>
  <c r="W126" i="1" s="1"/>
  <c r="X126" i="1" s="1"/>
  <c r="Y126" i="1" s="1"/>
  <c r="Z126" i="1" s="1"/>
  <c r="AA126" i="1" s="1"/>
  <c r="AB126" i="1" s="1"/>
  <c r="AC126" i="1" s="1"/>
  <c r="AD126" i="1" s="1"/>
  <c r="AE126" i="1" s="1"/>
  <c r="AF126" i="1" s="1"/>
  <c r="AG126" i="1" s="1"/>
  <c r="AH126" i="1" s="1"/>
  <c r="AI126" i="1" s="1"/>
  <c r="X122" i="1"/>
  <c r="W122" i="1"/>
  <c r="V122" i="1"/>
  <c r="U122" i="1"/>
  <c r="T122" i="1"/>
  <c r="S122" i="1"/>
  <c r="R122" i="1"/>
  <c r="Q122" i="1"/>
  <c r="P122" i="1"/>
  <c r="O122" i="1"/>
  <c r="N122" i="1"/>
  <c r="M122" i="1"/>
  <c r="M119" i="1"/>
  <c r="L119" i="1"/>
  <c r="M116" i="1"/>
  <c r="N116" i="1" s="1"/>
  <c r="O116" i="1" s="1"/>
  <c r="L115" i="1"/>
  <c r="L116" i="1" s="1"/>
  <c r="M113" i="1"/>
  <c r="L113" i="1"/>
  <c r="M112" i="1"/>
  <c r="D110" i="1"/>
  <c r="E110" i="1" s="1"/>
  <c r="F110" i="1" s="1"/>
  <c r="G110" i="1" s="1"/>
  <c r="H110" i="1" s="1"/>
  <c r="I110" i="1" s="1"/>
  <c r="J110" i="1" s="1"/>
  <c r="K110" i="1" s="1"/>
  <c r="L110" i="1" s="1"/>
  <c r="M110" i="1" s="1"/>
  <c r="N110" i="1" s="1"/>
  <c r="O110" i="1" s="1"/>
  <c r="P110" i="1" s="1"/>
  <c r="Q110" i="1" s="1"/>
  <c r="R110" i="1" s="1"/>
  <c r="S110" i="1" s="1"/>
  <c r="T110" i="1" s="1"/>
  <c r="U110" i="1" s="1"/>
  <c r="V110" i="1" s="1"/>
  <c r="W110" i="1" s="1"/>
  <c r="X110" i="1" s="1"/>
  <c r="Y110" i="1" s="1"/>
  <c r="Z110" i="1" s="1"/>
  <c r="AA110" i="1" s="1"/>
  <c r="AB110" i="1" s="1"/>
  <c r="AC110" i="1" s="1"/>
  <c r="AD110" i="1" s="1"/>
  <c r="AE110" i="1" s="1"/>
  <c r="AF110" i="1" s="1"/>
  <c r="AG110" i="1" s="1"/>
  <c r="AH110" i="1" s="1"/>
  <c r="AI110" i="1" s="1"/>
  <c r="AI99" i="1"/>
  <c r="AH99" i="1"/>
  <c r="AG99" i="1"/>
  <c r="AF99" i="1"/>
  <c r="AE99" i="1"/>
  <c r="AD99" i="1"/>
  <c r="AC99" i="1"/>
  <c r="AB99" i="1"/>
  <c r="AA99" i="1"/>
  <c r="Z99" i="1"/>
  <c r="Y99" i="1"/>
  <c r="X99" i="1"/>
  <c r="W99" i="1"/>
  <c r="V99" i="1"/>
  <c r="U99" i="1"/>
  <c r="T99" i="1"/>
  <c r="S99" i="1"/>
  <c r="R99" i="1"/>
  <c r="Q99" i="1"/>
  <c r="P99" i="1"/>
  <c r="O99" i="1"/>
  <c r="N99" i="1"/>
  <c r="M99" i="1"/>
  <c r="L99" i="1"/>
  <c r="AI97" i="1"/>
  <c r="AH97" i="1"/>
  <c r="AG97" i="1"/>
  <c r="AF97" i="1"/>
  <c r="AE97" i="1"/>
  <c r="AD97" i="1"/>
  <c r="AC97" i="1"/>
  <c r="AB97" i="1"/>
  <c r="AA97" i="1"/>
  <c r="Z97" i="1"/>
  <c r="Y97" i="1"/>
  <c r="X97" i="1"/>
  <c r="W97" i="1"/>
  <c r="V97" i="1"/>
  <c r="U97" i="1"/>
  <c r="T97" i="1"/>
  <c r="S97" i="1"/>
  <c r="R97" i="1"/>
  <c r="Q97" i="1"/>
  <c r="P97" i="1"/>
  <c r="O97" i="1"/>
  <c r="N97" i="1"/>
  <c r="M97" i="1"/>
  <c r="L97" i="1"/>
  <c r="X94" i="1"/>
  <c r="W94" i="1"/>
  <c r="V94" i="1"/>
  <c r="U94" i="1"/>
  <c r="T94" i="1"/>
  <c r="S94" i="1"/>
  <c r="X93" i="1"/>
  <c r="W93" i="1"/>
  <c r="V93" i="1"/>
  <c r="U93" i="1"/>
  <c r="S93" i="1"/>
  <c r="Q93" i="1"/>
  <c r="P93" i="1"/>
  <c r="D91" i="1"/>
  <c r="E91" i="1" s="1"/>
  <c r="F91" i="1" s="1"/>
  <c r="G91" i="1" s="1"/>
  <c r="H91" i="1" s="1"/>
  <c r="I91" i="1" s="1"/>
  <c r="J91" i="1" s="1"/>
  <c r="K91" i="1" s="1"/>
  <c r="L91" i="1" s="1"/>
  <c r="M91" i="1" s="1"/>
  <c r="N91" i="1" s="1"/>
  <c r="O91" i="1" s="1"/>
  <c r="P91" i="1" s="1"/>
  <c r="Q91" i="1" s="1"/>
  <c r="R91" i="1" s="1"/>
  <c r="S91" i="1" s="1"/>
  <c r="T91" i="1" s="1"/>
  <c r="U91" i="1" s="1"/>
  <c r="V91" i="1" s="1"/>
  <c r="W91" i="1" s="1"/>
  <c r="X91" i="1" s="1"/>
  <c r="Y91" i="1" s="1"/>
  <c r="Z91" i="1" s="1"/>
  <c r="AA91" i="1" s="1"/>
  <c r="AB91" i="1" s="1"/>
  <c r="AC91" i="1" s="1"/>
  <c r="AD91" i="1" s="1"/>
  <c r="AE91" i="1" s="1"/>
  <c r="AF91" i="1" s="1"/>
  <c r="AG91" i="1" s="1"/>
  <c r="AH91" i="1" s="1"/>
  <c r="AI91" i="1" s="1"/>
  <c r="M81" i="1"/>
  <c r="L81" i="1"/>
  <c r="X80" i="1"/>
  <c r="W80" i="1"/>
  <c r="V80" i="1"/>
  <c r="U80" i="1"/>
  <c r="T80" i="1"/>
  <c r="S80" i="1"/>
  <c r="R80" i="1"/>
  <c r="Q80" i="1"/>
  <c r="P80" i="1"/>
  <c r="O80" i="1"/>
  <c r="N80" i="1"/>
  <c r="M80" i="1"/>
  <c r="L80" i="1"/>
  <c r="R77" i="1"/>
  <c r="R252" i="1" s="1"/>
  <c r="R78" i="1" s="1"/>
  <c r="Q77" i="1"/>
  <c r="Q252" i="1" s="1"/>
  <c r="Q78" i="1" s="1"/>
  <c r="P77" i="1"/>
  <c r="P252" i="1" s="1"/>
  <c r="P78" i="1" s="1"/>
  <c r="O77" i="1"/>
  <c r="O252" i="1" s="1"/>
  <c r="O78" i="1" s="1"/>
  <c r="M77" i="1"/>
  <c r="M252" i="1" s="1"/>
  <c r="M78" i="1" s="1"/>
  <c r="L77" i="1"/>
  <c r="L252" i="1" s="1"/>
  <c r="L78" i="1" s="1"/>
  <c r="R74" i="1"/>
  <c r="Q74" i="1"/>
  <c r="P74" i="1"/>
  <c r="O74" i="1"/>
  <c r="N74" i="1"/>
  <c r="X73" i="1"/>
  <c r="W73" i="1"/>
  <c r="U73" i="1"/>
  <c r="T73" i="1"/>
  <c r="S73" i="1"/>
  <c r="R73" i="1"/>
  <c r="Q73" i="1"/>
  <c r="P73" i="1"/>
  <c r="O73" i="1"/>
  <c r="W67" i="1"/>
  <c r="V67" i="1"/>
  <c r="U67" i="1"/>
  <c r="M67" i="1"/>
  <c r="L67" i="1"/>
  <c r="X66" i="1"/>
  <c r="W66" i="1"/>
  <c r="V66" i="1"/>
  <c r="U66" i="1"/>
  <c r="T66" i="1"/>
  <c r="S66" i="1"/>
  <c r="R66" i="1"/>
  <c r="Q66" i="1"/>
  <c r="P66" i="1"/>
  <c r="O66" i="1"/>
  <c r="N66" i="1"/>
  <c r="M66" i="1"/>
  <c r="L66" i="1"/>
  <c r="X63" i="1"/>
  <c r="W63" i="1"/>
  <c r="V63" i="1"/>
  <c r="X62" i="1"/>
  <c r="W62" i="1"/>
  <c r="V62" i="1"/>
  <c r="U62" i="1"/>
  <c r="T62" i="1"/>
  <c r="S62" i="1"/>
  <c r="Q62" i="1"/>
  <c r="P62" i="1"/>
  <c r="O62" i="1"/>
  <c r="N62" i="1"/>
  <c r="M62" i="1"/>
  <c r="L62" i="1"/>
  <c r="X61" i="1"/>
  <c r="W61" i="1"/>
  <c r="V61" i="1"/>
  <c r="U61" i="1"/>
  <c r="T61" i="1"/>
  <c r="S61" i="1"/>
  <c r="R61" i="1"/>
  <c r="Q61" i="1"/>
  <c r="P61" i="1"/>
  <c r="O61" i="1"/>
  <c r="N61" i="1"/>
  <c r="M61" i="1"/>
  <c r="L61" i="1"/>
  <c r="X60" i="1"/>
  <c r="W60" i="1"/>
  <c r="V60" i="1"/>
  <c r="T60" i="1"/>
  <c r="S60" i="1"/>
  <c r="R60" i="1"/>
  <c r="Q60" i="1"/>
  <c r="P60" i="1"/>
  <c r="O60" i="1"/>
  <c r="N60" i="1"/>
  <c r="L60" i="1"/>
  <c r="D58" i="1"/>
  <c r="E58" i="1" s="1"/>
  <c r="F58" i="1" s="1"/>
  <c r="G58" i="1" s="1"/>
  <c r="H58" i="1" s="1"/>
  <c r="I58" i="1" s="1"/>
  <c r="J58" i="1" s="1"/>
  <c r="K58" i="1" s="1"/>
  <c r="L58" i="1" s="1"/>
  <c r="M58" i="1" s="1"/>
  <c r="N58" i="1" s="1"/>
  <c r="O58" i="1" s="1"/>
  <c r="P58" i="1" s="1"/>
  <c r="Q58" i="1" s="1"/>
  <c r="R58" i="1" s="1"/>
  <c r="S58" i="1" s="1"/>
  <c r="T58" i="1" s="1"/>
  <c r="U58" i="1" s="1"/>
  <c r="V58" i="1" s="1"/>
  <c r="W58" i="1" s="1"/>
  <c r="X58" i="1" s="1"/>
  <c r="Y58" i="1" s="1"/>
  <c r="Z58" i="1" s="1"/>
  <c r="AA58" i="1" s="1"/>
  <c r="AB58" i="1" s="1"/>
  <c r="AC58" i="1" s="1"/>
  <c r="AD58" i="1" s="1"/>
  <c r="AE58" i="1" s="1"/>
  <c r="AF58" i="1" s="1"/>
  <c r="AG58" i="1" s="1"/>
  <c r="AH58" i="1" s="1"/>
  <c r="AI58" i="1" s="1"/>
  <c r="P53" i="1"/>
  <c r="P92" i="1" s="1"/>
  <c r="O53" i="1"/>
  <c r="O92" i="1" s="1"/>
  <c r="N53" i="1"/>
  <c r="N92" i="1" s="1"/>
  <c r="M53" i="1"/>
  <c r="M92" i="1" s="1"/>
  <c r="L53" i="1"/>
  <c r="K53" i="1"/>
  <c r="K54" i="1" s="1"/>
  <c r="AI52" i="1"/>
  <c r="AB76" i="6" s="1"/>
  <c r="AB77" i="6" s="1"/>
  <c r="AH52" i="1"/>
  <c r="AA76" i="6" s="1"/>
  <c r="AA77" i="6" s="1"/>
  <c r="AG52" i="1"/>
  <c r="Z76" i="6" s="1"/>
  <c r="Z77" i="6" s="1"/>
  <c r="AF52" i="1"/>
  <c r="Y76" i="6" s="1"/>
  <c r="Y77" i="6" s="1"/>
  <c r="AE52" i="1"/>
  <c r="X76" i="6" s="1"/>
  <c r="X77" i="6" s="1"/>
  <c r="AD52" i="1"/>
  <c r="AC52" i="1"/>
  <c r="AB52" i="1"/>
  <c r="AA52" i="1"/>
  <c r="Z52" i="1"/>
  <c r="Y52" i="1"/>
  <c r="X52" i="1"/>
  <c r="W52" i="1"/>
  <c r="V52" i="1"/>
  <c r="U52" i="1"/>
  <c r="T52" i="1"/>
  <c r="S52" i="1"/>
  <c r="R52" i="1"/>
  <c r="Q52" i="1"/>
  <c r="P52" i="1"/>
  <c r="O52" i="1"/>
  <c r="N52" i="1"/>
  <c r="M52" i="1"/>
  <c r="L52" i="1"/>
  <c r="K52" i="1"/>
  <c r="J52" i="1"/>
  <c r="I52" i="1"/>
  <c r="P48" i="1"/>
  <c r="O48" i="1"/>
  <c r="N48" i="1"/>
  <c r="M48" i="1"/>
  <c r="L48" i="1"/>
  <c r="K48" i="1"/>
  <c r="P46" i="1"/>
  <c r="O46" i="1"/>
  <c r="N46" i="1"/>
  <c r="M46" i="1"/>
  <c r="L46" i="1"/>
  <c r="K46" i="1"/>
  <c r="J46" i="1"/>
  <c r="I46" i="1"/>
  <c r="Q45" i="1"/>
  <c r="X43" i="1"/>
  <c r="X45" i="1" s="1"/>
  <c r="X53" i="1" s="1"/>
  <c r="W43" i="1"/>
  <c r="W45" i="1" s="1"/>
  <c r="V43" i="1"/>
  <c r="V45" i="1" s="1"/>
  <c r="U43" i="1"/>
  <c r="U45" i="1" s="1"/>
  <c r="U53" i="1" s="1"/>
  <c r="T43" i="1"/>
  <c r="T45" i="1" s="1"/>
  <c r="T46" i="1" s="1"/>
  <c r="S43" i="1"/>
  <c r="S45" i="1" s="1"/>
  <c r="S48" i="1" s="1"/>
  <c r="R43" i="1"/>
  <c r="P43" i="1"/>
  <c r="O43" i="1"/>
  <c r="N43" i="1"/>
  <c r="M43" i="1"/>
  <c r="L43" i="1"/>
  <c r="K43" i="1"/>
  <c r="J43" i="1"/>
  <c r="I43" i="1"/>
  <c r="X39" i="1"/>
  <c r="V39" i="1"/>
  <c r="U39" i="1"/>
  <c r="T39" i="1"/>
  <c r="S39" i="1"/>
  <c r="R39" i="1"/>
  <c r="Q39" i="1"/>
  <c r="P39" i="1"/>
  <c r="O39" i="1"/>
  <c r="N39" i="1"/>
  <c r="L39" i="1"/>
  <c r="X33" i="1"/>
  <c r="W33" i="1"/>
  <c r="V33" i="1"/>
  <c r="U33" i="1"/>
  <c r="S33" i="1"/>
  <c r="R33" i="1"/>
  <c r="Q33" i="1"/>
  <c r="P33" i="1"/>
  <c r="O33" i="1"/>
  <c r="N33" i="1"/>
  <c r="M33" i="1"/>
  <c r="L33" i="1"/>
  <c r="K33" i="1"/>
  <c r="J33" i="1"/>
  <c r="I33" i="1"/>
  <c r="H33" i="1"/>
  <c r="G33" i="1"/>
  <c r="F33" i="1"/>
  <c r="E33" i="1"/>
  <c r="X32" i="1"/>
  <c r="W32" i="1"/>
  <c r="V32" i="1"/>
  <c r="U32" i="1"/>
  <c r="T32" i="1"/>
  <c r="S32" i="1"/>
  <c r="R32" i="1"/>
  <c r="Q32" i="1"/>
  <c r="P32" i="1"/>
  <c r="O32" i="1"/>
  <c r="N32" i="1"/>
  <c r="M32" i="1"/>
  <c r="L32" i="1"/>
  <c r="K32" i="1"/>
  <c r="J32" i="1"/>
  <c r="I32" i="1"/>
  <c r="H32" i="1"/>
  <c r="G32" i="1"/>
  <c r="F32" i="1"/>
  <c r="E32" i="1"/>
  <c r="T28" i="1"/>
  <c r="S28" i="1"/>
  <c r="R28" i="1"/>
  <c r="Q28" i="1"/>
  <c r="P28" i="1"/>
  <c r="O28" i="1"/>
  <c r="N28" i="1"/>
  <c r="M28" i="1"/>
  <c r="L28" i="1"/>
  <c r="K28" i="1"/>
  <c r="J28" i="1"/>
  <c r="I28" i="1"/>
  <c r="H28" i="1"/>
  <c r="G28" i="1"/>
  <c r="F28" i="1"/>
  <c r="E28" i="1"/>
  <c r="X25" i="1"/>
  <c r="W25" i="1"/>
  <c r="V25" i="1"/>
  <c r="U25" i="1"/>
  <c r="S25" i="1"/>
  <c r="Q25" i="1"/>
  <c r="P25" i="1"/>
  <c r="K25" i="1"/>
  <c r="J25" i="1"/>
  <c r="I25" i="1"/>
  <c r="H25" i="1"/>
  <c r="G25" i="1"/>
  <c r="F25" i="1"/>
  <c r="E25" i="1"/>
  <c r="M21" i="1"/>
  <c r="L21" i="1"/>
  <c r="K21" i="1"/>
  <c r="J21" i="1"/>
  <c r="I21" i="1"/>
  <c r="H21" i="1"/>
  <c r="G21" i="1"/>
  <c r="F21" i="1"/>
  <c r="E21" i="1"/>
  <c r="M20" i="1"/>
  <c r="M124" i="1" s="1"/>
  <c r="L20" i="1"/>
  <c r="L124" i="1" s="1"/>
  <c r="K20" i="1"/>
  <c r="J20" i="1"/>
  <c r="I20" i="1"/>
  <c r="H20" i="1"/>
  <c r="G20" i="1"/>
  <c r="F20" i="1"/>
  <c r="E20" i="1"/>
  <c r="X18" i="1"/>
  <c r="X213" i="1" s="1"/>
  <c r="W18" i="1"/>
  <c r="V18" i="1"/>
  <c r="U18" i="1"/>
  <c r="U261" i="1" s="1"/>
  <c r="T18" i="1"/>
  <c r="S18" i="1"/>
  <c r="R18" i="1"/>
  <c r="R261" i="1" s="1"/>
  <c r="Q18" i="1"/>
  <c r="Q261" i="1" s="1"/>
  <c r="P18" i="1"/>
  <c r="P261" i="1" s="1"/>
  <c r="O18" i="1"/>
  <c r="O261" i="1" s="1"/>
  <c r="N18" i="1"/>
  <c r="N261" i="1" s="1"/>
  <c r="M18" i="1"/>
  <c r="M261" i="1" s="1"/>
  <c r="L18" i="1"/>
  <c r="K18" i="1"/>
  <c r="J18" i="1"/>
  <c r="I18" i="1"/>
  <c r="H18" i="1"/>
  <c r="G18" i="1"/>
  <c r="F18" i="1"/>
  <c r="E18" i="1"/>
  <c r="X15" i="1"/>
  <c r="W15" i="1"/>
  <c r="V15" i="1"/>
  <c r="U15" i="1"/>
  <c r="T15" i="1"/>
  <c r="S15" i="1"/>
  <c r="R15" i="1"/>
  <c r="Q15" i="1"/>
  <c r="P15" i="1"/>
  <c r="O15" i="1"/>
  <c r="N15" i="1"/>
  <c r="M15" i="1"/>
  <c r="L15" i="1"/>
  <c r="K15" i="1"/>
  <c r="J15" i="1"/>
  <c r="I15" i="1"/>
  <c r="H15" i="1"/>
  <c r="G15" i="1"/>
  <c r="F15" i="1"/>
  <c r="E15" i="1"/>
  <c r="X14" i="1"/>
  <c r="W14" i="1"/>
  <c r="V14" i="1"/>
  <c r="U14" i="1"/>
  <c r="T14" i="1"/>
  <c r="S14" i="1"/>
  <c r="R14" i="1"/>
  <c r="Q14" i="1"/>
  <c r="P14" i="1"/>
  <c r="O14" i="1"/>
  <c r="N14" i="1"/>
  <c r="M14" i="1"/>
  <c r="L14" i="1"/>
  <c r="K14" i="1"/>
  <c r="J14" i="1"/>
  <c r="I14" i="1"/>
  <c r="H14" i="1"/>
  <c r="G14" i="1"/>
  <c r="F14" i="1"/>
  <c r="E14" i="1"/>
  <c r="R11" i="1"/>
  <c r="Q11" i="1"/>
  <c r="P11" i="1"/>
  <c r="O11" i="1"/>
  <c r="N11" i="1"/>
  <c r="M11" i="1"/>
  <c r="L11" i="1"/>
  <c r="K11" i="1"/>
  <c r="J11" i="1"/>
  <c r="I11" i="1"/>
  <c r="H11" i="1"/>
  <c r="G11" i="1"/>
  <c r="F11" i="1"/>
  <c r="E11" i="1"/>
  <c r="X9" i="1"/>
  <c r="W9" i="1"/>
  <c r="V9" i="1"/>
  <c r="U9" i="1"/>
  <c r="T9" i="1"/>
  <c r="S9" i="1"/>
  <c r="R9" i="1"/>
  <c r="Q9" i="1"/>
  <c r="P9" i="1"/>
  <c r="O9" i="1"/>
  <c r="N9" i="1"/>
  <c r="M9" i="1"/>
  <c r="L9" i="1"/>
  <c r="K9" i="1"/>
  <c r="J9" i="1"/>
  <c r="I9" i="1"/>
  <c r="H9" i="1"/>
  <c r="G9" i="1"/>
  <c r="F9" i="1"/>
  <c r="Q6" i="1"/>
  <c r="P6" i="1"/>
  <c r="O6" i="1"/>
  <c r="N6" i="1"/>
  <c r="M6" i="1"/>
  <c r="L6" i="1"/>
  <c r="K6" i="1"/>
  <c r="J6" i="1"/>
  <c r="I6" i="1"/>
  <c r="H6" i="1"/>
  <c r="G6" i="1"/>
  <c r="F6" i="1"/>
  <c r="E6" i="1"/>
  <c r="N3" i="1"/>
  <c r="O3" i="1" s="1"/>
  <c r="P3" i="1" s="1"/>
  <c r="Q3" i="1" s="1"/>
  <c r="R3" i="1" s="1"/>
  <c r="S3" i="1" s="1"/>
  <c r="T3" i="1" s="1"/>
  <c r="U3" i="1" s="1"/>
  <c r="V3" i="1" s="1"/>
  <c r="W3" i="1" s="1"/>
  <c r="X3" i="1" s="1"/>
  <c r="Y3" i="1" s="1"/>
  <c r="Z3" i="1" s="1"/>
  <c r="Z28" i="5"/>
  <c r="Y28" i="5"/>
  <c r="X28" i="5"/>
  <c r="W28" i="5"/>
  <c r="V28" i="5"/>
  <c r="Z18" i="5"/>
  <c r="Y18" i="5"/>
  <c r="X18" i="5"/>
  <c r="W18" i="5"/>
  <c r="V18" i="5"/>
  <c r="Z6" i="5"/>
  <c r="Y6" i="5"/>
  <c r="X6" i="5"/>
  <c r="W6" i="5"/>
  <c r="V6" i="5"/>
  <c r="M25" i="6"/>
  <c r="N25" i="6"/>
  <c r="O25" i="6"/>
  <c r="P25" i="6"/>
  <c r="Q25" i="6"/>
  <c r="L25" i="6"/>
  <c r="AC187" i="9"/>
  <c r="AB187" i="9"/>
  <c r="AA187" i="9"/>
  <c r="Z187" i="9"/>
  <c r="Y187" i="9"/>
  <c r="BA5" i="13" a="1"/>
  <c r="Z380" i="1" a="1"/>
  <c r="Z380" i="1" l="1"/>
  <c r="AA3" i="1"/>
  <c r="M359" i="1"/>
  <c r="M360" i="1"/>
  <c r="W20" i="1"/>
  <c r="W124" i="1" s="1"/>
  <c r="W115" i="1"/>
  <c r="Y360" i="1"/>
  <c r="BQ197" i="3"/>
  <c r="BQ202" i="3" s="1"/>
  <c r="BQ208" i="3" s="1"/>
  <c r="BU209" i="3" s="1"/>
  <c r="AB76" i="13"/>
  <c r="AB150" i="13" s="1"/>
  <c r="X17" i="14"/>
  <c r="X362" i="1"/>
  <c r="Y309" i="1" s="1"/>
  <c r="Q5" i="6"/>
  <c r="Z116" i="2"/>
  <c r="U28" i="1"/>
  <c r="V98" i="1"/>
  <c r="V21" i="1"/>
  <c r="L73" i="1"/>
  <c r="M39" i="1"/>
  <c r="U98" i="1"/>
  <c r="M93" i="1"/>
  <c r="W21" i="1"/>
  <c r="M51" i="1"/>
  <c r="BQ192" i="3"/>
  <c r="GB196" i="3"/>
  <c r="GB197" i="3" s="1"/>
  <c r="GB193" i="3"/>
  <c r="O25" i="1"/>
  <c r="J51" i="1"/>
  <c r="J53" i="1" s="1"/>
  <c r="J54" i="1" s="1"/>
  <c r="GA197" i="3"/>
  <c r="BA5" i="13"/>
  <c r="BB5" i="13" s="1"/>
  <c r="AQ5" i="13" s="1"/>
  <c r="L309" i="1"/>
  <c r="Q186" i="1"/>
  <c r="T193" i="1"/>
  <c r="T195" i="1" s="1"/>
  <c r="T104" i="1" s="1"/>
  <c r="T106" i="1" s="1"/>
  <c r="T176" i="1"/>
  <c r="P8" i="13"/>
  <c r="P6" i="13"/>
  <c r="BQ173" i="3"/>
  <c r="BQ194" i="3"/>
  <c r="N25" i="1"/>
  <c r="O93" i="1"/>
  <c r="T93" i="1"/>
  <c r="P116" i="1"/>
  <c r="N181" i="1"/>
  <c r="O182" i="1" s="1"/>
  <c r="M60" i="1"/>
  <c r="M225" i="1" s="1"/>
  <c r="M63" i="1" s="1"/>
  <c r="M64" i="1" s="1"/>
  <c r="L176" i="1"/>
  <c r="T25" i="1"/>
  <c r="W39" i="1"/>
  <c r="X74" i="1"/>
  <c r="X232" i="1" s="1"/>
  <c r="R25" i="1"/>
  <c r="X77" i="1"/>
  <c r="S243" i="1"/>
  <c r="V73" i="1"/>
  <c r="V232" i="1" s="1"/>
  <c r="V72" i="1" s="1"/>
  <c r="V75" i="1" s="1"/>
  <c r="V83" i="1" s="1"/>
  <c r="R93" i="1"/>
  <c r="W193" i="1"/>
  <c r="W195" i="1" s="1"/>
  <c r="P51" i="1"/>
  <c r="W207" i="1"/>
  <c r="W205" i="1" s="1"/>
  <c r="W68" i="1" s="1"/>
  <c r="Q225" i="1"/>
  <c r="Q226" i="1" s="1"/>
  <c r="T74" i="1"/>
  <c r="T232" i="1" s="1"/>
  <c r="E243" i="1"/>
  <c r="M243" i="1"/>
  <c r="U243" i="1"/>
  <c r="R182" i="1"/>
  <c r="N231" i="1"/>
  <c r="F243" i="1"/>
  <c r="L25" i="1"/>
  <c r="L74" i="1"/>
  <c r="L93" i="1"/>
  <c r="N193" i="1"/>
  <c r="N195" i="1" s="1"/>
  <c r="N104" i="1" s="1"/>
  <c r="N106" i="1" s="1"/>
  <c r="M230" i="1"/>
  <c r="Q195" i="1"/>
  <c r="N51" i="1"/>
  <c r="O51" i="1"/>
  <c r="Y33" i="1"/>
  <c r="U60" i="1"/>
  <c r="U225" i="1" s="1"/>
  <c r="L207" i="1"/>
  <c r="L205" i="1" s="1"/>
  <c r="L68" i="1" s="1"/>
  <c r="S225" i="1"/>
  <c r="S63" i="1" s="1"/>
  <c r="S64" i="1" s="1"/>
  <c r="U207" i="1"/>
  <c r="U205" i="1" s="1"/>
  <c r="U68" i="1" s="1"/>
  <c r="M181" i="1"/>
  <c r="M182" i="1" s="1"/>
  <c r="U232" i="1"/>
  <c r="U233" i="1" s="1"/>
  <c r="U234" i="1" s="1"/>
  <c r="P186" i="1"/>
  <c r="R51" i="1"/>
  <c r="V111" i="1"/>
  <c r="W169" i="1"/>
  <c r="M176" i="1"/>
  <c r="M338" i="1" s="1"/>
  <c r="J23" i="1"/>
  <c r="J30" i="1" s="1"/>
  <c r="J35" i="1" s="1"/>
  <c r="J308" i="1" s="1"/>
  <c r="Q232" i="1"/>
  <c r="Q72" i="1" s="1"/>
  <c r="Q75" i="1" s="1"/>
  <c r="Q83" i="1" s="1"/>
  <c r="O225" i="1"/>
  <c r="O63" i="1" s="1"/>
  <c r="O64" i="1" s="1"/>
  <c r="W64" i="1"/>
  <c r="M195" i="1"/>
  <c r="M104" i="1" s="1"/>
  <c r="M106" i="1" s="1"/>
  <c r="S193" i="1"/>
  <c r="S195" i="1" s="1"/>
  <c r="S104" i="1" s="1"/>
  <c r="S106" i="1" s="1"/>
  <c r="M231" i="1"/>
  <c r="P54" i="1"/>
  <c r="X193" i="1"/>
  <c r="H243" i="1"/>
  <c r="P243" i="1"/>
  <c r="X243" i="1"/>
  <c r="K51" i="1"/>
  <c r="E23" i="1"/>
  <c r="E30" i="1" s="1"/>
  <c r="E35" i="1" s="1"/>
  <c r="E308" i="1" s="1"/>
  <c r="M74" i="1"/>
  <c r="M232" i="1" s="1"/>
  <c r="M72" i="1" s="1"/>
  <c r="M75" i="1" s="1"/>
  <c r="M83" i="1" s="1"/>
  <c r="P182" i="1"/>
  <c r="V193" i="1"/>
  <c r="V195" i="1" s="1"/>
  <c r="V197" i="1" s="1"/>
  <c r="Y242" i="1"/>
  <c r="Y243" i="1" s="1"/>
  <c r="Y80" i="1"/>
  <c r="F23" i="1"/>
  <c r="F30" i="1" s="1"/>
  <c r="F35" i="1" s="1"/>
  <c r="F308" i="1" s="1"/>
  <c r="Y61" i="1"/>
  <c r="S77" i="1"/>
  <c r="S252" i="1" s="1"/>
  <c r="S78" i="1" s="1"/>
  <c r="L169" i="1"/>
  <c r="T184" i="1"/>
  <c r="L243" i="1"/>
  <c r="T243" i="1"/>
  <c r="X350" i="1"/>
  <c r="R195" i="1"/>
  <c r="R197" i="1" s="1"/>
  <c r="V64" i="1"/>
  <c r="R232" i="1"/>
  <c r="R72" i="1" s="1"/>
  <c r="R75" i="1" s="1"/>
  <c r="R83" i="1" s="1"/>
  <c r="Y39" i="1"/>
  <c r="T182" i="1"/>
  <c r="N243" i="1"/>
  <c r="V243" i="1"/>
  <c r="X92" i="1"/>
  <c r="X54" i="1"/>
  <c r="AA116" i="2"/>
  <c r="Y63" i="1"/>
  <c r="Z226" i="1"/>
  <c r="V53" i="1"/>
  <c r="V92" i="1" s="1"/>
  <c r="V46" i="1"/>
  <c r="Z199" i="1"/>
  <c r="Y74" i="1"/>
  <c r="S232" i="1"/>
  <c r="S72" i="1" s="1"/>
  <c r="S75" i="1" s="1"/>
  <c r="M169" i="1"/>
  <c r="U169" i="1"/>
  <c r="N359" i="1"/>
  <c r="U46" i="1"/>
  <c r="R225" i="1"/>
  <c r="R63" i="1" s="1"/>
  <c r="R64" i="1" s="1"/>
  <c r="M207" i="1"/>
  <c r="M205" i="1" s="1"/>
  <c r="M68" i="1" s="1"/>
  <c r="V169" i="1"/>
  <c r="S182" i="1"/>
  <c r="U193" i="1"/>
  <c r="J243" i="1"/>
  <c r="R243" i="1"/>
  <c r="W359" i="1"/>
  <c r="G23" i="1"/>
  <c r="G30" i="1" s="1"/>
  <c r="G35" i="1" s="1"/>
  <c r="G308" i="1" s="1"/>
  <c r="H23" i="1"/>
  <c r="H30" i="1" s="1"/>
  <c r="H35" i="1" s="1"/>
  <c r="H308" i="1" s="1"/>
  <c r="U48" i="1"/>
  <c r="L225" i="1"/>
  <c r="L226" i="1" s="1"/>
  <c r="T225" i="1"/>
  <c r="T226" i="1" s="1"/>
  <c r="N73" i="1"/>
  <c r="N232" i="1" s="1"/>
  <c r="N72" i="1" s="1"/>
  <c r="N75" i="1" s="1"/>
  <c r="N83" i="1" s="1"/>
  <c r="U181" i="1"/>
  <c r="U182" i="1" s="1"/>
  <c r="O195" i="1"/>
  <c r="P348" i="1"/>
  <c r="Q348" i="1" s="1"/>
  <c r="I23" i="1"/>
  <c r="I30" i="1" s="1"/>
  <c r="I35" i="1" s="1"/>
  <c r="I308" i="1" s="1"/>
  <c r="T33" i="1"/>
  <c r="M54" i="1"/>
  <c r="O232" i="1"/>
  <c r="O72" i="1" s="1"/>
  <c r="O75" i="1" s="1"/>
  <c r="O83" i="1" s="1"/>
  <c r="W232" i="1"/>
  <c r="W72" i="1" s="1"/>
  <c r="W75" i="1" s="1"/>
  <c r="W83" i="1" s="1"/>
  <c r="O176" i="1"/>
  <c r="V181" i="1"/>
  <c r="W182" i="1" s="1"/>
  <c r="Z298" i="1"/>
  <c r="Z300" i="1" s="1"/>
  <c r="Z341" i="1" s="1"/>
  <c r="I51" i="1"/>
  <c r="I53" i="1" s="1"/>
  <c r="I54" i="1" s="1"/>
  <c r="N54" i="1"/>
  <c r="P232" i="1"/>
  <c r="P72" i="1" s="1"/>
  <c r="P75" i="1" s="1"/>
  <c r="P83" i="1" s="1"/>
  <c r="Z141" i="1"/>
  <c r="AA141" i="1" s="1"/>
  <c r="W349" i="1"/>
  <c r="X64" i="1"/>
  <c r="R186" i="1"/>
  <c r="R176" i="1"/>
  <c r="Q182" i="1"/>
  <c r="X349" i="1"/>
  <c r="W373" i="1"/>
  <c r="W316" i="1"/>
  <c r="W318" i="1" s="1"/>
  <c r="W53" i="1"/>
  <c r="W48" i="1"/>
  <c r="W46" i="1"/>
  <c r="L51" i="1"/>
  <c r="M23" i="1"/>
  <c r="M30" i="1" s="1"/>
  <c r="M35" i="1" s="1"/>
  <c r="V207" i="1"/>
  <c r="V205" i="1" s="1"/>
  <c r="V68" i="1" s="1"/>
  <c r="K23" i="1"/>
  <c r="K30" i="1" s="1"/>
  <c r="K35" i="1" s="1"/>
  <c r="K308" i="1" s="1"/>
  <c r="S261" i="1"/>
  <c r="S316" i="1"/>
  <c r="S318" i="1" s="1"/>
  <c r="S373" i="1"/>
  <c r="S53" i="1"/>
  <c r="S46" i="1"/>
  <c r="M337" i="1"/>
  <c r="M372" i="1" s="1"/>
  <c r="M263" i="1"/>
  <c r="M150" i="1"/>
  <c r="N150" i="1" s="1"/>
  <c r="L261" i="1"/>
  <c r="L23" i="1"/>
  <c r="T261" i="1"/>
  <c r="T316" i="1"/>
  <c r="T318" i="1" s="1"/>
  <c r="T373" i="1"/>
  <c r="T48" i="1"/>
  <c r="Q373" i="1"/>
  <c r="Q316" i="1"/>
  <c r="Q318" i="1" s="1"/>
  <c r="Q53" i="1"/>
  <c r="Q43" i="1"/>
  <c r="Q51" i="1" s="1"/>
  <c r="Q48" i="1"/>
  <c r="Q46" i="1"/>
  <c r="T53" i="1"/>
  <c r="N225" i="1"/>
  <c r="W113" i="1"/>
  <c r="V261" i="1"/>
  <c r="V213" i="1"/>
  <c r="V214" i="1" s="1"/>
  <c r="U92" i="1"/>
  <c r="U54" i="1"/>
  <c r="L92" i="1"/>
  <c r="L54" i="1"/>
  <c r="P225" i="1"/>
  <c r="W261" i="1"/>
  <c r="W213" i="1"/>
  <c r="W214" i="1" s="1"/>
  <c r="X261" i="1"/>
  <c r="V48" i="1"/>
  <c r="X214" i="1"/>
  <c r="V337" i="1"/>
  <c r="V372" i="1" s="1"/>
  <c r="V263" i="1"/>
  <c r="Z159" i="1"/>
  <c r="X46" i="1"/>
  <c r="X111" i="1"/>
  <c r="X115" i="1" s="1"/>
  <c r="Z200" i="1"/>
  <c r="Y193" i="1"/>
  <c r="U373" i="1"/>
  <c r="U316" i="1"/>
  <c r="U318" i="1" s="1"/>
  <c r="W337" i="1"/>
  <c r="W372" i="1" s="1"/>
  <c r="W263" i="1"/>
  <c r="S264" i="1"/>
  <c r="L186" i="1"/>
  <c r="L187" i="1" s="1"/>
  <c r="L195" i="1"/>
  <c r="M186" i="1"/>
  <c r="V373" i="1"/>
  <c r="V316" i="1"/>
  <c r="V318" i="1" s="1"/>
  <c r="S130" i="1"/>
  <c r="S128" i="1"/>
  <c r="T128" i="1" s="1"/>
  <c r="X337" i="1"/>
  <c r="X372" i="1" s="1"/>
  <c r="X263" i="1"/>
  <c r="Q264" i="1"/>
  <c r="Q177" i="1"/>
  <c r="L336" i="1"/>
  <c r="L371" i="1" s="1"/>
  <c r="L262" i="1"/>
  <c r="M153" i="1"/>
  <c r="L152" i="1"/>
  <c r="U264" i="1"/>
  <c r="X373" i="1"/>
  <c r="X316" i="1"/>
  <c r="X318" i="1" s="1"/>
  <c r="O54" i="1"/>
  <c r="M336" i="1"/>
  <c r="M371" i="1" s="1"/>
  <c r="M262" i="1"/>
  <c r="Y156" i="1"/>
  <c r="Z156" i="1" s="1"/>
  <c r="AA156" i="1" s="1"/>
  <c r="AB156" i="1" s="1"/>
  <c r="AC156" i="1" s="1"/>
  <c r="AD156" i="1" s="1"/>
  <c r="AE156" i="1" s="1"/>
  <c r="AF156" i="1" s="1"/>
  <c r="AG156" i="1" s="1"/>
  <c r="AH156" i="1" s="1"/>
  <c r="AI156" i="1" s="1"/>
  <c r="N176" i="1"/>
  <c r="N338" i="1" s="1"/>
  <c r="N184" i="1"/>
  <c r="V264" i="1"/>
  <c r="Z181" i="1"/>
  <c r="P195" i="1"/>
  <c r="W264" i="1"/>
  <c r="W177" i="1"/>
  <c r="Z242" i="1"/>
  <c r="AA246" i="1"/>
  <c r="P264" i="1"/>
  <c r="X264" i="1"/>
  <c r="X177" i="1"/>
  <c r="V177" i="1"/>
  <c r="X182" i="1"/>
  <c r="Z223" i="1"/>
  <c r="W231" i="1"/>
  <c r="V230" i="1"/>
  <c r="L230" i="1"/>
  <c r="Z220" i="1"/>
  <c r="L337" i="1"/>
  <c r="L372" i="1" s="1"/>
  <c r="L263" i="1"/>
  <c r="Z230" i="1"/>
  <c r="K243" i="1"/>
  <c r="S224" i="1"/>
  <c r="R224" i="1"/>
  <c r="R223" i="1"/>
  <c r="N230" i="1"/>
  <c r="G243" i="1"/>
  <c r="O243" i="1"/>
  <c r="W243" i="1"/>
  <c r="I243" i="1"/>
  <c r="Q243" i="1"/>
  <c r="F288" i="1"/>
  <c r="U293" i="1"/>
  <c r="D297" i="1"/>
  <c r="V289" i="1"/>
  <c r="W350" i="1"/>
  <c r="V349" i="1"/>
  <c r="V350" i="1"/>
  <c r="V362" i="1"/>
  <c r="L363" i="1"/>
  <c r="T363" i="1"/>
  <c r="Q352" i="1"/>
  <c r="Q354" i="1" s="1"/>
  <c r="Q356" i="1" s="1"/>
  <c r="X359" i="1"/>
  <c r="M362" i="1"/>
  <c r="U363" i="1"/>
  <c r="O354" i="1"/>
  <c r="O356" i="1" s="1"/>
  <c r="N363" i="1"/>
  <c r="P354" i="1"/>
  <c r="P356" i="1" s="1"/>
  <c r="O362" i="1"/>
  <c r="W362" i="1"/>
  <c r="Y362" i="1"/>
  <c r="AA380" i="1" a="1"/>
  <c r="AA380" i="1" l="1"/>
  <c r="AB3" i="1"/>
  <c r="Y363" i="1"/>
  <c r="Z367" i="1"/>
  <c r="W112" i="1"/>
  <c r="V115" i="1"/>
  <c r="U177" i="1"/>
  <c r="T338" i="1"/>
  <c r="R177" i="1"/>
  <c r="R338" i="1"/>
  <c r="W23" i="1"/>
  <c r="L264" i="1"/>
  <c r="L266" i="1" s="1"/>
  <c r="L269" i="1" s="1"/>
  <c r="L338" i="1"/>
  <c r="O264" i="1"/>
  <c r="O338" i="1"/>
  <c r="Y186" i="1"/>
  <c r="N86" i="1"/>
  <c r="S86" i="1"/>
  <c r="X252" i="1"/>
  <c r="Y252" i="1" s="1"/>
  <c r="M86" i="1"/>
  <c r="T86" i="1"/>
  <c r="X72" i="1"/>
  <c r="X75" i="1" s="1"/>
  <c r="Y232" i="1"/>
  <c r="P14" i="13"/>
  <c r="GB199" i="3"/>
  <c r="GB202" i="3" s="1"/>
  <c r="Y98" i="1"/>
  <c r="X363" i="1"/>
  <c r="L232" i="1"/>
  <c r="L72" i="1" s="1"/>
  <c r="L75" i="1" s="1"/>
  <c r="L83" i="1" s="1"/>
  <c r="T177" i="1"/>
  <c r="T264" i="1"/>
  <c r="BQ205" i="3"/>
  <c r="O226" i="1"/>
  <c r="R233" i="1"/>
  <c r="P16" i="13"/>
  <c r="GB194" i="3"/>
  <c r="GB192" i="3"/>
  <c r="T197" i="1"/>
  <c r="X186" i="1"/>
  <c r="Q116" i="1"/>
  <c r="R187" i="1"/>
  <c r="N182" i="1"/>
  <c r="S186" i="1"/>
  <c r="S187" i="1" s="1"/>
  <c r="M177" i="1"/>
  <c r="S233" i="1"/>
  <c r="U186" i="1"/>
  <c r="U63" i="1"/>
  <c r="U64" i="1" s="1"/>
  <c r="U70" i="1" s="1"/>
  <c r="U226" i="1"/>
  <c r="GA202" i="3"/>
  <c r="O186" i="1"/>
  <c r="N186" i="1"/>
  <c r="N187" i="1" s="1"/>
  <c r="T227" i="1"/>
  <c r="M264" i="1"/>
  <c r="M266" i="1" s="1"/>
  <c r="S226" i="1"/>
  <c r="P227" i="1"/>
  <c r="BQ210" i="3"/>
  <c r="P19" i="13"/>
  <c r="Q63" i="1"/>
  <c r="Q64" i="1" s="1"/>
  <c r="W70" i="1"/>
  <c r="W84" i="1" s="1"/>
  <c r="P177" i="1"/>
  <c r="V227" i="1"/>
  <c r="L30" i="1"/>
  <c r="L35" i="1" s="1"/>
  <c r="L365" i="1" s="1"/>
  <c r="N197" i="1"/>
  <c r="U227" i="1"/>
  <c r="U236" i="1" s="1"/>
  <c r="M226" i="1"/>
  <c r="N227" i="1"/>
  <c r="T63" i="1"/>
  <c r="T64" i="1" s="1"/>
  <c r="AB116" i="2"/>
  <c r="T186" i="1"/>
  <c r="S83" i="1"/>
  <c r="W191" i="1"/>
  <c r="W189" i="1" s="1"/>
  <c r="Q187" i="1"/>
  <c r="O177" i="1"/>
  <c r="V104" i="1"/>
  <c r="V106" i="1" s="1"/>
  <c r="V70" i="1"/>
  <c r="V84" i="1" s="1"/>
  <c r="W186" i="1"/>
  <c r="N191" i="1"/>
  <c r="N189" i="1" s="1"/>
  <c r="R191" i="1"/>
  <c r="R189" i="1" s="1"/>
  <c r="Q197" i="1"/>
  <c r="Q104" i="1"/>
  <c r="Q106" i="1" s="1"/>
  <c r="U72" i="1"/>
  <c r="U75" i="1" s="1"/>
  <c r="U83" i="1" s="1"/>
  <c r="X195" i="1"/>
  <c r="P234" i="1"/>
  <c r="R104" i="1"/>
  <c r="R106" i="1" s="1"/>
  <c r="R227" i="1"/>
  <c r="R234" i="1"/>
  <c r="V113" i="1"/>
  <c r="V20" i="1"/>
  <c r="Q233" i="1"/>
  <c r="M233" i="1"/>
  <c r="R226" i="1"/>
  <c r="Z94" i="1"/>
  <c r="S191" i="1"/>
  <c r="S189" i="1" s="1"/>
  <c r="V186" i="1"/>
  <c r="N234" i="1"/>
  <c r="L227" i="1"/>
  <c r="S227" i="1"/>
  <c r="T191" i="1"/>
  <c r="T189" i="1" s="1"/>
  <c r="M227" i="1"/>
  <c r="O234" i="1"/>
  <c r="Q350" i="1"/>
  <c r="M70" i="1"/>
  <c r="M84" i="1" s="1"/>
  <c r="N233" i="1"/>
  <c r="X233" i="1"/>
  <c r="P362" i="1"/>
  <c r="P363" i="1" s="1"/>
  <c r="O233" i="1"/>
  <c r="L63" i="1"/>
  <c r="L64" i="1" s="1"/>
  <c r="L70" i="1" s="1"/>
  <c r="T233" i="1"/>
  <c r="T72" i="1"/>
  <c r="T75" i="1" s="1"/>
  <c r="T83" i="1" s="1"/>
  <c r="U195" i="1"/>
  <c r="U197" i="1" s="1"/>
  <c r="S177" i="1"/>
  <c r="X234" i="1"/>
  <c r="X236" i="1" s="1"/>
  <c r="R264" i="1"/>
  <c r="V54" i="1"/>
  <c r="P350" i="1"/>
  <c r="AA199" i="1"/>
  <c r="Z74" i="1"/>
  <c r="AA298" i="1"/>
  <c r="Z33" i="1"/>
  <c r="BX207" i="3" s="1"/>
  <c r="BW207" i="3" s="1"/>
  <c r="S197" i="1"/>
  <c r="V182" i="1"/>
  <c r="Z302" i="1"/>
  <c r="S234" i="1"/>
  <c r="V233" i="1"/>
  <c r="V234" i="1" s="1"/>
  <c r="Q234" i="1"/>
  <c r="T234" i="1"/>
  <c r="W234" i="1"/>
  <c r="W236" i="1" s="1"/>
  <c r="P233" i="1"/>
  <c r="Q362" i="1"/>
  <c r="R348" i="1"/>
  <c r="R350" i="1" s="1"/>
  <c r="O197" i="1"/>
  <c r="O104" i="1"/>
  <c r="O106" i="1" s="1"/>
  <c r="W197" i="1"/>
  <c r="W104" i="1"/>
  <c r="W106" i="1" s="1"/>
  <c r="O191" i="1"/>
  <c r="O189" i="1" s="1"/>
  <c r="W233" i="1"/>
  <c r="Z225" i="1"/>
  <c r="AA226" i="1"/>
  <c r="AC116" i="2"/>
  <c r="Z161" i="1"/>
  <c r="AA159" i="1"/>
  <c r="T92" i="1"/>
  <c r="T54" i="1"/>
  <c r="R352" i="1"/>
  <c r="R354" i="1" s="1"/>
  <c r="R356" i="1" s="1"/>
  <c r="V293" i="1"/>
  <c r="Y62" i="1"/>
  <c r="AB246" i="1"/>
  <c r="AA242" i="1"/>
  <c r="P197" i="1"/>
  <c r="Q191" i="1"/>
  <c r="Q189" i="1" s="1"/>
  <c r="P191" i="1"/>
  <c r="P189" i="1" s="1"/>
  <c r="P104" i="1"/>
  <c r="P106" i="1" s="1"/>
  <c r="X113" i="1"/>
  <c r="X112" i="1"/>
  <c r="X20" i="1"/>
  <c r="S92" i="1"/>
  <c r="S54" i="1"/>
  <c r="AJ53" i="1"/>
  <c r="V363" i="1"/>
  <c r="W309" i="1"/>
  <c r="W98" i="1"/>
  <c r="Z348" i="1"/>
  <c r="Y350" i="1"/>
  <c r="AA223" i="1"/>
  <c r="Z222" i="1"/>
  <c r="Z224" i="1" s="1"/>
  <c r="M152" i="1"/>
  <c r="N152" i="1" s="1"/>
  <c r="AB141" i="1"/>
  <c r="AA94" i="1"/>
  <c r="W363" i="1"/>
  <c r="X309" i="1"/>
  <c r="X98" i="1"/>
  <c r="AA181" i="1"/>
  <c r="U128" i="1"/>
  <c r="T127" i="1"/>
  <c r="Y133" i="1"/>
  <c r="O363" i="1"/>
  <c r="P309" i="1"/>
  <c r="P98" i="1"/>
  <c r="N264" i="1"/>
  <c r="N177" i="1"/>
  <c r="AA200" i="1"/>
  <c r="Z193" i="1"/>
  <c r="Z77" i="1"/>
  <c r="W92" i="1"/>
  <c r="W54" i="1"/>
  <c r="M365" i="1"/>
  <c r="M363" i="1"/>
  <c r="M309" i="1"/>
  <c r="M98" i="1"/>
  <c r="V291" i="1"/>
  <c r="V339" i="1" s="1"/>
  <c r="W289" i="1"/>
  <c r="V28" i="1"/>
  <c r="G288" i="1"/>
  <c r="F297" i="1"/>
  <c r="Z219" i="1"/>
  <c r="AA220" i="1"/>
  <c r="P226" i="1"/>
  <c r="Q227" i="1"/>
  <c r="P63" i="1"/>
  <c r="P64" i="1" s="1"/>
  <c r="Q92" i="1"/>
  <c r="Q54" i="1"/>
  <c r="O150" i="1"/>
  <c r="N149" i="1"/>
  <c r="Z309" i="1"/>
  <c r="Z98" i="1"/>
  <c r="Z243" i="1"/>
  <c r="M187" i="1"/>
  <c r="N226" i="1"/>
  <c r="O227" i="1"/>
  <c r="N63" i="1"/>
  <c r="N64" i="1" s="1"/>
  <c r="AA230" i="1"/>
  <c r="Z229" i="1"/>
  <c r="M191" i="1"/>
  <c r="M189" i="1" s="1"/>
  <c r="L191" i="1"/>
  <c r="L189" i="1" s="1"/>
  <c r="L190" i="1" s="1"/>
  <c r="L104" i="1"/>
  <c r="L106" i="1" s="1"/>
  <c r="M308" i="1"/>
  <c r="M37" i="1"/>
  <c r="S132" i="2"/>
  <c r="S140" i="2"/>
  <c r="S71" i="2"/>
  <c r="T72" i="2" s="1"/>
  <c r="AD29" i="13"/>
  <c r="AD47" i="13" s="1"/>
  <c r="DY4" i="3"/>
  <c r="AC29" i="13" s="1"/>
  <c r="AC47" i="13" s="1"/>
  <c r="AB29" i="13"/>
  <c r="AB47" i="13" s="1"/>
  <c r="W16" i="2"/>
  <c r="AB380" i="1" a="1"/>
  <c r="AB380" i="1" l="1"/>
  <c r="AC3" i="1"/>
  <c r="Y187" i="1"/>
  <c r="X11" i="1"/>
  <c r="X51" i="1" s="1"/>
  <c r="T87" i="1"/>
  <c r="N87" i="1"/>
  <c r="X78" i="1"/>
  <c r="X83" i="1" s="1"/>
  <c r="Z252" i="1"/>
  <c r="AA252" i="1" s="1"/>
  <c r="AB252" i="1" s="1"/>
  <c r="AC252" i="1" s="1"/>
  <c r="AD252" i="1" s="1"/>
  <c r="AE252" i="1" s="1"/>
  <c r="AF252" i="1" s="1"/>
  <c r="AG252" i="1" s="1"/>
  <c r="AH252" i="1" s="1"/>
  <c r="AI252" i="1" s="1"/>
  <c r="Y78" i="1"/>
  <c r="C96" i="6"/>
  <c r="X197" i="1"/>
  <c r="X104" i="1"/>
  <c r="M271" i="1"/>
  <c r="M275" i="1" s="1"/>
  <c r="M269" i="1"/>
  <c r="V86" i="1"/>
  <c r="Y233" i="1"/>
  <c r="Y72" i="1"/>
  <c r="Y75" i="1" s="1"/>
  <c r="Z234" i="1"/>
  <c r="P86" i="1"/>
  <c r="W86" i="1"/>
  <c r="Q86" i="1"/>
  <c r="Y234" i="1"/>
  <c r="Y236" i="1" s="1"/>
  <c r="R22" i="6" s="1"/>
  <c r="O86" i="1"/>
  <c r="O87" i="1" s="1"/>
  <c r="R86" i="1"/>
  <c r="S87" i="1" s="1"/>
  <c r="L86" i="1"/>
  <c r="L87" i="1" s="1"/>
  <c r="AD60" i="13"/>
  <c r="AD90" i="13" s="1"/>
  <c r="AD94" i="13" s="1"/>
  <c r="AD55" i="13"/>
  <c r="L233" i="1"/>
  <c r="L234" i="1"/>
  <c r="L236" i="1" s="1"/>
  <c r="L96" i="1" s="1"/>
  <c r="M234" i="1"/>
  <c r="M236" i="1" s="1"/>
  <c r="M96" i="1" s="1"/>
  <c r="F22" i="6" s="1"/>
  <c r="L84" i="1"/>
  <c r="U63" i="2"/>
  <c r="GB204" i="3"/>
  <c r="AC60" i="13"/>
  <c r="AC90" i="13" s="1"/>
  <c r="AC94" i="13" s="1"/>
  <c r="AC55" i="13"/>
  <c r="T187" i="1"/>
  <c r="R116" i="1"/>
  <c r="X187" i="1"/>
  <c r="U84" i="1"/>
  <c r="L308" i="1"/>
  <c r="V236" i="1"/>
  <c r="V187" i="1"/>
  <c r="O187" i="1"/>
  <c r="Q236" i="1"/>
  <c r="Q96" i="1" s="1"/>
  <c r="J22" i="6" s="1"/>
  <c r="P236" i="1"/>
  <c r="P96" i="1" s="1"/>
  <c r="I22" i="6" s="1"/>
  <c r="AB60" i="13"/>
  <c r="AB90" i="13" s="1"/>
  <c r="AB94" i="13" s="1"/>
  <c r="AB55" i="13"/>
  <c r="GA204" i="3"/>
  <c r="GA208" i="3" s="1"/>
  <c r="L37" i="1"/>
  <c r="T236" i="1"/>
  <c r="T96" i="1" s="1"/>
  <c r="M22" i="6" s="1"/>
  <c r="N236" i="1"/>
  <c r="N96" i="1" s="1"/>
  <c r="G22" i="6" s="1"/>
  <c r="U187" i="1"/>
  <c r="P187" i="1"/>
  <c r="X191" i="1"/>
  <c r="X189" i="1" s="1"/>
  <c r="X190" i="1" s="1"/>
  <c r="S190" i="1"/>
  <c r="R236" i="1"/>
  <c r="R96" i="1" s="1"/>
  <c r="K22" i="6" s="1"/>
  <c r="M268" i="1"/>
  <c r="M340" i="1" s="1"/>
  <c r="M342" i="1" s="1"/>
  <c r="M343" i="1" s="1"/>
  <c r="V191" i="1"/>
  <c r="V189" i="1" s="1"/>
  <c r="W190" i="1" s="1"/>
  <c r="O236" i="1"/>
  <c r="O96" i="1" s="1"/>
  <c r="H22" i="6" s="1"/>
  <c r="V23" i="1"/>
  <c r="V30" i="1" s="1"/>
  <c r="V35" i="1" s="1"/>
  <c r="V365" i="1" s="1"/>
  <c r="V124" i="1"/>
  <c r="O190" i="1"/>
  <c r="T190" i="1"/>
  <c r="W187" i="1"/>
  <c r="Q98" i="1"/>
  <c r="Q309" i="1"/>
  <c r="M190" i="1"/>
  <c r="S236" i="1"/>
  <c r="S96" i="1" s="1"/>
  <c r="L22" i="6" s="1"/>
  <c r="Z350" i="1"/>
  <c r="P190" i="1"/>
  <c r="U104" i="1"/>
  <c r="U106" i="1" s="1"/>
  <c r="AB226" i="1"/>
  <c r="W293" i="1"/>
  <c r="Z63" i="1"/>
  <c r="Z227" i="1"/>
  <c r="U191" i="1"/>
  <c r="U189" i="1" s="1"/>
  <c r="U190" i="1" s="1"/>
  <c r="AA33" i="1"/>
  <c r="AB298" i="1"/>
  <c r="AA300" i="1"/>
  <c r="AA341" i="1" s="1"/>
  <c r="R362" i="1"/>
  <c r="S348" i="1"/>
  <c r="R309" i="1"/>
  <c r="R98" i="1"/>
  <c r="Q363" i="1"/>
  <c r="AB199" i="1"/>
  <c r="AA74" i="1"/>
  <c r="Z80" i="1"/>
  <c r="AA302" i="1"/>
  <c r="AD116" i="2"/>
  <c r="Z73" i="1"/>
  <c r="Z75" i="1" s="1"/>
  <c r="Z231" i="1"/>
  <c r="AC141" i="1"/>
  <c r="AB94" i="1"/>
  <c r="AB223" i="1"/>
  <c r="W291" i="1"/>
  <c r="W339" i="1" s="1"/>
  <c r="X289" i="1"/>
  <c r="W28" i="1"/>
  <c r="W30" i="1" s="1"/>
  <c r="W35" i="1" s="1"/>
  <c r="AB200" i="1"/>
  <c r="AA193" i="1"/>
  <c r="AA77" i="1"/>
  <c r="Z133" i="1"/>
  <c r="Y138" i="1"/>
  <c r="AB181" i="1"/>
  <c r="O152" i="1"/>
  <c r="AA348" i="1"/>
  <c r="AA350" i="1" s="1"/>
  <c r="Q190" i="1"/>
  <c r="S352" i="1"/>
  <c r="S354" i="1" s="1"/>
  <c r="S356" i="1" s="1"/>
  <c r="R190" i="1"/>
  <c r="Z186" i="1"/>
  <c r="AB230" i="1"/>
  <c r="P150" i="1"/>
  <c r="G297" i="1"/>
  <c r="H288" i="1"/>
  <c r="X168" i="1"/>
  <c r="X169" i="1" s="1"/>
  <c r="X67" i="1"/>
  <c r="Z221" i="1"/>
  <c r="Z61" i="1"/>
  <c r="N337" i="1"/>
  <c r="N263" i="1"/>
  <c r="N147" i="1"/>
  <c r="Z152" i="1"/>
  <c r="L271" i="1"/>
  <c r="L275" i="1" s="1"/>
  <c r="L268" i="1"/>
  <c r="L340" i="1" s="1"/>
  <c r="L342" i="1" s="1"/>
  <c r="N190" i="1"/>
  <c r="X23" i="1"/>
  <c r="X124" i="1"/>
  <c r="AB220" i="1"/>
  <c r="AA243" i="1"/>
  <c r="AC246" i="1"/>
  <c r="AB242" i="1"/>
  <c r="AB159" i="1"/>
  <c r="AA161" i="1"/>
  <c r="Z62" i="1"/>
  <c r="U127" i="1"/>
  <c r="V128" i="1"/>
  <c r="R25" i="6"/>
  <c r="AD187" i="9"/>
  <c r="V71" i="2"/>
  <c r="W71" i="2" s="1"/>
  <c r="X71" i="2" s="1"/>
  <c r="Y71" i="2" s="1"/>
  <c r="Z71" i="2" s="1"/>
  <c r="S135" i="2"/>
  <c r="AC380" i="1" a="1"/>
  <c r="X86" i="1" l="1"/>
  <c r="X87" i="1" s="1"/>
  <c r="X106" i="1"/>
  <c r="AC380" i="1"/>
  <c r="AD3" i="1"/>
  <c r="BX87" i="3"/>
  <c r="BW87" i="3" s="1"/>
  <c r="ED87" i="3" s="1"/>
  <c r="AF63" i="2" s="1"/>
  <c r="M277" i="1"/>
  <c r="Q87" i="1"/>
  <c r="W87" i="1"/>
  <c r="R87" i="1"/>
  <c r="P87" i="1"/>
  <c r="Z78" i="1"/>
  <c r="M87" i="1"/>
  <c r="U86" i="1"/>
  <c r="U87" i="1" s="1"/>
  <c r="S116" i="1"/>
  <c r="T116" i="1" s="1"/>
  <c r="V63" i="2"/>
  <c r="GB205" i="3"/>
  <c r="GB207" i="3"/>
  <c r="GA205" i="3"/>
  <c r="GA210" i="3"/>
  <c r="X293" i="1"/>
  <c r="M370" i="1"/>
  <c r="M364" i="1" s="1"/>
  <c r="V37" i="1"/>
  <c r="V308" i="1"/>
  <c r="V190" i="1"/>
  <c r="Z236" i="1"/>
  <c r="S350" i="1"/>
  <c r="T349" i="1"/>
  <c r="T350" i="1"/>
  <c r="S362" i="1"/>
  <c r="AB302" i="1"/>
  <c r="AA80" i="1"/>
  <c r="R363" i="1"/>
  <c r="S309" i="1"/>
  <c r="S98" i="1"/>
  <c r="AC226" i="1"/>
  <c r="AC298" i="1"/>
  <c r="AB300" i="1"/>
  <c r="AB341" i="1" s="1"/>
  <c r="AB33" i="1"/>
  <c r="AC199" i="1"/>
  <c r="AB74" i="1"/>
  <c r="Z79" i="2"/>
  <c r="AA71" i="2"/>
  <c r="N372" i="1"/>
  <c r="AC181" i="1"/>
  <c r="Y176" i="1"/>
  <c r="Y338" i="1" s="1"/>
  <c r="Y93" i="1"/>
  <c r="Y25" i="1"/>
  <c r="GF200" i="3" s="1"/>
  <c r="GD200" i="3" s="1"/>
  <c r="Y15" i="13" s="1"/>
  <c r="Q150" i="1"/>
  <c r="AA186" i="1"/>
  <c r="Z184" i="1"/>
  <c r="Z138" i="1"/>
  <c r="AA133" i="1"/>
  <c r="W308" i="1"/>
  <c r="W37" i="1"/>
  <c r="W365" i="1"/>
  <c r="AD141" i="1"/>
  <c r="AC94" i="1"/>
  <c r="AD246" i="1"/>
  <c r="AC242" i="1"/>
  <c r="AC243" i="1" s="1"/>
  <c r="X207" i="1"/>
  <c r="X291" i="1"/>
  <c r="X339" i="1" s="1"/>
  <c r="Y289" i="1"/>
  <c r="X28" i="1"/>
  <c r="X30" i="1" s="1"/>
  <c r="X35" i="1" s="1"/>
  <c r="AC200" i="1"/>
  <c r="AB193" i="1"/>
  <c r="AB77" i="1"/>
  <c r="AA152" i="1"/>
  <c r="Y337" i="1"/>
  <c r="Y372" i="1" s="1"/>
  <c r="Y263" i="1"/>
  <c r="Y111" i="1"/>
  <c r="Y115" i="1" s="1"/>
  <c r="Y336" i="1" s="1"/>
  <c r="AC230" i="1"/>
  <c r="AB348" i="1"/>
  <c r="AB350" i="1" s="1"/>
  <c r="W128" i="1"/>
  <c r="V127" i="1"/>
  <c r="AC220" i="1"/>
  <c r="AB243" i="1"/>
  <c r="AB161" i="1"/>
  <c r="AC159" i="1"/>
  <c r="N111" i="1"/>
  <c r="N115" i="1" s="1"/>
  <c r="N21" i="1"/>
  <c r="N153" i="1"/>
  <c r="T352" i="1"/>
  <c r="T354" i="1" s="1"/>
  <c r="T356" i="1" s="1"/>
  <c r="P152" i="1"/>
  <c r="AA78" i="1"/>
  <c r="AC223" i="1"/>
  <c r="H297" i="1"/>
  <c r="I288" i="1"/>
  <c r="L343" i="1"/>
  <c r="L38" i="1" s="1"/>
  <c r="L370" i="1"/>
  <c r="L277" i="1"/>
  <c r="M38" i="1"/>
  <c r="S25" i="6"/>
  <c r="AE187" i="9"/>
  <c r="W86" i="14"/>
  <c r="V86" i="14"/>
  <c r="U86" i="14"/>
  <c r="T86" i="14"/>
  <c r="V84" i="14"/>
  <c r="U84" i="14"/>
  <c r="T84" i="14"/>
  <c r="W84" i="14"/>
  <c r="AD380" i="1" a="1"/>
  <c r="AD380" i="1" l="1"/>
  <c r="AE3" i="1"/>
  <c r="N336" i="1"/>
  <c r="N371" i="1" s="1"/>
  <c r="N262" i="1"/>
  <c r="N266" i="1" s="1"/>
  <c r="M283" i="1"/>
  <c r="M284" i="1" s="1"/>
  <c r="M95" i="1" s="1"/>
  <c r="M101" i="1" s="1"/>
  <c r="M102" i="1" s="1"/>
  <c r="M105" i="1" s="1"/>
  <c r="M279" i="1"/>
  <c r="V87" i="1"/>
  <c r="Z237" i="1"/>
  <c r="Z96" i="1" s="1"/>
  <c r="S22" i="6" s="1"/>
  <c r="Y293" i="1"/>
  <c r="I988" i="7"/>
  <c r="Y988" i="7" s="1"/>
  <c r="W63" i="2"/>
  <c r="GB208" i="3"/>
  <c r="GB210" i="3" s="1"/>
  <c r="M374" i="1"/>
  <c r="M375" i="1" s="1"/>
  <c r="AB71" i="2"/>
  <c r="AA79" i="2"/>
  <c r="AD226" i="1"/>
  <c r="AD199" i="1"/>
  <c r="AC74" i="1"/>
  <c r="AB80" i="1"/>
  <c r="AC302" i="1"/>
  <c r="AC300" i="1"/>
  <c r="AC341" i="1" s="1"/>
  <c r="AC33" i="1"/>
  <c r="AD298" i="1"/>
  <c r="S363" i="1"/>
  <c r="T309" i="1"/>
  <c r="T98" i="1"/>
  <c r="X308" i="1"/>
  <c r="X37" i="1"/>
  <c r="X365" i="1"/>
  <c r="AD200" i="1"/>
  <c r="AC193" i="1"/>
  <c r="AC77" i="1"/>
  <c r="I297" i="1"/>
  <c r="J288" i="1"/>
  <c r="X205" i="1"/>
  <c r="X68" i="1" s="1"/>
  <c r="X70" i="1" s="1"/>
  <c r="X84" i="1" s="1"/>
  <c r="AD242" i="1"/>
  <c r="AD243" i="1" s="1"/>
  <c r="AE246" i="1"/>
  <c r="N120" i="1"/>
  <c r="N112" i="1"/>
  <c r="N113" i="1"/>
  <c r="N20" i="1"/>
  <c r="AD220" i="1"/>
  <c r="AB152" i="1"/>
  <c r="N154" i="1"/>
  <c r="W127" i="1"/>
  <c r="X128" i="1"/>
  <c r="L374" i="1"/>
  <c r="L364" i="1"/>
  <c r="AC161" i="1"/>
  <c r="AD159" i="1"/>
  <c r="AB133" i="1"/>
  <c r="AA138" i="1"/>
  <c r="AB78" i="1"/>
  <c r="AC348" i="1"/>
  <c r="AE141" i="1"/>
  <c r="AD94" i="1"/>
  <c r="AD181" i="1"/>
  <c r="M344" i="1"/>
  <c r="AD223" i="1"/>
  <c r="U116" i="1"/>
  <c r="Y291" i="1"/>
  <c r="Y339" i="1" s="1"/>
  <c r="Z289" i="1"/>
  <c r="Y28" i="1"/>
  <c r="R150" i="1"/>
  <c r="Y264" i="1"/>
  <c r="Y177" i="1"/>
  <c r="AB186" i="1"/>
  <c r="AA184" i="1"/>
  <c r="Q152" i="1"/>
  <c r="U352" i="1"/>
  <c r="U354" i="1" s="1"/>
  <c r="U356" i="1" s="1"/>
  <c r="AD230" i="1"/>
  <c r="L283" i="1"/>
  <c r="L284" i="1" s="1"/>
  <c r="L95" i="1" s="1"/>
  <c r="L102" i="1" s="1"/>
  <c r="L105" i="1" s="1"/>
  <c r="L279" i="1"/>
  <c r="Y21" i="1"/>
  <c r="T25" i="6"/>
  <c r="AF187" i="9"/>
  <c r="W76" i="14"/>
  <c r="W60" i="14"/>
  <c r="W59" i="14"/>
  <c r="W57" i="14"/>
  <c r="W31" i="14"/>
  <c r="W29" i="14"/>
  <c r="W23" i="14"/>
  <c r="AX23" i="14" s="1"/>
  <c r="AE380" i="1" a="1"/>
  <c r="X25" i="6" l="1"/>
  <c r="AJ187" i="9"/>
  <c r="AE380" i="1"/>
  <c r="X61" i="6"/>
  <c r="X75" i="6" s="1"/>
  <c r="AF3" i="1"/>
  <c r="L1021" i="7"/>
  <c r="N269" i="1"/>
  <c r="N268" i="1"/>
  <c r="N340" i="1" s="1"/>
  <c r="N342" i="1" s="1"/>
  <c r="N271" i="1"/>
  <c r="N275" i="1" s="1"/>
  <c r="Z293" i="1"/>
  <c r="X27" i="14"/>
  <c r="X85" i="14"/>
  <c r="W18" i="14"/>
  <c r="X63" i="2"/>
  <c r="J988" i="7"/>
  <c r="Z988" i="7" s="1"/>
  <c r="M366" i="1"/>
  <c r="AD302" i="1"/>
  <c r="AC80" i="1"/>
  <c r="AC71" i="2"/>
  <c r="AB79" i="2"/>
  <c r="AE199" i="1"/>
  <c r="AD74" i="1"/>
  <c r="AE298" i="1"/>
  <c r="AD33" i="1"/>
  <c r="AD300" i="1"/>
  <c r="AD341" i="1" s="1"/>
  <c r="AE226" i="1"/>
  <c r="S150" i="1"/>
  <c r="L375" i="1"/>
  <c r="L40" i="1" s="1"/>
  <c r="L366" i="1"/>
  <c r="V116" i="1"/>
  <c r="X127" i="1"/>
  <c r="Y128" i="1"/>
  <c r="AC152" i="1"/>
  <c r="AE223" i="1"/>
  <c r="N119" i="1"/>
  <c r="AE242" i="1"/>
  <c r="AE243" i="1" s="1"/>
  <c r="AF246" i="1"/>
  <c r="AF141" i="1"/>
  <c r="AE94" i="1"/>
  <c r="AJ113" i="9" s="1"/>
  <c r="M40" i="1"/>
  <c r="R152" i="1"/>
  <c r="AD348" i="1"/>
  <c r="J297" i="1"/>
  <c r="K288" i="1"/>
  <c r="AB184" i="1"/>
  <c r="AC186" i="1"/>
  <c r="AA289" i="1"/>
  <c r="Z291" i="1"/>
  <c r="Z339" i="1" s="1"/>
  <c r="Z28" i="1"/>
  <c r="BX201" i="3" s="1"/>
  <c r="BW201" i="3" s="1"/>
  <c r="AC350" i="1"/>
  <c r="AE220" i="1"/>
  <c r="V352" i="1"/>
  <c r="V354" i="1" s="1"/>
  <c r="V356" i="1" s="1"/>
  <c r="AB138" i="1"/>
  <c r="AC133" i="1"/>
  <c r="AE200" i="1"/>
  <c r="AD193" i="1"/>
  <c r="AD77" i="1"/>
  <c r="AE230" i="1"/>
  <c r="AE159" i="1"/>
  <c r="AD161" i="1"/>
  <c r="N168" i="1"/>
  <c r="N169" i="1" s="1"/>
  <c r="N67" i="1"/>
  <c r="O149" i="1"/>
  <c r="AE181" i="1"/>
  <c r="AC78" i="1"/>
  <c r="N124" i="1"/>
  <c r="N23" i="1"/>
  <c r="N30" i="1" s="1"/>
  <c r="N35" i="1" s="1"/>
  <c r="U25" i="6"/>
  <c r="AD25" i="6" s="1"/>
  <c r="AG187" i="9"/>
  <c r="C33" i="14"/>
  <c r="D33" i="14"/>
  <c r="E33" i="14"/>
  <c r="F33" i="14"/>
  <c r="AF380" i="1" a="1"/>
  <c r="Y25" i="6" l="1"/>
  <c r="AK187" i="9"/>
  <c r="AF380" i="1"/>
  <c r="Y61" i="6"/>
  <c r="Y75" i="6" s="1"/>
  <c r="M1021" i="7"/>
  <c r="AG3" i="1"/>
  <c r="N277" i="1"/>
  <c r="N283" i="1" s="1"/>
  <c r="N284" i="1" s="1"/>
  <c r="N95" i="1" s="1"/>
  <c r="N101" i="1" s="1"/>
  <c r="N102" i="1" s="1"/>
  <c r="N105" i="1" s="1"/>
  <c r="N370" i="1"/>
  <c r="N343" i="1"/>
  <c r="Y63" i="2"/>
  <c r="M376" i="1"/>
  <c r="AA293" i="1"/>
  <c r="AF226" i="1"/>
  <c r="AF199" i="1"/>
  <c r="AE74" i="1"/>
  <c r="AD71" i="2"/>
  <c r="AD79" i="2" s="1"/>
  <c r="AC79" i="2"/>
  <c r="AF298" i="1"/>
  <c r="AE300" i="1"/>
  <c r="AE341" i="1" s="1"/>
  <c r="AE33" i="1"/>
  <c r="X27" i="6" s="1"/>
  <c r="AJ182" i="9" s="1"/>
  <c r="AE302" i="1"/>
  <c r="AD80" i="1"/>
  <c r="Y127" i="1"/>
  <c r="Z128" i="1"/>
  <c r="AE161" i="1"/>
  <c r="AF159" i="1"/>
  <c r="AF220" i="1"/>
  <c r="AG141" i="1"/>
  <c r="AF94" i="1"/>
  <c r="AK113" i="9" s="1"/>
  <c r="AF242" i="1"/>
  <c r="AG246" i="1"/>
  <c r="W116" i="1"/>
  <c r="AF230" i="1"/>
  <c r="L288" i="1"/>
  <c r="K297" i="1"/>
  <c r="AC138" i="1"/>
  <c r="AD133" i="1"/>
  <c r="AE348" i="1"/>
  <c r="AD350" i="1"/>
  <c r="AD78" i="1"/>
  <c r="O337" i="1"/>
  <c r="O263" i="1"/>
  <c r="O147" i="1"/>
  <c r="N207" i="1"/>
  <c r="N205" i="1" s="1"/>
  <c r="N68" i="1" s="1"/>
  <c r="N70" i="1" s="1"/>
  <c r="N84" i="1" s="1"/>
  <c r="S152" i="1"/>
  <c r="AD186" i="1"/>
  <c r="AC184" i="1"/>
  <c r="Y168" i="1"/>
  <c r="Z149" i="1"/>
  <c r="Y67" i="1"/>
  <c r="N308" i="1"/>
  <c r="N37" i="1"/>
  <c r="N365" i="1"/>
  <c r="AF181" i="1"/>
  <c r="AE193" i="1"/>
  <c r="AF200" i="1"/>
  <c r="AE77" i="1"/>
  <c r="W352" i="1"/>
  <c r="W354" i="1" s="1"/>
  <c r="W356" i="1" s="1"/>
  <c r="AB289" i="1"/>
  <c r="AA291" i="1"/>
  <c r="AA339" i="1" s="1"/>
  <c r="AA28" i="1"/>
  <c r="AF223" i="1"/>
  <c r="AD152" i="1"/>
  <c r="T150" i="1"/>
  <c r="V25" i="6"/>
  <c r="W25" i="6"/>
  <c r="AH187" i="9"/>
  <c r="V67" i="14"/>
  <c r="U67" i="14"/>
  <c r="T67" i="14"/>
  <c r="S67" i="14"/>
  <c r="R67" i="14"/>
  <c r="Q67" i="14"/>
  <c r="P67" i="14"/>
  <c r="O67" i="14"/>
  <c r="N67" i="14"/>
  <c r="M67" i="14"/>
  <c r="L67" i="14"/>
  <c r="K67" i="14"/>
  <c r="J67" i="14"/>
  <c r="I67" i="14"/>
  <c r="H67" i="14"/>
  <c r="G67" i="14"/>
  <c r="F67" i="14"/>
  <c r="E67" i="14"/>
  <c r="D67" i="14"/>
  <c r="C67" i="14"/>
  <c r="W67" i="14"/>
  <c r="W16" i="14"/>
  <c r="V11" i="14"/>
  <c r="AW11" i="14" s="1"/>
  <c r="U11" i="14"/>
  <c r="AV11" i="14" s="1"/>
  <c r="T11" i="14"/>
  <c r="AU11" i="14" s="1"/>
  <c r="S11" i="14"/>
  <c r="R11" i="14"/>
  <c r="Q11" i="14"/>
  <c r="P11" i="14"/>
  <c r="O11" i="14"/>
  <c r="N11" i="14"/>
  <c r="M11" i="14"/>
  <c r="L11" i="14"/>
  <c r="K11" i="14"/>
  <c r="J11" i="14"/>
  <c r="I11" i="14"/>
  <c r="H11" i="14"/>
  <c r="G11" i="14"/>
  <c r="F11" i="14"/>
  <c r="E11" i="14"/>
  <c r="D11" i="14"/>
  <c r="C11" i="14"/>
  <c r="W11" i="14"/>
  <c r="AX11" i="14" s="1"/>
  <c r="AG380" i="1" a="1"/>
  <c r="Z25" i="6" l="1"/>
  <c r="AL187" i="9"/>
  <c r="AG380" i="1"/>
  <c r="AH3" i="1"/>
  <c r="N1021" i="7"/>
  <c r="Z61" i="6"/>
  <c r="Z75" i="6" s="1"/>
  <c r="N279" i="1"/>
  <c r="N344" i="1"/>
  <c r="N38" i="1"/>
  <c r="N374" i="1"/>
  <c r="N364" i="1"/>
  <c r="AT11" i="14"/>
  <c r="Z63" i="2"/>
  <c r="Z81" i="2" s="1"/>
  <c r="Z132" i="2" s="1"/>
  <c r="AB293" i="1"/>
  <c r="AG226" i="1"/>
  <c r="AE350" i="1"/>
  <c r="X5" i="6"/>
  <c r="AF302" i="1"/>
  <c r="AE80" i="1"/>
  <c r="AG298" i="1"/>
  <c r="AF300" i="1"/>
  <c r="AF341" i="1" s="1"/>
  <c r="AF33" i="1"/>
  <c r="Y27" i="6" s="1"/>
  <c r="AK182" i="9" s="1"/>
  <c r="AG199" i="1"/>
  <c r="AF74" i="1"/>
  <c r="X354" i="1"/>
  <c r="X356" i="1" s="1"/>
  <c r="T152" i="1"/>
  <c r="AG230" i="1"/>
  <c r="AG220" i="1"/>
  <c r="Z127" i="1"/>
  <c r="AA128" i="1"/>
  <c r="AE186" i="1"/>
  <c r="AD184" i="1"/>
  <c r="AD138" i="1"/>
  <c r="AE133" i="1"/>
  <c r="V262" i="1"/>
  <c r="V266" i="1" s="1"/>
  <c r="V269" i="1" s="1"/>
  <c r="V336" i="1"/>
  <c r="O372" i="1"/>
  <c r="M288" i="1"/>
  <c r="L297" i="1"/>
  <c r="AH246" i="1"/>
  <c r="AG242" i="1"/>
  <c r="AG243" i="1" s="1"/>
  <c r="AE78" i="1"/>
  <c r="AG200" i="1"/>
  <c r="AF193" i="1"/>
  <c r="AF77" i="1"/>
  <c r="AG181" i="1"/>
  <c r="O111" i="1"/>
  <c r="O115" i="1" s="1"/>
  <c r="O21" i="1"/>
  <c r="O153" i="1"/>
  <c r="AF243" i="1"/>
  <c r="AH141" i="1"/>
  <c r="AG94" i="1"/>
  <c r="AL113" i="9" s="1"/>
  <c r="AG223" i="1"/>
  <c r="AF348" i="1"/>
  <c r="Y5" i="6" s="1"/>
  <c r="Z337" i="1"/>
  <c r="Z372" i="1" s="1"/>
  <c r="Z263" i="1"/>
  <c r="Z147" i="1"/>
  <c r="X116" i="1"/>
  <c r="U150" i="1"/>
  <c r="AE152" i="1"/>
  <c r="AB291" i="1"/>
  <c r="AB339" i="1" s="1"/>
  <c r="AC289" i="1"/>
  <c r="AB28" i="1"/>
  <c r="AF161" i="1"/>
  <c r="AG159" i="1"/>
  <c r="AI187" i="9"/>
  <c r="W13" i="14"/>
  <c r="AX13" i="14" s="1"/>
  <c r="W4" i="14"/>
  <c r="AT6" i="14"/>
  <c r="AT5" i="14"/>
  <c r="AT3" i="14"/>
  <c r="AT2" i="14"/>
  <c r="AT33" i="14" s="1"/>
  <c r="W35" i="14"/>
  <c r="AX35" i="14" s="1"/>
  <c r="W33" i="14"/>
  <c r="AH380" i="1" a="1"/>
  <c r="Y8" i="6" l="1"/>
  <c r="Y33" i="6" s="1"/>
  <c r="AK3" i="9"/>
  <c r="AA25" i="6"/>
  <c r="AM187" i="9"/>
  <c r="X8" i="6"/>
  <c r="AJ3" i="9"/>
  <c r="AH380" i="1"/>
  <c r="AI3" i="1"/>
  <c r="O1021" i="7"/>
  <c r="AA61" i="6"/>
  <c r="AA75" i="6" s="1"/>
  <c r="O336" i="1"/>
  <c r="O371" i="1" s="1"/>
  <c r="O262" i="1"/>
  <c r="O266" i="1" s="1"/>
  <c r="N366" i="1"/>
  <c r="N375" i="1"/>
  <c r="W7" i="14"/>
  <c r="AX4" i="14"/>
  <c r="X58" i="14"/>
  <c r="AA63" i="2"/>
  <c r="AA81" i="2" s="1"/>
  <c r="AA132" i="2" s="1"/>
  <c r="AH199" i="1"/>
  <c r="AG74" i="1"/>
  <c r="X18" i="6"/>
  <c r="X33" i="6"/>
  <c r="AH298" i="1"/>
  <c r="AG300" i="1"/>
  <c r="AG341" i="1" s="1"/>
  <c r="AG33" i="1"/>
  <c r="Z27" i="6" s="1"/>
  <c r="AL182" i="9" s="1"/>
  <c r="AH226" i="1"/>
  <c r="AF350" i="1"/>
  <c r="AF80" i="1"/>
  <c r="AG302" i="1"/>
  <c r="Y116" i="1"/>
  <c r="Y354" i="1"/>
  <c r="Y356" i="1" s="1"/>
  <c r="AC291" i="1"/>
  <c r="AC339" i="1" s="1"/>
  <c r="AD289" i="1"/>
  <c r="AC28" i="1"/>
  <c r="AG348" i="1"/>
  <c r="AG350" i="1" s="1"/>
  <c r="AH200" i="1"/>
  <c r="AG193" i="1"/>
  <c r="AG77" i="1"/>
  <c r="AH223" i="1"/>
  <c r="V371" i="1"/>
  <c r="AB128" i="1"/>
  <c r="AA127" i="1"/>
  <c r="W336" i="1"/>
  <c r="W262" i="1"/>
  <c r="W266" i="1" s="1"/>
  <c r="W269" i="1" s="1"/>
  <c r="AC293" i="1"/>
  <c r="AH220" i="1"/>
  <c r="AH242" i="1"/>
  <c r="AH243" i="1" s="1"/>
  <c r="AI246" i="1"/>
  <c r="AI242" i="1" s="1"/>
  <c r="AF186" i="1"/>
  <c r="AE184" i="1"/>
  <c r="Z21" i="1"/>
  <c r="Z153" i="1"/>
  <c r="AE138" i="1"/>
  <c r="AF133" i="1"/>
  <c r="O154" i="1"/>
  <c r="AH159" i="1"/>
  <c r="AG161" i="1"/>
  <c r="AF152" i="1"/>
  <c r="O113" i="1"/>
  <c r="O112" i="1"/>
  <c r="O20" i="1"/>
  <c r="O120" i="1"/>
  <c r="V271" i="1"/>
  <c r="V275" i="1" s="1"/>
  <c r="V268" i="1"/>
  <c r="AH230" i="1"/>
  <c r="AI141" i="1"/>
  <c r="AN187" i="9" s="1"/>
  <c r="AH94" i="1"/>
  <c r="AM113" i="9" s="1"/>
  <c r="AH181" i="1"/>
  <c r="AF78" i="1"/>
  <c r="M297" i="1"/>
  <c r="N288" i="1"/>
  <c r="W39" i="14"/>
  <c r="AX39" i="14" s="1"/>
  <c r="W30" i="14"/>
  <c r="BO68" i="3"/>
  <c r="DZ68" i="3" s="1"/>
  <c r="AD31" i="13" s="1"/>
  <c r="BO67" i="3"/>
  <c r="DZ67" i="3" s="1"/>
  <c r="AD30" i="13" s="1"/>
  <c r="D191" i="13"/>
  <c r="E191" i="13"/>
  <c r="F191" i="13"/>
  <c r="G191" i="13"/>
  <c r="H191" i="13"/>
  <c r="I191" i="13"/>
  <c r="J191" i="13"/>
  <c r="K191" i="13"/>
  <c r="L191" i="13"/>
  <c r="M191" i="13"/>
  <c r="N191" i="13"/>
  <c r="O191" i="13"/>
  <c r="P191" i="13"/>
  <c r="Q191" i="13"/>
  <c r="R191" i="13"/>
  <c r="S191" i="13"/>
  <c r="T191" i="13"/>
  <c r="U191" i="13"/>
  <c r="V191" i="13"/>
  <c r="W191" i="13"/>
  <c r="C191" i="13"/>
  <c r="D187" i="13"/>
  <c r="E187" i="13"/>
  <c r="F187" i="13"/>
  <c r="G187" i="13"/>
  <c r="H187" i="13"/>
  <c r="I187" i="13"/>
  <c r="J187" i="13"/>
  <c r="K187" i="13"/>
  <c r="L187" i="13"/>
  <c r="M187" i="13"/>
  <c r="N187" i="13"/>
  <c r="O187" i="13"/>
  <c r="P187" i="13"/>
  <c r="Q187" i="13"/>
  <c r="R187" i="13"/>
  <c r="S187" i="13"/>
  <c r="T187" i="13"/>
  <c r="U187" i="13"/>
  <c r="V187" i="13"/>
  <c r="W187" i="13"/>
  <c r="C187" i="13"/>
  <c r="AA148" i="13"/>
  <c r="AA138" i="13"/>
  <c r="AE139" i="13" s="1"/>
  <c r="AA137" i="13"/>
  <c r="AA112" i="13"/>
  <c r="AA111" i="13"/>
  <c r="AA110" i="13"/>
  <c r="AA79" i="13"/>
  <c r="AA78" i="13"/>
  <c r="AA74" i="13"/>
  <c r="AA73" i="13"/>
  <c r="AA82" i="13" s="1"/>
  <c r="DV49" i="3"/>
  <c r="DW49" i="3"/>
  <c r="DW72" i="3"/>
  <c r="AA85" i="13" s="1"/>
  <c r="DV72" i="3"/>
  <c r="Z85" i="13" s="1"/>
  <c r="AA66" i="13"/>
  <c r="AA58" i="13"/>
  <c r="AA99" i="13" s="1"/>
  <c r="AA57" i="13"/>
  <c r="AA96" i="13" s="1"/>
  <c r="AA56" i="13"/>
  <c r="AA92" i="13" s="1"/>
  <c r="AA52" i="13"/>
  <c r="AI380" i="1" a="1"/>
  <c r="Y18" i="6" l="1"/>
  <c r="AK4" i="9"/>
  <c r="AI380" i="1"/>
  <c r="AB61" i="6"/>
  <c r="AB75" i="6" s="1"/>
  <c r="P1021" i="7"/>
  <c r="N376" i="1"/>
  <c r="N40" i="1"/>
  <c r="O269" i="1"/>
  <c r="O271" i="1"/>
  <c r="O275" i="1" s="1"/>
  <c r="O268" i="1"/>
  <c r="O340" i="1" s="1"/>
  <c r="O342" i="1" s="1"/>
  <c r="AX7" i="14"/>
  <c r="W19" i="14"/>
  <c r="W51" i="14"/>
  <c r="X61" i="14"/>
  <c r="Z83" i="2"/>
  <c r="Z127" i="2"/>
  <c r="AB63" i="2"/>
  <c r="AB81" i="2" s="1"/>
  <c r="AB132" i="2" s="1"/>
  <c r="Z5" i="6"/>
  <c r="AH33" i="1"/>
  <c r="AA27" i="6" s="1"/>
  <c r="AM182" i="9" s="1"/>
  <c r="AH300" i="1"/>
  <c r="AH341" i="1" s="1"/>
  <c r="AI298" i="1"/>
  <c r="AI94" i="1"/>
  <c r="AN113" i="9" s="1"/>
  <c r="AB25" i="6"/>
  <c r="AH302" i="1"/>
  <c r="AG80" i="1"/>
  <c r="AI226" i="1"/>
  <c r="AI199" i="1"/>
  <c r="AI74" i="1" s="1"/>
  <c r="AH74" i="1"/>
  <c r="Z116" i="1"/>
  <c r="AA116" i="1" s="1"/>
  <c r="AB116" i="1" s="1"/>
  <c r="AC116" i="1" s="1"/>
  <c r="AD116" i="1" s="1"/>
  <c r="AE116" i="1" s="1"/>
  <c r="AF116" i="1" s="1"/>
  <c r="AG116" i="1" s="1"/>
  <c r="AH116" i="1" s="1"/>
  <c r="AI116" i="1" s="1"/>
  <c r="AI243" i="1"/>
  <c r="AI200" i="1"/>
  <c r="AH193" i="1"/>
  <c r="AH77" i="1"/>
  <c r="O288" i="1"/>
  <c r="N297" i="1"/>
  <c r="AH161" i="1"/>
  <c r="AI159" i="1"/>
  <c r="AI161" i="1" s="1"/>
  <c r="AI220" i="1"/>
  <c r="AI223" i="1"/>
  <c r="AD291" i="1"/>
  <c r="AD339" i="1" s="1"/>
  <c r="AE289" i="1"/>
  <c r="AD28" i="1"/>
  <c r="O119" i="1"/>
  <c r="Z154" i="1"/>
  <c r="AC128" i="1"/>
  <c r="AB127" i="1"/>
  <c r="W271" i="1"/>
  <c r="W275" i="1" s="1"/>
  <c r="W268" i="1"/>
  <c r="AF138" i="1"/>
  <c r="AG133" i="1"/>
  <c r="O124" i="1"/>
  <c r="O23" i="1"/>
  <c r="O30" i="1" s="1"/>
  <c r="O35" i="1" s="1"/>
  <c r="O168" i="1"/>
  <c r="O169" i="1" s="1"/>
  <c r="O67" i="1"/>
  <c r="P149" i="1"/>
  <c r="Z352" i="1"/>
  <c r="Z354" i="1" s="1"/>
  <c r="Z356" i="1" s="1"/>
  <c r="AI181" i="1"/>
  <c r="AG152" i="1"/>
  <c r="AH348" i="1"/>
  <c r="AA5" i="6" s="1"/>
  <c r="V340" i="1"/>
  <c r="V342" i="1" s="1"/>
  <c r="V259" i="1"/>
  <c r="V277" i="1" s="1"/>
  <c r="W371" i="1"/>
  <c r="AG78" i="1"/>
  <c r="AI230" i="1"/>
  <c r="AG186" i="1"/>
  <c r="AF184" i="1"/>
  <c r="AD293" i="1"/>
  <c r="X336" i="1"/>
  <c r="X262" i="1"/>
  <c r="X266" i="1" s="1"/>
  <c r="X269" i="1" s="1"/>
  <c r="W54" i="14"/>
  <c r="W53" i="14"/>
  <c r="W52" i="14"/>
  <c r="W50" i="14"/>
  <c r="BP191" i="3"/>
  <c r="EA191" i="3" s="1"/>
  <c r="BP184" i="3"/>
  <c r="BQ185" i="3" s="1"/>
  <c r="BP183" i="3"/>
  <c r="BP172" i="3"/>
  <c r="BP169" i="3"/>
  <c r="EA169" i="3" s="1"/>
  <c r="BP163" i="3"/>
  <c r="BP60" i="3"/>
  <c r="AA8" i="6" l="1"/>
  <c r="AA18" i="6" s="1"/>
  <c r="AM3" i="9"/>
  <c r="Z8" i="6"/>
  <c r="Z33" i="6" s="1"/>
  <c r="AL3" i="9"/>
  <c r="O277" i="1"/>
  <c r="O370" i="1"/>
  <c r="O343" i="1"/>
  <c r="BP192" i="3"/>
  <c r="EA192" i="3" s="1"/>
  <c r="AA82" i="2"/>
  <c r="AA83" i="2"/>
  <c r="AA127" i="2"/>
  <c r="AC63" i="2"/>
  <c r="AC81" i="2" s="1"/>
  <c r="AC132" i="2" s="1"/>
  <c r="AE6" i="1"/>
  <c r="AE8" i="1" s="1"/>
  <c r="Z147" i="2"/>
  <c r="AH350" i="1"/>
  <c r="AI300" i="1"/>
  <c r="AI341" i="1" s="1"/>
  <c r="AI33" i="1"/>
  <c r="AB27" i="6" s="1"/>
  <c r="AN182" i="9" s="1"/>
  <c r="AE293" i="1"/>
  <c r="AH80" i="1"/>
  <c r="AI302" i="1"/>
  <c r="AI80" i="1" s="1"/>
  <c r="O207" i="1"/>
  <c r="O205" i="1" s="1"/>
  <c r="O68" i="1" s="1"/>
  <c r="O70" i="1" s="1"/>
  <c r="O84" i="1" s="1"/>
  <c r="AI78" i="1"/>
  <c r="AH78" i="1"/>
  <c r="AA352" i="1"/>
  <c r="O308" i="1"/>
  <c r="O37" i="1"/>
  <c r="O365" i="1"/>
  <c r="AH152" i="1"/>
  <c r="AH133" i="1"/>
  <c r="AG138" i="1"/>
  <c r="X268" i="1"/>
  <c r="X271" i="1"/>
  <c r="X275" i="1" s="1"/>
  <c r="Z168" i="1"/>
  <c r="AA149" i="1"/>
  <c r="Z67" i="1"/>
  <c r="O297" i="1"/>
  <c r="P288" i="1"/>
  <c r="Y262" i="1"/>
  <c r="AH186" i="1"/>
  <c r="AG184" i="1"/>
  <c r="V370" i="1"/>
  <c r="V343" i="1"/>
  <c r="AC127" i="1"/>
  <c r="AD128" i="1"/>
  <c r="AE291" i="1"/>
  <c r="AE339" i="1" s="1"/>
  <c r="AF289" i="1"/>
  <c r="AE28" i="1"/>
  <c r="X371" i="1"/>
  <c r="W340" i="1"/>
  <c r="W342" i="1" s="1"/>
  <c r="W259" i="1"/>
  <c r="W277" i="1" s="1"/>
  <c r="V283" i="1"/>
  <c r="V284" i="1" s="1"/>
  <c r="V95" i="1" s="1"/>
  <c r="V279" i="1"/>
  <c r="AI193" i="1"/>
  <c r="AI77" i="1"/>
  <c r="AI348" i="1"/>
  <c r="AB5" i="6" s="1"/>
  <c r="P337" i="1"/>
  <c r="P263" i="1"/>
  <c r="P147" i="1"/>
  <c r="W192" i="13"/>
  <c r="BP173" i="3"/>
  <c r="AO3" i="13"/>
  <c r="DW52" i="3"/>
  <c r="AA69" i="13" s="1"/>
  <c r="DW51" i="3"/>
  <c r="AA68" i="13" s="1"/>
  <c r="DW50" i="3"/>
  <c r="AA67" i="13" s="1"/>
  <c r="DW4" i="3"/>
  <c r="AA29" i="13" s="1"/>
  <c r="AA47" i="13" s="1"/>
  <c r="O27" i="13"/>
  <c r="O26" i="13"/>
  <c r="O20" i="13"/>
  <c r="AS20" i="13" s="1"/>
  <c r="O18" i="13"/>
  <c r="AS18" i="13" s="1"/>
  <c r="O17" i="13"/>
  <c r="AS17" i="13" s="1"/>
  <c r="O15" i="13"/>
  <c r="AS15" i="13" s="1"/>
  <c r="O10" i="13"/>
  <c r="AS10" i="13" s="1"/>
  <c r="O3" i="13"/>
  <c r="AS3" i="13" s="1"/>
  <c r="AA33" i="6" l="1"/>
  <c r="Z18" i="6"/>
  <c r="L1022" i="7"/>
  <c r="L1034" i="7" s="1"/>
  <c r="AJ18" i="9"/>
  <c r="AJ135" i="9" s="1"/>
  <c r="AM4" i="9"/>
  <c r="AL4" i="9"/>
  <c r="AB8" i="6"/>
  <c r="AB18" i="6" s="1"/>
  <c r="AN3" i="9"/>
  <c r="AN4" i="9" s="1"/>
  <c r="O283" i="1"/>
  <c r="O284" i="1" s="1"/>
  <c r="O95" i="1" s="1"/>
  <c r="O101" i="1" s="1"/>
  <c r="O102" i="1" s="1"/>
  <c r="O105" i="1" s="1"/>
  <c r="O279" i="1"/>
  <c r="O344" i="1"/>
  <c r="O38" i="1"/>
  <c r="O364" i="1"/>
  <c r="O374" i="1"/>
  <c r="V101" i="1"/>
  <c r="V102" i="1" s="1"/>
  <c r="V105" i="1" s="1"/>
  <c r="AD63" i="2"/>
  <c r="AD81" i="2" s="1"/>
  <c r="AD132" i="2" s="1"/>
  <c r="AB83" i="2"/>
  <c r="AB82" i="2"/>
  <c r="AB127" i="2"/>
  <c r="Z149" i="2"/>
  <c r="AE43" i="1"/>
  <c r="AG232" i="1"/>
  <c r="AG225" i="1"/>
  <c r="AG222" i="1"/>
  <c r="AG62" i="1" s="1"/>
  <c r="AG229" i="1"/>
  <c r="AG73" i="1" s="1"/>
  <c r="AG219" i="1"/>
  <c r="AA147" i="2"/>
  <c r="AF6" i="1"/>
  <c r="AF8" i="1" s="1"/>
  <c r="AA128" i="2"/>
  <c r="AI350" i="1"/>
  <c r="AB33" i="6"/>
  <c r="AA337" i="1"/>
  <c r="AA372" i="1" s="1"/>
  <c r="AA263" i="1"/>
  <c r="AA147" i="1"/>
  <c r="AI152" i="1"/>
  <c r="W283" i="1"/>
  <c r="W284" i="1" s="1"/>
  <c r="W95" i="1" s="1"/>
  <c r="W279" i="1"/>
  <c r="P297" i="1"/>
  <c r="Q288" i="1"/>
  <c r="AF293" i="1"/>
  <c r="X340" i="1"/>
  <c r="X342" i="1" s="1"/>
  <c r="X259" i="1"/>
  <c r="X277" i="1" s="1"/>
  <c r="AB352" i="1"/>
  <c r="P111" i="1"/>
  <c r="P115" i="1" s="1"/>
  <c r="P21" i="1"/>
  <c r="P153" i="1"/>
  <c r="V38" i="1"/>
  <c r="AA354" i="1"/>
  <c r="AA356" i="1" s="1"/>
  <c r="Y112" i="1"/>
  <c r="Y20" i="1"/>
  <c r="W370" i="1"/>
  <c r="W343" i="1"/>
  <c r="Y371" i="1"/>
  <c r="V374" i="1"/>
  <c r="V364" i="1"/>
  <c r="AH138" i="1"/>
  <c r="AI133" i="1"/>
  <c r="AI138" i="1" s="1"/>
  <c r="AF291" i="1"/>
  <c r="AF339" i="1" s="1"/>
  <c r="AG289" i="1"/>
  <c r="AF28" i="1"/>
  <c r="AE128" i="1"/>
  <c r="AD127" i="1"/>
  <c r="P372" i="1"/>
  <c r="AI186" i="1"/>
  <c r="AI184" i="1" s="1"/>
  <c r="AH184" i="1"/>
  <c r="AA55" i="13"/>
  <c r="AA60" i="13"/>
  <c r="AA90" i="13" s="1"/>
  <c r="AA94" i="13" s="1"/>
  <c r="P26" i="6"/>
  <c r="O26" i="6"/>
  <c r="N26" i="6"/>
  <c r="M26" i="6"/>
  <c r="L26" i="6"/>
  <c r="K26" i="6"/>
  <c r="J26" i="6"/>
  <c r="I26" i="6"/>
  <c r="H26" i="6"/>
  <c r="G26" i="6"/>
  <c r="F26" i="6"/>
  <c r="Q26" i="6"/>
  <c r="E16" i="12"/>
  <c r="M1022" i="7" l="1"/>
  <c r="M1034" i="7" s="1"/>
  <c r="AK18" i="9"/>
  <c r="AK135" i="9" s="1"/>
  <c r="P262" i="1"/>
  <c r="P266" i="1" s="1"/>
  <c r="P336" i="1"/>
  <c r="P371" i="1" s="1"/>
  <c r="O366" i="1"/>
  <c r="O375" i="1"/>
  <c r="AE45" i="1"/>
  <c r="L1024" i="7"/>
  <c r="L1036" i="7" s="1"/>
  <c r="W101" i="1"/>
  <c r="W102" i="1" s="1"/>
  <c r="W105" i="1" s="1"/>
  <c r="AF9" i="1"/>
  <c r="AH232" i="1"/>
  <c r="AH234" i="1" s="1"/>
  <c r="AH219" i="1"/>
  <c r="AH221" i="1" s="1"/>
  <c r="AH222" i="1"/>
  <c r="AH225" i="1"/>
  <c r="AH227" i="1" s="1"/>
  <c r="AH229" i="1"/>
  <c r="AF43" i="1"/>
  <c r="AA149" i="2"/>
  <c r="AG6" i="1"/>
  <c r="AG8" i="1" s="1"/>
  <c r="AB147" i="2"/>
  <c r="AB128" i="2"/>
  <c r="AG61" i="1"/>
  <c r="AG63" i="1"/>
  <c r="AC127" i="2"/>
  <c r="AC82" i="2"/>
  <c r="AC83" i="2"/>
  <c r="AG72" i="1"/>
  <c r="AG75" i="1" s="1"/>
  <c r="X283" i="1"/>
  <c r="X284" i="1" s="1"/>
  <c r="X95" i="1" s="1"/>
  <c r="X279" i="1"/>
  <c r="AC352" i="1"/>
  <c r="X370" i="1"/>
  <c r="X343" i="1"/>
  <c r="W344" i="1"/>
  <c r="W38" i="1"/>
  <c r="AG293" i="1"/>
  <c r="AG291" i="1"/>
  <c r="AG339" i="1" s="1"/>
  <c r="AH289" i="1"/>
  <c r="AG28" i="1"/>
  <c r="V375" i="1"/>
  <c r="V366" i="1"/>
  <c r="AB354" i="1"/>
  <c r="AB356" i="1" s="1"/>
  <c r="P154" i="1"/>
  <c r="AE127" i="1"/>
  <c r="AF128" i="1"/>
  <c r="W374" i="1"/>
  <c r="W364" i="1"/>
  <c r="Q297" i="1"/>
  <c r="R288" i="1"/>
  <c r="P112" i="1"/>
  <c r="P113" i="1"/>
  <c r="P20" i="1"/>
  <c r="P120" i="1"/>
  <c r="AA21" i="1"/>
  <c r="AA153" i="1"/>
  <c r="S46" i="2"/>
  <c r="S34" i="2"/>
  <c r="S25" i="2"/>
  <c r="S15" i="2"/>
  <c r="T16" i="2" s="1"/>
  <c r="S5" i="2"/>
  <c r="S22" i="12"/>
  <c r="R22" i="12"/>
  <c r="S21" i="12"/>
  <c r="R21" i="12"/>
  <c r="S3" i="12"/>
  <c r="R3" i="12"/>
  <c r="AE316" i="1" l="1"/>
  <c r="AE318" i="1" s="1"/>
  <c r="AJ22" i="9"/>
  <c r="AJ150" i="9" s="1"/>
  <c r="N1022" i="7"/>
  <c r="N1034" i="7" s="1"/>
  <c r="AL18" i="9"/>
  <c r="AL135" i="9" s="1"/>
  <c r="O376" i="1"/>
  <c r="O40" i="1"/>
  <c r="P269" i="1"/>
  <c r="P271" i="1"/>
  <c r="P275" i="1" s="1"/>
  <c r="P268" i="1"/>
  <c r="P340" i="1" s="1"/>
  <c r="P342" i="1" s="1"/>
  <c r="X23" i="6"/>
  <c r="AJ180" i="9" s="1"/>
  <c r="AE48" i="1"/>
  <c r="AE46" i="1"/>
  <c r="AE373" i="1"/>
  <c r="AF45" i="1"/>
  <c r="M1024" i="7"/>
  <c r="M1036" i="7" s="1"/>
  <c r="S92" i="2"/>
  <c r="T92" i="2"/>
  <c r="T94" i="2" s="1"/>
  <c r="U94" i="2" s="1"/>
  <c r="V94" i="2" s="1"/>
  <c r="W94" i="2" s="1"/>
  <c r="X94" i="2" s="1"/>
  <c r="Y94" i="2" s="1"/>
  <c r="Z94" i="2" s="1"/>
  <c r="AA94" i="2" s="1"/>
  <c r="AB94" i="2" s="1"/>
  <c r="AC94" i="2" s="1"/>
  <c r="AD94" i="2" s="1"/>
  <c r="X101" i="1"/>
  <c r="X102" i="1" s="1"/>
  <c r="X105" i="1" s="1"/>
  <c r="S7" i="2"/>
  <c r="T7" i="2"/>
  <c r="S36" i="2"/>
  <c r="T35" i="2"/>
  <c r="S26" i="2"/>
  <c r="T26" i="2"/>
  <c r="AH6" i="1"/>
  <c r="AH8" i="1" s="1"/>
  <c r="AM18" i="9" s="1"/>
  <c r="AM135" i="9" s="1"/>
  <c r="AC147" i="2"/>
  <c r="AC128" i="2"/>
  <c r="AH231" i="1"/>
  <c r="AH73" i="1"/>
  <c r="AH63" i="1"/>
  <c r="AD82" i="2"/>
  <c r="AD127" i="2"/>
  <c r="AD83" i="2"/>
  <c r="AH224" i="1"/>
  <c r="AH62" i="1"/>
  <c r="AH61" i="1"/>
  <c r="AG43" i="1"/>
  <c r="AB149" i="2"/>
  <c r="AH72" i="1"/>
  <c r="AI232" i="1"/>
  <c r="AI72" i="1" s="1"/>
  <c r="AG9" i="1"/>
  <c r="AI219" i="1"/>
  <c r="AI61" i="1" s="1"/>
  <c r="AI225" i="1"/>
  <c r="AI63" i="1" s="1"/>
  <c r="AI229" i="1"/>
  <c r="AI73" i="1" s="1"/>
  <c r="AI222" i="1"/>
  <c r="AI62" i="1" s="1"/>
  <c r="S48" i="2"/>
  <c r="S99" i="2"/>
  <c r="S101" i="2" s="1"/>
  <c r="X344" i="1"/>
  <c r="X38" i="1"/>
  <c r="P119" i="1"/>
  <c r="W375" i="1"/>
  <c r="W366" i="1"/>
  <c r="X374" i="1"/>
  <c r="X364" i="1"/>
  <c r="AD352" i="1"/>
  <c r="AD354" i="1" s="1"/>
  <c r="AD356" i="1" s="1"/>
  <c r="AH291" i="1"/>
  <c r="AH339" i="1" s="1"/>
  <c r="AI289" i="1"/>
  <c r="AH28" i="1"/>
  <c r="AH293" i="1"/>
  <c r="AC354" i="1"/>
  <c r="AC356" i="1" s="1"/>
  <c r="P161" i="1"/>
  <c r="P159" i="1" s="1"/>
  <c r="P168" i="1"/>
  <c r="P169" i="1" s="1"/>
  <c r="Q149" i="1"/>
  <c r="V40" i="1"/>
  <c r="P124" i="1"/>
  <c r="P23" i="1"/>
  <c r="P30" i="1" s="1"/>
  <c r="P35" i="1" s="1"/>
  <c r="AF127" i="1"/>
  <c r="AG128" i="1"/>
  <c r="AA154" i="1"/>
  <c r="R297" i="1"/>
  <c r="S288" i="1"/>
  <c r="S51" i="2"/>
  <c r="S27" i="2"/>
  <c r="S35" i="2"/>
  <c r="S47" i="2"/>
  <c r="S16" i="2"/>
  <c r="S17" i="2"/>
  <c r="R8" i="5"/>
  <c r="S8" i="5" s="1"/>
  <c r="T8" i="5" s="1"/>
  <c r="U8" i="5" s="1"/>
  <c r="V8" i="5" s="1"/>
  <c r="J8" i="5"/>
  <c r="AS37" i="14"/>
  <c r="AS36" i="14"/>
  <c r="AS34" i="14"/>
  <c r="AS24" i="14"/>
  <c r="AS22" i="14"/>
  <c r="AS10" i="14"/>
  <c r="AS6" i="14"/>
  <c r="AS5" i="14"/>
  <c r="AS3" i="14"/>
  <c r="AS2" i="14"/>
  <c r="AS33" i="14" s="1"/>
  <c r="AF46" i="1" l="1"/>
  <c r="AK22" i="9"/>
  <c r="AK150" i="9" s="1"/>
  <c r="P370" i="1"/>
  <c r="P343" i="1"/>
  <c r="P277" i="1"/>
  <c r="AF316" i="1"/>
  <c r="AF318" i="1" s="1"/>
  <c r="AF373" i="1"/>
  <c r="Y23" i="6"/>
  <c r="AK180" i="9" s="1"/>
  <c r="AF48" i="1"/>
  <c r="AG45" i="1"/>
  <c r="N1024" i="7"/>
  <c r="N1036" i="7" s="1"/>
  <c r="AH9" i="1"/>
  <c r="O1022" i="7"/>
  <c r="O1034" i="7" s="1"/>
  <c r="V18" i="14"/>
  <c r="T52" i="2"/>
  <c r="AH236" i="1"/>
  <c r="AI221" i="1"/>
  <c r="AH75" i="1"/>
  <c r="AH43" i="1"/>
  <c r="AC149" i="2"/>
  <c r="AD128" i="2"/>
  <c r="AI6" i="1"/>
  <c r="AI8" i="1" s="1"/>
  <c r="AN18" i="9" s="1"/>
  <c r="AN135" i="9" s="1"/>
  <c r="AD147" i="2"/>
  <c r="AI75" i="1"/>
  <c r="AI234" i="1"/>
  <c r="AI231" i="1"/>
  <c r="AI227" i="1"/>
  <c r="AI224" i="1"/>
  <c r="P67" i="1"/>
  <c r="P207" i="1" s="1"/>
  <c r="P205" i="1" s="1"/>
  <c r="P68" i="1" s="1"/>
  <c r="P70" i="1" s="1"/>
  <c r="P84" i="1" s="1"/>
  <c r="V9" i="5"/>
  <c r="W8" i="5"/>
  <c r="Q337" i="1"/>
  <c r="Q263" i="1"/>
  <c r="Q147" i="1"/>
  <c r="AH128" i="1"/>
  <c r="AG127" i="1"/>
  <c r="AB149" i="1"/>
  <c r="AA168" i="1"/>
  <c r="AA67" i="1"/>
  <c r="P308" i="1"/>
  <c r="P37" i="1"/>
  <c r="P365" i="1"/>
  <c r="W376" i="1"/>
  <c r="W40" i="1"/>
  <c r="AI291" i="1"/>
  <c r="AI339" i="1" s="1"/>
  <c r="AI28" i="1"/>
  <c r="T288" i="1"/>
  <c r="S297" i="1"/>
  <c r="AE352" i="1"/>
  <c r="AE354" i="1" s="1"/>
  <c r="AE356" i="1" s="1"/>
  <c r="AI293" i="1"/>
  <c r="X375" i="1"/>
  <c r="X366" i="1"/>
  <c r="V76" i="14"/>
  <c r="V60" i="14"/>
  <c r="V59" i="14"/>
  <c r="V57" i="14"/>
  <c r="V35" i="14"/>
  <c r="V33" i="14"/>
  <c r="V31" i="14"/>
  <c r="V29" i="14"/>
  <c r="V23" i="14"/>
  <c r="AW23" i="14" s="1"/>
  <c r="V16" i="14"/>
  <c r="AR3" i="14"/>
  <c r="X184" i="9"/>
  <c r="X188" i="9" s="1"/>
  <c r="X191" i="9" s="1"/>
  <c r="W184" i="9"/>
  <c r="W188" i="9" s="1"/>
  <c r="W191" i="9" s="1"/>
  <c r="V184" i="9"/>
  <c r="V188" i="9" s="1"/>
  <c r="V191" i="9" s="1"/>
  <c r="U184" i="9"/>
  <c r="U188" i="9" s="1"/>
  <c r="U191" i="9" s="1"/>
  <c r="D176" i="9"/>
  <c r="E176" i="9"/>
  <c r="F176" i="9"/>
  <c r="G176" i="9"/>
  <c r="H176" i="9"/>
  <c r="I176" i="9"/>
  <c r="J176" i="9"/>
  <c r="K176" i="9"/>
  <c r="L176" i="9"/>
  <c r="M176" i="9"/>
  <c r="N176" i="9"/>
  <c r="O176" i="9"/>
  <c r="P176" i="9"/>
  <c r="Q176" i="9"/>
  <c r="R176" i="9"/>
  <c r="S176" i="9"/>
  <c r="T176" i="9"/>
  <c r="U176" i="9"/>
  <c r="V176" i="9"/>
  <c r="W176" i="9"/>
  <c r="X176" i="9"/>
  <c r="Y176" i="9"/>
  <c r="Z176" i="9"/>
  <c r="AA176" i="9"/>
  <c r="AB176" i="9"/>
  <c r="AC176" i="9"/>
  <c r="AD176" i="9"/>
  <c r="AE176" i="9"/>
  <c r="AF176" i="9"/>
  <c r="AG176" i="9"/>
  <c r="AH176" i="9"/>
  <c r="AI176" i="9"/>
  <c r="C176" i="9"/>
  <c r="Z148" i="13"/>
  <c r="Z138" i="13"/>
  <c r="AD139" i="13" s="1"/>
  <c r="Z137" i="13"/>
  <c r="Z110" i="13"/>
  <c r="Z79" i="13"/>
  <c r="Z78" i="13"/>
  <c r="Z73" i="13"/>
  <c r="Z82" i="13" s="1"/>
  <c r="Z66" i="13"/>
  <c r="Z58" i="13"/>
  <c r="Z99" i="13" s="1"/>
  <c r="Z57" i="13"/>
  <c r="Z96" i="13" s="1"/>
  <c r="Z56" i="13"/>
  <c r="Z92" i="13" s="1"/>
  <c r="Z52" i="13"/>
  <c r="AG48" i="1" l="1"/>
  <c r="AL22" i="9"/>
  <c r="AL150" i="9" s="1"/>
  <c r="P283" i="1"/>
  <c r="P284" i="1" s="1"/>
  <c r="P95" i="1" s="1"/>
  <c r="P101" i="1" s="1"/>
  <c r="P102" i="1" s="1"/>
  <c r="P105" i="1" s="1"/>
  <c r="P279" i="1"/>
  <c r="P344" i="1"/>
  <c r="P38" i="1"/>
  <c r="AG316" i="1"/>
  <c r="AG318" i="1" s="1"/>
  <c r="P364" i="1"/>
  <c r="P374" i="1"/>
  <c r="AG46" i="1"/>
  <c r="AG373" i="1"/>
  <c r="Z23" i="6"/>
  <c r="AL180" i="9" s="1"/>
  <c r="AH45" i="1"/>
  <c r="O1024" i="7"/>
  <c r="O1036" i="7" s="1"/>
  <c r="AI9" i="1"/>
  <c r="P1022" i="7"/>
  <c r="P1034" i="7" s="1"/>
  <c r="W58" i="14"/>
  <c r="AW35" i="14"/>
  <c r="AH237" i="1"/>
  <c r="AH96" i="1" s="1"/>
  <c r="W27" i="14"/>
  <c r="AI236" i="1"/>
  <c r="AI43" i="1"/>
  <c r="AD149" i="2"/>
  <c r="W9" i="5"/>
  <c r="W23" i="5" s="1"/>
  <c r="X8" i="5"/>
  <c r="U288" i="1"/>
  <c r="T297" i="1"/>
  <c r="Q372" i="1"/>
  <c r="Q111" i="1"/>
  <c r="Q115" i="1" s="1"/>
  <c r="Q21" i="1"/>
  <c r="Q153" i="1"/>
  <c r="AB337" i="1"/>
  <c r="AB372" i="1" s="1"/>
  <c r="AB263" i="1"/>
  <c r="AB147" i="1"/>
  <c r="AF352" i="1"/>
  <c r="AF354" i="1" s="1"/>
  <c r="AF356" i="1" s="1"/>
  <c r="AH127" i="1"/>
  <c r="AI128" i="1"/>
  <c r="AI127" i="1" s="1"/>
  <c r="X376" i="1"/>
  <c r="X40" i="1"/>
  <c r="W25" i="14"/>
  <c r="X87" i="14" s="1"/>
  <c r="W85" i="14"/>
  <c r="V13" i="14"/>
  <c r="AW13" i="14" s="1"/>
  <c r="V39" i="14"/>
  <c r="V30" i="14"/>
  <c r="AO10" i="13"/>
  <c r="AO9" i="13"/>
  <c r="AO7" i="13"/>
  <c r="AO5" i="13"/>
  <c r="AX5" i="13" s="1"/>
  <c r="BO129" i="3"/>
  <c r="BO128" i="3"/>
  <c r="BO127" i="3"/>
  <c r="BO81" i="3"/>
  <c r="N4" i="13"/>
  <c r="N3" i="13"/>
  <c r="AA23" i="6" l="1"/>
  <c r="AM180" i="9" s="1"/>
  <c r="AM22" i="9"/>
  <c r="AM150" i="9" s="1"/>
  <c r="AA22" i="6"/>
  <c r="AM178" i="9"/>
  <c r="AM112" i="9"/>
  <c r="Q262" i="1"/>
  <c r="Q266" i="1" s="1"/>
  <c r="Q336" i="1"/>
  <c r="Q371" i="1" s="1"/>
  <c r="P375" i="1"/>
  <c r="P366" i="1"/>
  <c r="AH48" i="1"/>
  <c r="AH46" i="1"/>
  <c r="AH316" i="1"/>
  <c r="AH318" i="1" s="1"/>
  <c r="AH373" i="1"/>
  <c r="AI45" i="1"/>
  <c r="P1024" i="7"/>
  <c r="P1036" i="7" s="1"/>
  <c r="W61" i="14"/>
  <c r="AW39" i="14"/>
  <c r="AI237" i="1"/>
  <c r="AI96" i="1" s="1"/>
  <c r="W31" i="5"/>
  <c r="W36" i="5"/>
  <c r="W29" i="5"/>
  <c r="AA123" i="2"/>
  <c r="Y8" i="5"/>
  <c r="X9" i="5"/>
  <c r="X23" i="5" s="1"/>
  <c r="W10" i="5"/>
  <c r="AB21" i="1"/>
  <c r="AB153" i="1"/>
  <c r="Q154" i="1"/>
  <c r="AG352" i="1"/>
  <c r="AG354" i="1" s="1"/>
  <c r="AG356" i="1" s="1"/>
  <c r="Q113" i="1"/>
  <c r="Q112" i="1"/>
  <c r="Q20" i="1"/>
  <c r="Q120" i="1"/>
  <c r="U297" i="1"/>
  <c r="V288" i="1"/>
  <c r="V51" i="14"/>
  <c r="V53" i="14"/>
  <c r="V54" i="14"/>
  <c r="V50" i="14"/>
  <c r="V52" i="14"/>
  <c r="Y6" i="13"/>
  <c r="AO4" i="13"/>
  <c r="Y8" i="13"/>
  <c r="AO8" i="13" s="1"/>
  <c r="DW80" i="3"/>
  <c r="BP79" i="3"/>
  <c r="BT79" i="3" s="1"/>
  <c r="EA79" i="3" s="1"/>
  <c r="BP77" i="3"/>
  <c r="BT77" i="3" s="1"/>
  <c r="EA77" i="3" s="1"/>
  <c r="DR79" i="3"/>
  <c r="BN69" i="3"/>
  <c r="DY69" i="3" s="1"/>
  <c r="AC32" i="13" s="1"/>
  <c r="BN68" i="3"/>
  <c r="DY68" i="3" s="1"/>
  <c r="AC31" i="13" s="1"/>
  <c r="BN67" i="3"/>
  <c r="DY67" i="3" s="1"/>
  <c r="AC30" i="13" s="1"/>
  <c r="U18" i="14"/>
  <c r="T18" i="14"/>
  <c r="AI316" i="1" l="1"/>
  <c r="AI318" i="1" s="1"/>
  <c r="AN22" i="9"/>
  <c r="AN150" i="9" s="1"/>
  <c r="AB22" i="6"/>
  <c r="AN178" i="9"/>
  <c r="AN112" i="9"/>
  <c r="P376" i="1"/>
  <c r="P40" i="1"/>
  <c r="Q269" i="1"/>
  <c r="Q271" i="1"/>
  <c r="Q275" i="1" s="1"/>
  <c r="Q268" i="1"/>
  <c r="Q340" i="1" s="1"/>
  <c r="Q342" i="1" s="1"/>
  <c r="AB23" i="6"/>
  <c r="AN180" i="9" s="1"/>
  <c r="AI373" i="1"/>
  <c r="AI48" i="1"/>
  <c r="AI46" i="1"/>
  <c r="BT130" i="3"/>
  <c r="AE75" i="13" s="1"/>
  <c r="BT76" i="3"/>
  <c r="DW79" i="3"/>
  <c r="BX79" i="3"/>
  <c r="DW77" i="3"/>
  <c r="BX77" i="3"/>
  <c r="W34" i="5"/>
  <c r="X36" i="5"/>
  <c r="X31" i="5"/>
  <c r="AB123" i="2"/>
  <c r="X29" i="5"/>
  <c r="X10" i="5"/>
  <c r="Y9" i="5"/>
  <c r="Y23" i="5" s="1"/>
  <c r="Z8" i="5"/>
  <c r="Z9" i="5" s="1"/>
  <c r="W288" i="1"/>
  <c r="V297" i="1"/>
  <c r="Q119" i="1"/>
  <c r="AB154" i="1"/>
  <c r="Q168" i="1"/>
  <c r="Q169" i="1" s="1"/>
  <c r="Q161" i="1"/>
  <c r="Q159" i="1" s="1"/>
  <c r="R149" i="1"/>
  <c r="Q23" i="1"/>
  <c r="Q30" i="1" s="1"/>
  <c r="Q35" i="1" s="1"/>
  <c r="Q124" i="1"/>
  <c r="AH352" i="1"/>
  <c r="Y12" i="13"/>
  <c r="BQ130" i="3"/>
  <c r="AB75" i="13" s="1"/>
  <c r="BP130" i="3"/>
  <c r="AA75" i="13" s="1"/>
  <c r="BN53" i="3"/>
  <c r="DY53" i="3" s="1"/>
  <c r="BN70" i="3"/>
  <c r="DY70" i="3" s="1"/>
  <c r="Y148" i="13"/>
  <c r="Y137" i="13"/>
  <c r="C137" i="13"/>
  <c r="D137" i="13"/>
  <c r="E137" i="13"/>
  <c r="F137" i="13"/>
  <c r="G137" i="13"/>
  <c r="H137" i="13"/>
  <c r="I137" i="13"/>
  <c r="J137" i="13"/>
  <c r="K137" i="13"/>
  <c r="L137" i="13"/>
  <c r="M137" i="13"/>
  <c r="N137" i="13"/>
  <c r="O137" i="13"/>
  <c r="P137" i="13"/>
  <c r="Q137" i="13"/>
  <c r="R137" i="13"/>
  <c r="S137" i="13"/>
  <c r="T137" i="13"/>
  <c r="U137" i="13"/>
  <c r="V137" i="13"/>
  <c r="W137" i="13"/>
  <c r="X137" i="13"/>
  <c r="Y138" i="13"/>
  <c r="AC139" i="13" s="1"/>
  <c r="X138" i="13"/>
  <c r="AB139" i="13" s="1"/>
  <c r="W138" i="13"/>
  <c r="AA139" i="13" s="1"/>
  <c r="V138" i="13"/>
  <c r="Z139" i="13" s="1"/>
  <c r="U138" i="13"/>
  <c r="T138" i="13"/>
  <c r="S138" i="13"/>
  <c r="R138" i="13"/>
  <c r="Q138" i="13"/>
  <c r="P138" i="13"/>
  <c r="O138" i="13"/>
  <c r="N138" i="13"/>
  <c r="M138" i="13"/>
  <c r="L138" i="13"/>
  <c r="K138" i="13"/>
  <c r="J138" i="13"/>
  <c r="I138" i="13"/>
  <c r="H138" i="13"/>
  <c r="G138" i="13"/>
  <c r="F138" i="13"/>
  <c r="E138" i="13"/>
  <c r="D138" i="13"/>
  <c r="B138" i="13"/>
  <c r="C138" i="13"/>
  <c r="Y112" i="13"/>
  <c r="Y111" i="13"/>
  <c r="Y110" i="13"/>
  <c r="Y79" i="13"/>
  <c r="Y78" i="13"/>
  <c r="Y73" i="13"/>
  <c r="Y82" i="13" s="1"/>
  <c r="Y66" i="13"/>
  <c r="Y58" i="13"/>
  <c r="Y99" i="13" s="1"/>
  <c r="Y57" i="13"/>
  <c r="Y96" i="13" s="1"/>
  <c r="Y56" i="13"/>
  <c r="Y92" i="13" s="1"/>
  <c r="Y52" i="13"/>
  <c r="BN191" i="3"/>
  <c r="BM191" i="3"/>
  <c r="BL191" i="3"/>
  <c r="BK191" i="3"/>
  <c r="BK192" i="3" s="1"/>
  <c r="BJ191" i="3"/>
  <c r="BJ192" i="3" s="1"/>
  <c r="BH191" i="3"/>
  <c r="BH192" i="3" s="1"/>
  <c r="BI191" i="3"/>
  <c r="BI192" i="3" s="1"/>
  <c r="AZ141" i="3"/>
  <c r="G17" i="14" s="1"/>
  <c r="BA141" i="3"/>
  <c r="H17" i="14" s="1"/>
  <c r="BB141" i="3"/>
  <c r="I17" i="14" s="1"/>
  <c r="BC141" i="3"/>
  <c r="J17" i="14" s="1"/>
  <c r="BD141" i="3"/>
  <c r="K17" i="14" s="1"/>
  <c r="BE141" i="3"/>
  <c r="L17" i="14" s="1"/>
  <c r="BF141" i="3"/>
  <c r="M17" i="14" s="1"/>
  <c r="BG141" i="3"/>
  <c r="N17" i="14" s="1"/>
  <c r="BH141" i="3"/>
  <c r="O17" i="14" s="1"/>
  <c r="BI141" i="3"/>
  <c r="P17" i="14" s="1"/>
  <c r="BJ141" i="3"/>
  <c r="Q17" i="14" s="1"/>
  <c r="BK141" i="3"/>
  <c r="R17" i="14" s="1"/>
  <c r="BN141" i="3"/>
  <c r="BM141" i="3"/>
  <c r="BL141" i="3"/>
  <c r="S17" i="14" s="1"/>
  <c r="BL81" i="3"/>
  <c r="AR37" i="14"/>
  <c r="AR36" i="14"/>
  <c r="AR34" i="14"/>
  <c r="AR24" i="14"/>
  <c r="AR22" i="14"/>
  <c r="AR10" i="14"/>
  <c r="AR6" i="14"/>
  <c r="AR5" i="14"/>
  <c r="AR2" i="14"/>
  <c r="AR33" i="14" s="1"/>
  <c r="U76" i="14"/>
  <c r="U60" i="14"/>
  <c r="U59" i="14"/>
  <c r="U57" i="14"/>
  <c r="U35" i="14"/>
  <c r="U33" i="14"/>
  <c r="U31" i="14"/>
  <c r="U29" i="14"/>
  <c r="U23" i="14"/>
  <c r="U16" i="14"/>
  <c r="Q370" i="1" l="1"/>
  <c r="Q343" i="1"/>
  <c r="Q277" i="1"/>
  <c r="BT88" i="3"/>
  <c r="BL192" i="3"/>
  <c r="DS191" i="3"/>
  <c r="DW191" i="3"/>
  <c r="BN192" i="3"/>
  <c r="DU191" i="3"/>
  <c r="DY191" i="3"/>
  <c r="BM192" i="3"/>
  <c r="DT191" i="3"/>
  <c r="DX191" i="3"/>
  <c r="AV23" i="14"/>
  <c r="V27" i="14"/>
  <c r="V58" i="14"/>
  <c r="AV35" i="14"/>
  <c r="U17" i="14"/>
  <c r="BR143" i="3"/>
  <c r="T17" i="14"/>
  <c r="BQ143" i="3"/>
  <c r="Q67" i="1"/>
  <c r="Q207" i="1" s="1"/>
  <c r="Q205" i="1" s="1"/>
  <c r="Q68" i="1" s="1"/>
  <c r="Q70" i="1" s="1"/>
  <c r="Q84" i="1" s="1"/>
  <c r="X34" i="5"/>
  <c r="Y31" i="5"/>
  <c r="AC123" i="2"/>
  <c r="Y36" i="5"/>
  <c r="Y29" i="5"/>
  <c r="Z10" i="5"/>
  <c r="Y10" i="5"/>
  <c r="Z23" i="5"/>
  <c r="Q308" i="1"/>
  <c r="Q37" i="1"/>
  <c r="Q365" i="1"/>
  <c r="W297" i="1"/>
  <c r="X288" i="1"/>
  <c r="R337" i="1"/>
  <c r="R263" i="1"/>
  <c r="R147" i="1"/>
  <c r="AB168" i="1"/>
  <c r="AC149" i="1"/>
  <c r="AB67" i="1"/>
  <c r="AI352" i="1"/>
  <c r="AI354" i="1" s="1"/>
  <c r="AI356" i="1" s="1"/>
  <c r="AH354" i="1"/>
  <c r="AH356" i="1" s="1"/>
  <c r="V85" i="14"/>
  <c r="BM143" i="3"/>
  <c r="BL143" i="3"/>
  <c r="Y76" i="13"/>
  <c r="Y150" i="13" s="1"/>
  <c r="BN143" i="3"/>
  <c r="BK143" i="3"/>
  <c r="BJ143" i="3"/>
  <c r="BP71" i="3"/>
  <c r="EA71" i="3" s="1"/>
  <c r="DW81" i="3"/>
  <c r="AA84" i="13" s="1"/>
  <c r="V25" i="14"/>
  <c r="BN119" i="3"/>
  <c r="BP76" i="3"/>
  <c r="EA76" i="3" s="1"/>
  <c r="J139" i="13"/>
  <c r="R139" i="13"/>
  <c r="K139" i="13"/>
  <c r="M139" i="13"/>
  <c r="H139" i="13"/>
  <c r="X139" i="13"/>
  <c r="L139" i="13"/>
  <c r="T139" i="13"/>
  <c r="U139" i="13"/>
  <c r="N139" i="13"/>
  <c r="V139" i="13"/>
  <c r="G139" i="13"/>
  <c r="O139" i="13"/>
  <c r="W139" i="13"/>
  <c r="P139" i="13"/>
  <c r="I139" i="13"/>
  <c r="Q139" i="13"/>
  <c r="Y139" i="13"/>
  <c r="S139" i="13"/>
  <c r="U39" i="14"/>
  <c r="AV39" i="14" s="1"/>
  <c r="U13" i="14"/>
  <c r="U30" i="14"/>
  <c r="Q344" i="1" l="1"/>
  <c r="Q38" i="1"/>
  <c r="Q283" i="1"/>
  <c r="Q284" i="1" s="1"/>
  <c r="Q95" i="1" s="1"/>
  <c r="Q101" i="1" s="1"/>
  <c r="Q102" i="1" s="1"/>
  <c r="Q105" i="1" s="1"/>
  <c r="Q279" i="1"/>
  <c r="Q364" i="1"/>
  <c r="Q374" i="1"/>
  <c r="DT192" i="3"/>
  <c r="DX192" i="3"/>
  <c r="DU192" i="3"/>
  <c r="DY192" i="3"/>
  <c r="DS192" i="3"/>
  <c r="DW192" i="3"/>
  <c r="AV13" i="14"/>
  <c r="Y34" i="5"/>
  <c r="AD123" i="2"/>
  <c r="Z36" i="5"/>
  <c r="Z31" i="5"/>
  <c r="Z29" i="5"/>
  <c r="R372" i="1"/>
  <c r="AC337" i="1"/>
  <c r="AC372" i="1" s="1"/>
  <c r="AC263" i="1"/>
  <c r="AC147" i="1"/>
  <c r="X297" i="1"/>
  <c r="Y288" i="1"/>
  <c r="R111" i="1"/>
  <c r="R115" i="1" s="1"/>
  <c r="R21" i="1"/>
  <c r="R153" i="1"/>
  <c r="W87" i="14"/>
  <c r="EH76" i="3"/>
  <c r="DW76" i="3"/>
  <c r="U52" i="14"/>
  <c r="V61" i="14"/>
  <c r="U54" i="14"/>
  <c r="U50" i="14"/>
  <c r="U53" i="14"/>
  <c r="U51" i="14"/>
  <c r="Q375" i="1" l="1"/>
  <c r="Q366" i="1"/>
  <c r="R336" i="1"/>
  <c r="R371" i="1" s="1"/>
  <c r="R262" i="1"/>
  <c r="R266" i="1" s="1"/>
  <c r="Z34" i="5"/>
  <c r="R154" i="1"/>
  <c r="AC21" i="1"/>
  <c r="AC153" i="1"/>
  <c r="Y297" i="1"/>
  <c r="Z288" i="1"/>
  <c r="R113" i="1"/>
  <c r="R112" i="1"/>
  <c r="R20" i="1"/>
  <c r="R120" i="1"/>
  <c r="DR49" i="3"/>
  <c r="DS49" i="3"/>
  <c r="DT49" i="3"/>
  <c r="DU49" i="3"/>
  <c r="BN195" i="3"/>
  <c r="BN184" i="3"/>
  <c r="BN183" i="3"/>
  <c r="BN172" i="3"/>
  <c r="BN169" i="3"/>
  <c r="DY169" i="3" s="1"/>
  <c r="BN163" i="3"/>
  <c r="BN129" i="3"/>
  <c r="BN128" i="3"/>
  <c r="BN127" i="3"/>
  <c r="BN125" i="3"/>
  <c r="BN120" i="3"/>
  <c r="DY120" i="3" s="1"/>
  <c r="BN118" i="3"/>
  <c r="Y74" i="13" s="1"/>
  <c r="Y152" i="13" s="1"/>
  <c r="BN88" i="3"/>
  <c r="BN73" i="3"/>
  <c r="BN160" i="3" s="1"/>
  <c r="U188" i="13" s="1"/>
  <c r="BN84" i="3"/>
  <c r="BN81" i="3"/>
  <c r="DY81" i="3" s="1"/>
  <c r="AC84" i="13" s="1"/>
  <c r="BN60" i="3"/>
  <c r="BN35" i="3"/>
  <c r="BN34" i="3"/>
  <c r="Y53" i="13" s="1"/>
  <c r="BN33" i="3"/>
  <c r="BN28" i="3"/>
  <c r="BN27" i="3"/>
  <c r="BN25" i="3"/>
  <c r="BN22" i="3"/>
  <c r="BN20" i="3"/>
  <c r="BN15" i="3"/>
  <c r="BN13" i="3"/>
  <c r="BN9" i="3"/>
  <c r="M20" i="13"/>
  <c r="M18" i="13"/>
  <c r="M15" i="13"/>
  <c r="M9" i="13"/>
  <c r="M3" i="13"/>
  <c r="R269" i="1" l="1"/>
  <c r="R271" i="1"/>
  <c r="R275" i="1" s="1"/>
  <c r="R268" i="1"/>
  <c r="R340" i="1" s="1"/>
  <c r="R342" i="1" s="1"/>
  <c r="Q40" i="1"/>
  <c r="Q376" i="1"/>
  <c r="DY195" i="3"/>
  <c r="BR30" i="3"/>
  <c r="DY28" i="3"/>
  <c r="BN149" i="3"/>
  <c r="DY125" i="3"/>
  <c r="R119" i="1"/>
  <c r="R23" i="1"/>
  <c r="R30" i="1" s="1"/>
  <c r="R35" i="1" s="1"/>
  <c r="Z297" i="1"/>
  <c r="AA288" i="1"/>
  <c r="R168" i="1"/>
  <c r="R169" i="1" s="1"/>
  <c r="R67" i="1"/>
  <c r="S149" i="1"/>
  <c r="AC154" i="1"/>
  <c r="U192" i="13"/>
  <c r="BN43" i="3"/>
  <c r="Y61" i="13" s="1"/>
  <c r="Y91" i="13" s="1"/>
  <c r="Y48" i="13"/>
  <c r="BN44" i="3"/>
  <c r="Y62" i="13" s="1"/>
  <c r="Y95" i="13" s="1"/>
  <c r="Y49" i="13"/>
  <c r="BN197" i="3"/>
  <c r="BN194" i="3"/>
  <c r="BN45" i="3"/>
  <c r="Y63" i="13" s="1"/>
  <c r="Y50" i="13"/>
  <c r="BN85" i="3"/>
  <c r="BN71" i="3"/>
  <c r="BN89" i="3"/>
  <c r="BN130" i="3"/>
  <c r="Y75" i="13" s="1"/>
  <c r="AQ37" i="14"/>
  <c r="AQ36" i="14"/>
  <c r="AQ24" i="14"/>
  <c r="AQ22" i="14"/>
  <c r="AQ10" i="14"/>
  <c r="AQ6" i="14"/>
  <c r="AQ5" i="14"/>
  <c r="AQ3" i="14"/>
  <c r="AQ2" i="14"/>
  <c r="AQ33" i="14" s="1"/>
  <c r="R277" i="1" l="1"/>
  <c r="R370" i="1"/>
  <c r="R364" i="1" s="1"/>
  <c r="R343" i="1"/>
  <c r="DY149" i="3"/>
  <c r="DY194" i="3"/>
  <c r="BN202" i="3"/>
  <c r="BN208" i="3" s="1"/>
  <c r="DY197" i="3"/>
  <c r="AB288" i="1"/>
  <c r="AA297" i="1"/>
  <c r="S337" i="1"/>
  <c r="S263" i="1"/>
  <c r="S147" i="1"/>
  <c r="R207" i="1"/>
  <c r="R205" i="1" s="1"/>
  <c r="R68" i="1" s="1"/>
  <c r="R70" i="1" s="1"/>
  <c r="R84" i="1" s="1"/>
  <c r="AC168" i="1"/>
  <c r="AD149" i="1"/>
  <c r="AC67" i="1"/>
  <c r="R308" i="1"/>
  <c r="R37" i="1"/>
  <c r="R365" i="1"/>
  <c r="BN46" i="3"/>
  <c r="Y64" i="13" s="1"/>
  <c r="Y51" i="13"/>
  <c r="BN105" i="3"/>
  <c r="BN82" i="3"/>
  <c r="T16" i="14"/>
  <c r="T76" i="14"/>
  <c r="T60" i="14"/>
  <c r="T59" i="14"/>
  <c r="T57" i="14"/>
  <c r="T35" i="14"/>
  <c r="T33" i="14"/>
  <c r="T31" i="14"/>
  <c r="T29" i="14"/>
  <c r="T23" i="14"/>
  <c r="R283" i="1" l="1"/>
  <c r="R284" i="1" s="1"/>
  <c r="R95" i="1" s="1"/>
  <c r="R279" i="1"/>
  <c r="R344" i="1"/>
  <c r="R38" i="1"/>
  <c r="BN210" i="3"/>
  <c r="BR209" i="3"/>
  <c r="BN205" i="3"/>
  <c r="AU23" i="14"/>
  <c r="U27" i="14"/>
  <c r="U58" i="14"/>
  <c r="AU35" i="14"/>
  <c r="S111" i="1"/>
  <c r="S115" i="1" s="1"/>
  <c r="S21" i="1"/>
  <c r="S153" i="1"/>
  <c r="AD337" i="1"/>
  <c r="AD372" i="1" s="1"/>
  <c r="AD263" i="1"/>
  <c r="AD147" i="1"/>
  <c r="S372" i="1"/>
  <c r="AC288" i="1"/>
  <c r="AB297" i="1"/>
  <c r="U85" i="14"/>
  <c r="U25" i="14"/>
  <c r="BN87" i="3"/>
  <c r="BN57" i="3" s="1"/>
  <c r="T13" i="14"/>
  <c r="T39" i="14"/>
  <c r="T30" i="14"/>
  <c r="X148" i="13"/>
  <c r="X112" i="13"/>
  <c r="X111" i="13"/>
  <c r="X110" i="13"/>
  <c r="X79" i="13"/>
  <c r="X78" i="13"/>
  <c r="X73" i="13"/>
  <c r="X82" i="13" s="1"/>
  <c r="W79" i="13"/>
  <c r="W78" i="13"/>
  <c r="W73" i="13"/>
  <c r="W82" i="13" s="1"/>
  <c r="X66" i="13"/>
  <c r="X58" i="13"/>
  <c r="X99" i="13" s="1"/>
  <c r="X57" i="13"/>
  <c r="X96" i="13" s="1"/>
  <c r="X56" i="13"/>
  <c r="X92" i="13" s="1"/>
  <c r="X52" i="13"/>
  <c r="BM81" i="3"/>
  <c r="DX81" i="3" s="1"/>
  <c r="AB84" i="13" s="1"/>
  <c r="BM73" i="3"/>
  <c r="BM88" i="3"/>
  <c r="DX88" i="3" s="1"/>
  <c r="S336" i="1" l="1"/>
  <c r="S371" i="1" s="1"/>
  <c r="S262" i="1"/>
  <c r="S266" i="1" s="1"/>
  <c r="DY57" i="3"/>
  <c r="U61" i="14"/>
  <c r="AU39" i="14"/>
  <c r="AU13" i="14"/>
  <c r="DY87" i="3"/>
  <c r="AC83" i="13" s="1"/>
  <c r="BN54" i="3"/>
  <c r="AD21" i="1"/>
  <c r="AD153" i="1"/>
  <c r="AC297" i="1"/>
  <c r="AD288" i="1"/>
  <c r="S154" i="1"/>
  <c r="S112" i="1"/>
  <c r="S113" i="1"/>
  <c r="S20" i="1"/>
  <c r="S120" i="1"/>
  <c r="V87" i="14"/>
  <c r="BN150" i="3"/>
  <c r="U4" i="14"/>
  <c r="T50" i="14"/>
  <c r="T51" i="14"/>
  <c r="T54" i="14"/>
  <c r="T53" i="14"/>
  <c r="T52" i="14"/>
  <c r="S269" i="1" l="1"/>
  <c r="S271" i="1"/>
  <c r="S275" i="1" s="1"/>
  <c r="S268" i="1"/>
  <c r="S340" i="1" s="1"/>
  <c r="S342" i="1" s="1"/>
  <c r="U7" i="14"/>
  <c r="AV4" i="14"/>
  <c r="AE288" i="1"/>
  <c r="AD297" i="1"/>
  <c r="AD154" i="1"/>
  <c r="S168" i="1"/>
  <c r="S169" i="1" s="1"/>
  <c r="S67" i="1"/>
  <c r="T149" i="1"/>
  <c r="S119" i="1"/>
  <c r="S23" i="1"/>
  <c r="S30" i="1" s="1"/>
  <c r="S35" i="1" s="1"/>
  <c r="S124" i="1"/>
  <c r="BM195" i="3"/>
  <c r="BM184" i="3"/>
  <c r="BN185" i="3" s="1"/>
  <c r="BM183" i="3"/>
  <c r="BM172" i="3"/>
  <c r="BM169" i="3"/>
  <c r="DX169" i="3" s="1"/>
  <c r="BM163" i="3"/>
  <c r="BM129" i="3"/>
  <c r="BM128" i="3"/>
  <c r="BM127" i="3"/>
  <c r="BM125" i="3"/>
  <c r="BM69" i="3"/>
  <c r="DX69" i="3" s="1"/>
  <c r="AB32" i="13" s="1"/>
  <c r="BM68" i="3"/>
  <c r="DX68" i="3" s="1"/>
  <c r="AB31" i="13" s="1"/>
  <c r="BM67" i="3"/>
  <c r="DX67" i="3" s="1"/>
  <c r="AB30" i="13" s="1"/>
  <c r="BM89" i="3"/>
  <c r="DX89" i="3" s="1"/>
  <c r="BM85" i="3"/>
  <c r="BM84" i="3"/>
  <c r="L3" i="13"/>
  <c r="L20" i="13"/>
  <c r="L18" i="13"/>
  <c r="L15" i="13"/>
  <c r="L9" i="13"/>
  <c r="BA16" i="13" a="1"/>
  <c r="BA17" i="13" a="1"/>
  <c r="BA20" i="13" a="1"/>
  <c r="BA19" i="13" a="1"/>
  <c r="BA7" i="13" a="1"/>
  <c r="BD15" i="13" a="1"/>
  <c r="BC15" i="13" a="1"/>
  <c r="BE15" i="13" a="1"/>
  <c r="BA4" i="13" a="1"/>
  <c r="BA18" i="13" a="1"/>
  <c r="BA14" i="13" a="1"/>
  <c r="S277" i="1" l="1"/>
  <c r="S343" i="1"/>
  <c r="S370" i="1"/>
  <c r="DX195" i="3"/>
  <c r="U19" i="14"/>
  <c r="AV7" i="14"/>
  <c r="BM130" i="3"/>
  <c r="X75" i="13" s="1"/>
  <c r="DX125" i="3"/>
  <c r="BN90" i="3"/>
  <c r="BQ91" i="3"/>
  <c r="S308" i="1"/>
  <c r="S37" i="1"/>
  <c r="S365" i="1"/>
  <c r="AD168" i="1"/>
  <c r="AE149" i="1"/>
  <c r="AD67" i="1"/>
  <c r="T337" i="1"/>
  <c r="T263" i="1"/>
  <c r="T147" i="1"/>
  <c r="AE297" i="1"/>
  <c r="AF288" i="1"/>
  <c r="S207" i="1"/>
  <c r="S205" i="1" s="1"/>
  <c r="S68" i="1" s="1"/>
  <c r="S70" i="1" s="1"/>
  <c r="S84" i="1" s="1"/>
  <c r="T192" i="13"/>
  <c r="BM197" i="3"/>
  <c r="BM194" i="3"/>
  <c r="BM149" i="3"/>
  <c r="BM70" i="3"/>
  <c r="DX70" i="3" s="1"/>
  <c r="BM53" i="3"/>
  <c r="DX53" i="3" s="1"/>
  <c r="BA17" i="13"/>
  <c r="BB17" i="13" s="1"/>
  <c r="AQ17" i="13" s="1"/>
  <c r="BE15" i="13"/>
  <c r="BA19" i="13"/>
  <c r="BB19" i="13" s="1"/>
  <c r="AQ19" i="13" s="1"/>
  <c r="BC15" i="13"/>
  <c r="BA18" i="13"/>
  <c r="BB18" i="13" s="1"/>
  <c r="AQ18" i="13" s="1"/>
  <c r="BA20" i="13"/>
  <c r="BB20" i="13" s="1"/>
  <c r="AQ20" i="13" s="1"/>
  <c r="BD15" i="13"/>
  <c r="BA14" i="13"/>
  <c r="BB14" i="13" s="1"/>
  <c r="AQ14" i="13" s="1"/>
  <c r="BA16" i="13"/>
  <c r="BB16" i="13" s="1"/>
  <c r="AQ16" i="13" s="1"/>
  <c r="BA7" i="13"/>
  <c r="BB7" i="13" s="1"/>
  <c r="AQ7" i="13" s="1"/>
  <c r="BA4" i="13"/>
  <c r="BB4" i="13" s="1"/>
  <c r="AQ4" i="13" s="1"/>
  <c r="G1210" i="7"/>
  <c r="G1206" i="7"/>
  <c r="H1206" i="7" s="1"/>
  <c r="I1206" i="7" s="1"/>
  <c r="J1206" i="7" s="1"/>
  <c r="K1206" i="7" s="1"/>
  <c r="K1224" i="7"/>
  <c r="J1224" i="7"/>
  <c r="I1224" i="7"/>
  <c r="S283" i="1" l="1"/>
  <c r="S284" i="1" s="1"/>
  <c r="S95" i="1" s="1"/>
  <c r="S101" i="1" s="1"/>
  <c r="S102" i="1" s="1"/>
  <c r="S105" i="1" s="1"/>
  <c r="S279" i="1"/>
  <c r="S374" i="1"/>
  <c r="S364" i="1"/>
  <c r="S344" i="1"/>
  <c r="S38" i="1"/>
  <c r="DX194" i="3"/>
  <c r="DX149" i="3"/>
  <c r="BM202" i="3"/>
  <c r="BM208" i="3" s="1"/>
  <c r="DX197" i="3"/>
  <c r="AE337" i="1"/>
  <c r="AE372" i="1" s="1"/>
  <c r="AE263" i="1"/>
  <c r="AE147" i="1"/>
  <c r="AF297" i="1"/>
  <c r="AG288" i="1"/>
  <c r="T372" i="1"/>
  <c r="T111" i="1"/>
  <c r="T115" i="1" s="1"/>
  <c r="T21" i="1"/>
  <c r="T153" i="1"/>
  <c r="T154" i="1" s="1"/>
  <c r="AQ22" i="13"/>
  <c r="BM105" i="3"/>
  <c r="BM71" i="3"/>
  <c r="BA15" i="13"/>
  <c r="BB15" i="13" s="1"/>
  <c r="AQ15" i="13" s="1"/>
  <c r="D1150" i="7"/>
  <c r="D1143" i="7" s="1"/>
  <c r="T336" i="1" l="1"/>
  <c r="T371" i="1" s="1"/>
  <c r="T262" i="1"/>
  <c r="T266" i="1" s="1"/>
  <c r="S375" i="1"/>
  <c r="S40" i="1" s="1"/>
  <c r="S366" i="1"/>
  <c r="BM205" i="3"/>
  <c r="BM210" i="3"/>
  <c r="BQ209" i="3"/>
  <c r="AE21" i="1"/>
  <c r="AJ21" i="9" s="1"/>
  <c r="AE153" i="1"/>
  <c r="T112" i="1"/>
  <c r="T113" i="1"/>
  <c r="T20" i="1"/>
  <c r="T120" i="1"/>
  <c r="T168" i="1"/>
  <c r="T169" i="1" s="1"/>
  <c r="T67" i="1"/>
  <c r="AG297" i="1"/>
  <c r="AH288" i="1"/>
  <c r="D1144" i="7"/>
  <c r="T269" i="1" l="1"/>
  <c r="T268" i="1"/>
  <c r="T340" i="1" s="1"/>
  <c r="T342" i="1" s="1"/>
  <c r="T271" i="1"/>
  <c r="T275" i="1" s="1"/>
  <c r="T207" i="1"/>
  <c r="T205" i="1" s="1"/>
  <c r="T68" i="1" s="1"/>
  <c r="T70" i="1" s="1"/>
  <c r="T84" i="1" s="1"/>
  <c r="AH297" i="1"/>
  <c r="AI288" i="1"/>
  <c r="AI297" i="1" s="1"/>
  <c r="T119" i="1"/>
  <c r="T124" i="1"/>
  <c r="T23" i="1"/>
  <c r="T30" i="1" s="1"/>
  <c r="T35" i="1" s="1"/>
  <c r="AE154" i="1"/>
  <c r="U337" i="1"/>
  <c r="U263" i="1"/>
  <c r="D1185" i="7"/>
  <c r="C1230" i="7"/>
  <c r="G1228" i="7"/>
  <c r="H1228" i="7" s="1"/>
  <c r="I1228" i="7" s="1"/>
  <c r="J1228" i="7" s="1"/>
  <c r="K1228" i="7" s="1"/>
  <c r="G1194" i="7"/>
  <c r="H1194" i="7" s="1"/>
  <c r="I1194" i="7" s="1"/>
  <c r="J1194" i="7" s="1"/>
  <c r="K1194" i="7" s="1"/>
  <c r="E1176" i="7"/>
  <c r="F1176" i="7"/>
  <c r="G1176" i="7"/>
  <c r="H1176" i="7"/>
  <c r="I1176" i="7"/>
  <c r="J1176" i="7"/>
  <c r="K1176" i="7"/>
  <c r="D1176" i="7"/>
  <c r="K1170" i="7"/>
  <c r="J1170" i="7"/>
  <c r="I1170" i="7"/>
  <c r="H1170" i="7"/>
  <c r="G1170" i="7"/>
  <c r="F1170" i="7"/>
  <c r="E1170" i="7"/>
  <c r="D1170" i="7"/>
  <c r="E1166" i="7"/>
  <c r="F1166" i="7"/>
  <c r="G1166" i="7"/>
  <c r="H1166" i="7"/>
  <c r="H1214" i="7" s="1"/>
  <c r="I1166" i="7"/>
  <c r="J1166" i="7"/>
  <c r="K1166" i="7"/>
  <c r="D1166" i="7"/>
  <c r="D1156" i="7"/>
  <c r="G1163" i="7"/>
  <c r="H1163" i="7" s="1"/>
  <c r="I1163" i="7" s="1"/>
  <c r="J1163" i="7" s="1"/>
  <c r="K1163" i="7" s="1"/>
  <c r="T277" i="1" l="1"/>
  <c r="T343" i="1"/>
  <c r="T370" i="1"/>
  <c r="T308" i="1"/>
  <c r="T37" i="1"/>
  <c r="T365" i="1"/>
  <c r="AE168" i="1"/>
  <c r="AF149" i="1"/>
  <c r="AE67" i="1"/>
  <c r="U111" i="1"/>
  <c r="U115" i="1" s="1"/>
  <c r="U21" i="1"/>
  <c r="U372" i="1"/>
  <c r="D1145" i="7"/>
  <c r="J1167" i="7"/>
  <c r="D1142" i="7"/>
  <c r="D1154" i="7" s="1"/>
  <c r="D1155" i="7" s="1"/>
  <c r="D1157" i="7" s="1"/>
  <c r="G1177" i="7"/>
  <c r="F1177" i="7"/>
  <c r="I1177" i="7"/>
  <c r="J1177" i="7"/>
  <c r="H1177" i="7"/>
  <c r="E1177" i="7"/>
  <c r="K1177" i="7"/>
  <c r="J1171" i="7"/>
  <c r="E1171" i="7"/>
  <c r="F1171" i="7"/>
  <c r="I1171" i="7"/>
  <c r="G1171" i="7"/>
  <c r="H1167" i="7"/>
  <c r="K1171" i="7"/>
  <c r="D1177" i="7"/>
  <c r="D1178" i="7"/>
  <c r="D1181" i="7" s="1"/>
  <c r="H1171" i="7"/>
  <c r="K1167" i="7"/>
  <c r="I1167" i="7"/>
  <c r="G1167" i="7"/>
  <c r="F1167" i="7"/>
  <c r="D1171" i="7"/>
  <c r="E1178" i="7"/>
  <c r="F1178" i="7"/>
  <c r="E1167" i="7"/>
  <c r="G1117" i="7"/>
  <c r="H1117" i="7" s="1"/>
  <c r="I1117" i="7" s="1"/>
  <c r="J1117" i="7" s="1"/>
  <c r="K1117" i="7" s="1"/>
  <c r="T283" i="1" l="1"/>
  <c r="T284" i="1" s="1"/>
  <c r="T95" i="1" s="1"/>
  <c r="T101" i="1" s="1"/>
  <c r="T102" i="1" s="1"/>
  <c r="T105" i="1" s="1"/>
  <c r="T279" i="1"/>
  <c r="T344" i="1"/>
  <c r="T38" i="1"/>
  <c r="U262" i="1"/>
  <c r="U266" i="1" s="1"/>
  <c r="U336" i="1"/>
  <c r="U371" i="1" s="1"/>
  <c r="T374" i="1"/>
  <c r="T364" i="1"/>
  <c r="AF337" i="1"/>
  <c r="AF372" i="1" s="1"/>
  <c r="AF263" i="1"/>
  <c r="AF147" i="1"/>
  <c r="V112" i="1"/>
  <c r="U112" i="1"/>
  <c r="U113" i="1"/>
  <c r="U20" i="1"/>
  <c r="U120" i="1"/>
  <c r="G1187" i="7"/>
  <c r="G1188" i="7" s="1"/>
  <c r="D1179" i="7"/>
  <c r="E1181" i="7"/>
  <c r="E1179" i="7"/>
  <c r="F1181" i="7"/>
  <c r="F1179" i="7"/>
  <c r="D1057" i="7"/>
  <c r="T366" i="1" l="1"/>
  <c r="T375" i="1"/>
  <c r="U269" i="1"/>
  <c r="U268" i="1"/>
  <c r="U271" i="1"/>
  <c r="U275" i="1" s="1"/>
  <c r="AF21" i="1"/>
  <c r="AK21" i="9" s="1"/>
  <c r="AF153" i="1"/>
  <c r="V120" i="1"/>
  <c r="W120" i="1" s="1"/>
  <c r="X120" i="1" s="1"/>
  <c r="Y120" i="1" s="1"/>
  <c r="U119" i="1"/>
  <c r="V119" i="1" s="1"/>
  <c r="W119" i="1" s="1"/>
  <c r="X119" i="1" s="1"/>
  <c r="U124" i="1"/>
  <c r="U23" i="1"/>
  <c r="U30" i="1" s="1"/>
  <c r="U35" i="1" s="1"/>
  <c r="H1187" i="7"/>
  <c r="I1187" i="7" s="1"/>
  <c r="J1187" i="7" s="1"/>
  <c r="K1187" i="7" s="1"/>
  <c r="G1178" i="7"/>
  <c r="AE1067" i="7"/>
  <c r="AD1067" i="7"/>
  <c r="AC1067" i="7"/>
  <c r="AB1067" i="7"/>
  <c r="AA1067" i="7"/>
  <c r="Z1068" i="7"/>
  <c r="Y1068" i="7"/>
  <c r="X1068" i="7"/>
  <c r="AE1064" i="7"/>
  <c r="AD1064" i="7"/>
  <c r="AC1064" i="7"/>
  <c r="AB1064" i="7"/>
  <c r="AA1064" i="7"/>
  <c r="Z1064" i="7"/>
  <c r="Y1064" i="7"/>
  <c r="AE1066" i="7"/>
  <c r="AD1066" i="7"/>
  <c r="AC1066" i="7"/>
  <c r="AB1066" i="7"/>
  <c r="Z1066" i="7"/>
  <c r="Y1066" i="7"/>
  <c r="X1066" i="7"/>
  <c r="AA1066" i="7"/>
  <c r="AA1062" i="7"/>
  <c r="AB1062" i="7" s="1"/>
  <c r="AC1062" i="7" s="1"/>
  <c r="AD1062" i="7" s="1"/>
  <c r="AE1062" i="7" s="1"/>
  <c r="U340" i="1" l="1"/>
  <c r="U342" i="1" s="1"/>
  <c r="U259" i="1"/>
  <c r="U277" i="1" s="1"/>
  <c r="T376" i="1"/>
  <c r="T40" i="1"/>
  <c r="AF154" i="1"/>
  <c r="U308" i="1"/>
  <c r="U37" i="1"/>
  <c r="U365" i="1"/>
  <c r="H1188" i="7"/>
  <c r="I1188" i="7" s="1"/>
  <c r="J1188" i="7" s="1"/>
  <c r="K1188" i="7" s="1"/>
  <c r="H1178" i="7"/>
  <c r="H1181" i="7" s="1"/>
  <c r="G1181" i="7"/>
  <c r="G1179" i="7"/>
  <c r="U283" i="1" l="1"/>
  <c r="U284" i="1" s="1"/>
  <c r="U95" i="1" s="1"/>
  <c r="U101" i="1" s="1"/>
  <c r="U102" i="1" s="1"/>
  <c r="U105" i="1" s="1"/>
  <c r="U279" i="1"/>
  <c r="U370" i="1"/>
  <c r="U343" i="1"/>
  <c r="AF168" i="1"/>
  <c r="AG149" i="1"/>
  <c r="AF67" i="1"/>
  <c r="H1179" i="7"/>
  <c r="I1178" i="7"/>
  <c r="V344" i="1" l="1"/>
  <c r="U344" i="1"/>
  <c r="U38" i="1"/>
  <c r="U374" i="1"/>
  <c r="U364" i="1"/>
  <c r="AG337" i="1"/>
  <c r="AG372" i="1" s="1"/>
  <c r="AG263" i="1"/>
  <c r="AG147" i="1"/>
  <c r="K1178" i="7"/>
  <c r="K1181" i="7" s="1"/>
  <c r="J1178" i="7"/>
  <c r="I1181" i="7"/>
  <c r="I1179" i="7"/>
  <c r="U366" i="1" l="1"/>
  <c r="U375" i="1"/>
  <c r="AG21" i="1"/>
  <c r="AL21" i="9" s="1"/>
  <c r="AG153" i="1"/>
  <c r="K1179" i="7"/>
  <c r="J1179" i="7"/>
  <c r="J1181" i="7"/>
  <c r="U376" i="1" l="1"/>
  <c r="V376" i="1"/>
  <c r="U40" i="1"/>
  <c r="AG154" i="1"/>
  <c r="D1050" i="7"/>
  <c r="AG168" i="1" l="1"/>
  <c r="AH149" i="1"/>
  <c r="AG67" i="1"/>
  <c r="Y1070" i="7"/>
  <c r="Z1070" i="7"/>
  <c r="G1104" i="7"/>
  <c r="H1104" i="7" s="1"/>
  <c r="I1104" i="7" s="1"/>
  <c r="J1104" i="7" s="1"/>
  <c r="K1104" i="7" s="1"/>
  <c r="D1093" i="7"/>
  <c r="AH337" i="1" l="1"/>
  <c r="AH372" i="1" s="1"/>
  <c r="AH263" i="1"/>
  <c r="AH147" i="1"/>
  <c r="D1079" i="7"/>
  <c r="D1071" i="7"/>
  <c r="D1072" i="7" s="1"/>
  <c r="D1070" i="7"/>
  <c r="D1068" i="7"/>
  <c r="D1066" i="7"/>
  <c r="D1096" i="7"/>
  <c r="AH21" i="1" l="1"/>
  <c r="AM21" i="9" s="1"/>
  <c r="AH153" i="1"/>
  <c r="D1074" i="7"/>
  <c r="AH154" i="1" l="1"/>
  <c r="F1065" i="7"/>
  <c r="F1068" i="7" s="1"/>
  <c r="E1065" i="7"/>
  <c r="E1068" i="7" s="1"/>
  <c r="E1063" i="7"/>
  <c r="F1063" i="7"/>
  <c r="G1064" i="7" s="1"/>
  <c r="C1119" i="7"/>
  <c r="G1062" i="7"/>
  <c r="H1062" i="7" s="1"/>
  <c r="I1062" i="7" s="1"/>
  <c r="J1062" i="7" s="1"/>
  <c r="K1062" i="7" s="1"/>
  <c r="L1062" i="7" s="1"/>
  <c r="M1062" i="7" s="1"/>
  <c r="S70" i="2"/>
  <c r="BL69" i="3"/>
  <c r="DW69" i="3" s="1"/>
  <c r="AA32" i="13" s="1"/>
  <c r="BL68" i="3"/>
  <c r="DW68" i="3" s="1"/>
  <c r="AA31" i="13" s="1"/>
  <c r="BL67" i="3"/>
  <c r="DW67" i="3" s="1"/>
  <c r="AA30" i="13" s="1"/>
  <c r="BM60" i="3"/>
  <c r="BM20" i="3"/>
  <c r="X49" i="13" s="1"/>
  <c r="BM13" i="3"/>
  <c r="X48" i="13" s="1"/>
  <c r="BM9" i="3"/>
  <c r="AP37" i="14"/>
  <c r="AP36" i="14"/>
  <c r="AP34" i="14"/>
  <c r="AP24" i="14"/>
  <c r="AP22" i="14"/>
  <c r="AP10" i="14"/>
  <c r="AP6" i="14"/>
  <c r="AP5" i="14"/>
  <c r="AP3" i="14"/>
  <c r="AP2" i="14"/>
  <c r="AP33" i="14" s="1"/>
  <c r="S23" i="14"/>
  <c r="S76" i="14"/>
  <c r="S60" i="14"/>
  <c r="S59" i="14"/>
  <c r="S57" i="14"/>
  <c r="S35" i="14"/>
  <c r="AT35" i="14" s="1"/>
  <c r="S33" i="14"/>
  <c r="S31" i="14"/>
  <c r="S29" i="14"/>
  <c r="S16" i="14"/>
  <c r="W148" i="13"/>
  <c r="W112" i="13"/>
  <c r="W111" i="13"/>
  <c r="W110" i="13"/>
  <c r="W66" i="13"/>
  <c r="W58" i="13"/>
  <c r="W99" i="13" s="1"/>
  <c r="W57" i="13"/>
  <c r="W96" i="13" s="1"/>
  <c r="W56" i="13"/>
  <c r="W92" i="13" s="1"/>
  <c r="W52" i="13"/>
  <c r="T27" i="14" l="1"/>
  <c r="T85" i="14"/>
  <c r="AT23" i="14"/>
  <c r="AH168" i="1"/>
  <c r="AI149" i="1"/>
  <c r="AH67" i="1"/>
  <c r="S137" i="2"/>
  <c r="S138" i="2" s="1"/>
  <c r="S136" i="2"/>
  <c r="T25" i="14"/>
  <c r="S39" i="14"/>
  <c r="T58" i="14"/>
  <c r="L23" i="13"/>
  <c r="BM43" i="3"/>
  <c r="X61" i="13" s="1"/>
  <c r="X91" i="13" s="1"/>
  <c r="L24" i="13"/>
  <c r="BM44" i="3"/>
  <c r="X62" i="13" s="1"/>
  <c r="X95" i="13" s="1"/>
  <c r="F1070" i="7"/>
  <c r="BL70" i="3"/>
  <c r="DW70" i="3" s="1"/>
  <c r="L26" i="13"/>
  <c r="E1064" i="7"/>
  <c r="E1070" i="7"/>
  <c r="F1064" i="7"/>
  <c r="E1071" i="7"/>
  <c r="F1071" i="7"/>
  <c r="F1074" i="7" s="1"/>
  <c r="E1066" i="7"/>
  <c r="F1066" i="7"/>
  <c r="BM33" i="3"/>
  <c r="S30" i="14"/>
  <c r="BM25" i="3"/>
  <c r="L27" i="13"/>
  <c r="S13" i="14"/>
  <c r="T61" i="14" l="1"/>
  <c r="AT39" i="14"/>
  <c r="AT13" i="14"/>
  <c r="AI337" i="1"/>
  <c r="AI372" i="1" s="1"/>
  <c r="AI263" i="1"/>
  <c r="AI147" i="1"/>
  <c r="U87" i="14"/>
  <c r="BL71" i="3"/>
  <c r="DW71" i="3" s="1"/>
  <c r="S54" i="14"/>
  <c r="S51" i="14"/>
  <c r="S53" i="14"/>
  <c r="S52" i="14"/>
  <c r="S50" i="14"/>
  <c r="BM45" i="3"/>
  <c r="X63" i="13" s="1"/>
  <c r="X50" i="13"/>
  <c r="X51" i="13" s="1"/>
  <c r="H1069" i="7"/>
  <c r="G1069" i="7"/>
  <c r="E1072" i="7"/>
  <c r="E1074" i="7"/>
  <c r="F1072" i="7"/>
  <c r="BL129" i="3"/>
  <c r="BL128" i="3"/>
  <c r="BL127" i="3"/>
  <c r="BL125" i="3"/>
  <c r="DW125" i="3" s="1"/>
  <c r="BL105" i="3"/>
  <c r="BL53" i="3"/>
  <c r="DW53" i="3" s="1"/>
  <c r="K20" i="13"/>
  <c r="K18" i="13"/>
  <c r="K15" i="13"/>
  <c r="K9" i="13"/>
  <c r="K7" i="13"/>
  <c r="K4" i="13"/>
  <c r="BK142" i="3"/>
  <c r="AI21" i="1" l="1"/>
  <c r="AN21" i="9" s="1"/>
  <c r="AI153" i="1"/>
  <c r="AI154" i="1" s="1"/>
  <c r="BM46" i="3"/>
  <c r="X64" i="13" s="1"/>
  <c r="I1063" i="7"/>
  <c r="BL130" i="3"/>
  <c r="W75" i="13" s="1"/>
  <c r="K8" i="13"/>
  <c r="K11" i="13"/>
  <c r="R140" i="2"/>
  <c r="R132" i="2"/>
  <c r="W11" i="1" s="1"/>
  <c r="W51" i="1" s="1"/>
  <c r="R51" i="2"/>
  <c r="R35" i="2"/>
  <c r="R26" i="2"/>
  <c r="R16" i="2"/>
  <c r="R7" i="2"/>
  <c r="N8" i="5"/>
  <c r="I429" i="14"/>
  <c r="I430" i="14"/>
  <c r="I436" i="14" s="1"/>
  <c r="D447" i="14" s="1"/>
  <c r="I431" i="14"/>
  <c r="I437" i="14" s="1"/>
  <c r="D448" i="14" s="1"/>
  <c r="B448" i="14"/>
  <c r="B447" i="14"/>
  <c r="B446" i="14"/>
  <c r="D445" i="14"/>
  <c r="C445" i="14"/>
  <c r="F417" i="14"/>
  <c r="E417" i="14"/>
  <c r="D417" i="14"/>
  <c r="C417" i="14"/>
  <c r="H419" i="14"/>
  <c r="H418" i="14"/>
  <c r="D440" i="14"/>
  <c r="C440" i="14"/>
  <c r="B443" i="14"/>
  <c r="B442" i="14"/>
  <c r="B441" i="14"/>
  <c r="B440" i="14"/>
  <c r="H431" i="14"/>
  <c r="H430" i="14"/>
  <c r="H425" i="14"/>
  <c r="H424" i="14"/>
  <c r="F437" i="14"/>
  <c r="E437" i="14"/>
  <c r="D437" i="14"/>
  <c r="S52" i="2" l="1"/>
  <c r="AI168" i="1"/>
  <c r="AI67" i="1"/>
  <c r="J1063" i="7"/>
  <c r="I1069" i="7"/>
  <c r="R135" i="2"/>
  <c r="R136" i="2" s="1"/>
  <c r="D442" i="14"/>
  <c r="D443" i="14"/>
  <c r="H417" i="14"/>
  <c r="H436" i="14"/>
  <c r="H437" i="14"/>
  <c r="K1063" i="7" l="1"/>
  <c r="L1063" i="7" s="1"/>
  <c r="J1069" i="7"/>
  <c r="C443" i="14"/>
  <c r="C448" i="14"/>
  <c r="C442" i="14"/>
  <c r="C447" i="14"/>
  <c r="F436" i="14"/>
  <c r="E436" i="14"/>
  <c r="D436" i="14"/>
  <c r="C436" i="14"/>
  <c r="M1063" i="7" l="1"/>
  <c r="M1065" i="7" s="1"/>
  <c r="L1065" i="7"/>
  <c r="K1069" i="7"/>
  <c r="F423" i="14"/>
  <c r="E423" i="14"/>
  <c r="D423" i="14"/>
  <c r="C423" i="14"/>
  <c r="F429" i="14"/>
  <c r="E429" i="14"/>
  <c r="D429" i="14"/>
  <c r="C429" i="14"/>
  <c r="C437" i="14"/>
  <c r="E372" i="14"/>
  <c r="P16" i="14"/>
  <c r="O16" i="14"/>
  <c r="N16" i="14"/>
  <c r="M16" i="14"/>
  <c r="L16" i="14"/>
  <c r="K16" i="14"/>
  <c r="J16" i="14"/>
  <c r="I16" i="14"/>
  <c r="G16" i="14"/>
  <c r="F16" i="14"/>
  <c r="E16" i="14"/>
  <c r="C16" i="14"/>
  <c r="Q16" i="14"/>
  <c r="R16" i="14"/>
  <c r="H73" i="14"/>
  <c r="D73" i="14"/>
  <c r="D435" i="14" l="1"/>
  <c r="E435" i="14"/>
  <c r="F435" i="14"/>
  <c r="H423" i="14"/>
  <c r="H429" i="14"/>
  <c r="C435" i="14"/>
  <c r="DG12" i="3"/>
  <c r="BK15" i="3"/>
  <c r="BJ15" i="3"/>
  <c r="BI15" i="3"/>
  <c r="BH15" i="3"/>
  <c r="BF15" i="3"/>
  <c r="BE15" i="3"/>
  <c r="BD15" i="3"/>
  <c r="BB15" i="3"/>
  <c r="BA15" i="3"/>
  <c r="AZ15" i="3"/>
  <c r="AY15" i="3"/>
  <c r="AX15" i="3"/>
  <c r="AW15" i="3"/>
  <c r="AV15" i="3"/>
  <c r="AU15" i="3"/>
  <c r="AT15" i="3"/>
  <c r="AS15" i="3"/>
  <c r="AR15" i="3"/>
  <c r="AQ15" i="3"/>
  <c r="AP15" i="3"/>
  <c r="AO15" i="3"/>
  <c r="AN15" i="3"/>
  <c r="AM15" i="3"/>
  <c r="AL15" i="3"/>
  <c r="AK15" i="3"/>
  <c r="AJ15" i="3"/>
  <c r="AI15" i="3"/>
  <c r="AH15" i="3"/>
  <c r="AG15" i="3"/>
  <c r="AF15" i="3"/>
  <c r="AE15" i="3"/>
  <c r="AD15" i="3"/>
  <c r="AC15" i="3"/>
  <c r="AB15" i="3"/>
  <c r="AA15" i="3"/>
  <c r="Z15" i="3"/>
  <c r="Y15" i="3"/>
  <c r="X15" i="3"/>
  <c r="W15" i="3"/>
  <c r="V15" i="3"/>
  <c r="U15" i="3"/>
  <c r="T15" i="3"/>
  <c r="S15" i="3"/>
  <c r="R15" i="3"/>
  <c r="Q15" i="3"/>
  <c r="P15" i="3"/>
  <c r="O15" i="3"/>
  <c r="N15" i="3"/>
  <c r="M15" i="3"/>
  <c r="L15" i="3"/>
  <c r="K15" i="3"/>
  <c r="J15" i="3"/>
  <c r="I15" i="3"/>
  <c r="H15" i="3"/>
  <c r="G15" i="3"/>
  <c r="AJ27" i="3"/>
  <c r="AI27" i="3"/>
  <c r="AH27" i="3"/>
  <c r="AG27" i="3"/>
  <c r="AF27" i="3"/>
  <c r="AE27" i="3"/>
  <c r="AD27" i="3"/>
  <c r="AC27" i="3"/>
  <c r="AB27" i="3"/>
  <c r="AA27" i="3"/>
  <c r="Z27" i="3"/>
  <c r="Y27" i="3"/>
  <c r="X27" i="3"/>
  <c r="W27" i="3"/>
  <c r="V27" i="3"/>
  <c r="U27" i="3"/>
  <c r="T27" i="3"/>
  <c r="S27" i="3"/>
  <c r="R27" i="3"/>
  <c r="Q27" i="3"/>
  <c r="P27" i="3"/>
  <c r="O27" i="3"/>
  <c r="N27" i="3"/>
  <c r="M27" i="3"/>
  <c r="L27" i="3"/>
  <c r="K27" i="3"/>
  <c r="J27" i="3"/>
  <c r="I27" i="3"/>
  <c r="H27" i="3"/>
  <c r="G27" i="3"/>
  <c r="BK22" i="3"/>
  <c r="BJ22" i="3"/>
  <c r="BI22" i="3"/>
  <c r="BH22" i="3"/>
  <c r="BF22" i="3"/>
  <c r="BE22" i="3"/>
  <c r="BD22" i="3"/>
  <c r="BB22" i="3"/>
  <c r="BA22" i="3"/>
  <c r="AZ22" i="3"/>
  <c r="AY22" i="3"/>
  <c r="AX22" i="3"/>
  <c r="AW22" i="3"/>
  <c r="AV22" i="3"/>
  <c r="AU22" i="3"/>
  <c r="AT22" i="3"/>
  <c r="AJ22" i="3"/>
  <c r="AI22" i="3"/>
  <c r="AH22" i="3"/>
  <c r="AG22" i="3"/>
  <c r="AF22" i="3"/>
  <c r="AE22" i="3"/>
  <c r="AD22" i="3"/>
  <c r="AC22" i="3"/>
  <c r="AB22" i="3"/>
  <c r="AA22" i="3"/>
  <c r="Z22" i="3"/>
  <c r="Y22" i="3"/>
  <c r="X22" i="3"/>
  <c r="W22" i="3"/>
  <c r="V22" i="3"/>
  <c r="U22" i="3"/>
  <c r="T22" i="3"/>
  <c r="S22" i="3"/>
  <c r="R22" i="3"/>
  <c r="Q22" i="3"/>
  <c r="P22" i="3"/>
  <c r="O22" i="3"/>
  <c r="N22" i="3"/>
  <c r="M22" i="3"/>
  <c r="L22" i="3"/>
  <c r="K22" i="3"/>
  <c r="J22" i="3"/>
  <c r="I22" i="3"/>
  <c r="H22" i="3"/>
  <c r="G22" i="3"/>
  <c r="E366" i="14"/>
  <c r="F353" i="14"/>
  <c r="F360" i="14"/>
  <c r="F350" i="14"/>
  <c r="F357" i="14"/>
  <c r="F351" i="14"/>
  <c r="F358" i="14"/>
  <c r="G359" i="14"/>
  <c r="H435" i="14" l="1"/>
  <c r="D352" i="14"/>
  <c r="D351" i="14"/>
  <c r="C352" i="14"/>
  <c r="C351" i="14"/>
  <c r="H300" i="14"/>
  <c r="G300" i="14"/>
  <c r="F300" i="14"/>
  <c r="R76" i="14"/>
  <c r="AO37" i="14"/>
  <c r="AO36" i="14"/>
  <c r="AO24" i="14"/>
  <c r="AO22" i="14"/>
  <c r="AN37" i="14"/>
  <c r="AN36" i="14"/>
  <c r="AN22" i="14"/>
  <c r="AO12" i="14"/>
  <c r="AO10" i="14"/>
  <c r="AO6" i="14"/>
  <c r="AO5" i="14"/>
  <c r="AO3" i="14"/>
  <c r="AO2" i="14"/>
  <c r="AO33" i="14" s="1"/>
  <c r="R60" i="14"/>
  <c r="R59" i="14"/>
  <c r="R57" i="14"/>
  <c r="R35" i="14"/>
  <c r="R33" i="14"/>
  <c r="R31" i="14"/>
  <c r="R29" i="14"/>
  <c r="R23" i="14"/>
  <c r="S27" i="14" l="1"/>
  <c r="AS23" i="14"/>
  <c r="S25" i="14"/>
  <c r="T87" i="14" s="1"/>
  <c r="R13" i="14"/>
  <c r="AS13" i="14" s="1"/>
  <c r="AS11" i="14"/>
  <c r="S58" i="14"/>
  <c r="AS35" i="14"/>
  <c r="C441" i="14"/>
  <c r="C446" i="14"/>
  <c r="R30" i="14"/>
  <c r="R39" i="14"/>
  <c r="AS39" i="14" s="1"/>
  <c r="AN6" i="14"/>
  <c r="AM6" i="14"/>
  <c r="AL6" i="14"/>
  <c r="AK6" i="14"/>
  <c r="AJ6" i="14"/>
  <c r="AI6" i="14"/>
  <c r="AH6" i="14"/>
  <c r="AN5" i="14"/>
  <c r="AM5" i="14"/>
  <c r="AL5" i="14"/>
  <c r="AK5" i="14"/>
  <c r="AJ5" i="14"/>
  <c r="AI5" i="14"/>
  <c r="AH5" i="14"/>
  <c r="AN3" i="14"/>
  <c r="AM3" i="14"/>
  <c r="AL3" i="14"/>
  <c r="AK3" i="14"/>
  <c r="AJ3" i="14"/>
  <c r="AI3" i="14"/>
  <c r="AH3" i="14"/>
  <c r="AH2" i="14"/>
  <c r="AI2" i="14"/>
  <c r="AJ2" i="14"/>
  <c r="AK2" i="14"/>
  <c r="AL2" i="14"/>
  <c r="AM2" i="14"/>
  <c r="AN2" i="14"/>
  <c r="AN33" i="14" s="1"/>
  <c r="R51" i="14" l="1"/>
  <c r="S61" i="14"/>
  <c r="R50" i="14"/>
  <c r="R54" i="14"/>
  <c r="R53" i="14"/>
  <c r="R52" i="14"/>
  <c r="C176" i="13" l="1"/>
  <c r="H172" i="13"/>
  <c r="G172" i="13"/>
  <c r="H171" i="13"/>
  <c r="G171" i="13"/>
  <c r="G173" i="13" l="1"/>
  <c r="H173" i="13"/>
  <c r="V148" i="13"/>
  <c r="U148" i="13"/>
  <c r="T148" i="13"/>
  <c r="S148" i="13"/>
  <c r="R148" i="13"/>
  <c r="Q148" i="13"/>
  <c r="P148" i="13"/>
  <c r="O148" i="13"/>
  <c r="N148" i="13"/>
  <c r="M148" i="13"/>
  <c r="L148" i="13"/>
  <c r="K148" i="13"/>
  <c r="J148" i="13"/>
  <c r="I148" i="13"/>
  <c r="H148" i="13"/>
  <c r="G148" i="13"/>
  <c r="F148" i="13"/>
  <c r="E148" i="13"/>
  <c r="D148" i="13"/>
  <c r="C148" i="13"/>
  <c r="O697" i="7"/>
  <c r="V112" i="13" l="1"/>
  <c r="V111" i="13"/>
  <c r="V110" i="13"/>
  <c r="V79" i="13"/>
  <c r="V78" i="13"/>
  <c r="V73" i="13"/>
  <c r="V82" i="13" s="1"/>
  <c r="V66" i="13"/>
  <c r="V58" i="13"/>
  <c r="V99" i="13" s="1"/>
  <c r="V57" i="13"/>
  <c r="V96" i="13" s="1"/>
  <c r="V56" i="13"/>
  <c r="V92" i="13" s="1"/>
  <c r="V52" i="13"/>
  <c r="BK129" i="3"/>
  <c r="BK128" i="3"/>
  <c r="BK127" i="3"/>
  <c r="BK125" i="3"/>
  <c r="BK130" i="3" s="1"/>
  <c r="V75" i="13" s="1"/>
  <c r="BK69" i="3"/>
  <c r="BK68" i="3"/>
  <c r="BK67" i="3"/>
  <c r="BK81" i="3"/>
  <c r="AQ8" i="13"/>
  <c r="BJ27" i="13"/>
  <c r="BJ26" i="13"/>
  <c r="BJ24" i="13"/>
  <c r="BJ23" i="13"/>
  <c r="BJ20" i="13"/>
  <c r="BJ19" i="13"/>
  <c r="BJ18" i="13"/>
  <c r="BJ17" i="13"/>
  <c r="BJ16" i="13"/>
  <c r="BJ15" i="13"/>
  <c r="BJ14" i="13"/>
  <c r="BJ10" i="13"/>
  <c r="BJ9" i="13"/>
  <c r="BJ7" i="13"/>
  <c r="BJ5" i="13"/>
  <c r="BJ4" i="13"/>
  <c r="B672" i="7"/>
  <c r="J672" i="7" s="1"/>
  <c r="C679" i="7"/>
  <c r="BK70" i="3" l="1"/>
  <c r="BJ6" i="13"/>
  <c r="BJ11" i="13"/>
  <c r="BJ8" i="13"/>
  <c r="G672" i="7"/>
  <c r="D672" i="7"/>
  <c r="E672" i="7"/>
  <c r="F672" i="7"/>
  <c r="Q672" i="7"/>
  <c r="O672" i="7"/>
  <c r="N672" i="7"/>
  <c r="P672" i="7"/>
  <c r="I672" i="7"/>
  <c r="H672" i="7"/>
  <c r="M672" i="7"/>
  <c r="L672" i="7"/>
  <c r="R672" i="7"/>
  <c r="B13" i="12"/>
  <c r="B14" i="12"/>
  <c r="B15" i="12"/>
  <c r="B12" i="12"/>
  <c r="BK105" i="3" l="1"/>
  <c r="BK71" i="3"/>
  <c r="BJ12" i="13"/>
  <c r="BK9" i="13" l="1"/>
  <c r="BK5" i="13"/>
  <c r="D26" i="13"/>
  <c r="E26" i="13"/>
  <c r="F26" i="13"/>
  <c r="G26" i="13"/>
  <c r="H26" i="13"/>
  <c r="I26" i="13"/>
  <c r="D27" i="13"/>
  <c r="E27" i="13"/>
  <c r="F27" i="13"/>
  <c r="G27" i="13"/>
  <c r="H27" i="13"/>
  <c r="I27" i="13"/>
  <c r="C27" i="13"/>
  <c r="C26" i="13"/>
  <c r="C4" i="13"/>
  <c r="D4" i="13"/>
  <c r="C5" i="13"/>
  <c r="D5" i="13"/>
  <c r="C7" i="13"/>
  <c r="D7" i="13"/>
  <c r="C9" i="13"/>
  <c r="D9" i="13"/>
  <c r="D15" i="13"/>
  <c r="C17" i="13"/>
  <c r="D17" i="13"/>
  <c r="C18" i="13"/>
  <c r="D18" i="13"/>
  <c r="C20" i="13"/>
  <c r="D20" i="13"/>
  <c r="E4" i="13"/>
  <c r="F4" i="13"/>
  <c r="G4" i="13"/>
  <c r="H4" i="13"/>
  <c r="E5" i="13"/>
  <c r="F5" i="13"/>
  <c r="G5" i="13"/>
  <c r="H5" i="13"/>
  <c r="E7" i="13"/>
  <c r="F7" i="13"/>
  <c r="G7" i="13"/>
  <c r="H7" i="13"/>
  <c r="E9" i="13"/>
  <c r="F9" i="13"/>
  <c r="G9" i="13"/>
  <c r="H9" i="13"/>
  <c r="E15" i="13"/>
  <c r="F15" i="13"/>
  <c r="G15" i="13"/>
  <c r="H15" i="13"/>
  <c r="E17" i="13"/>
  <c r="F17" i="13"/>
  <c r="G17" i="13"/>
  <c r="H17" i="13"/>
  <c r="E18" i="13"/>
  <c r="F18" i="13"/>
  <c r="G18" i="13"/>
  <c r="H18" i="13"/>
  <c r="E20" i="13"/>
  <c r="F20" i="13"/>
  <c r="G20" i="13"/>
  <c r="H20" i="13"/>
  <c r="D669" i="7"/>
  <c r="E669" i="7"/>
  <c r="F669" i="7"/>
  <c r="G669" i="7"/>
  <c r="F670" i="7"/>
  <c r="F678" i="7" s="1"/>
  <c r="D690" i="7"/>
  <c r="D692" i="7" s="1"/>
  <c r="E690" i="7"/>
  <c r="E692" i="7" s="1"/>
  <c r="F690" i="7"/>
  <c r="F692" i="7" s="1"/>
  <c r="G690" i="7"/>
  <c r="G692" i="7" s="1"/>
  <c r="D697" i="7"/>
  <c r="E697" i="7"/>
  <c r="F697" i="7"/>
  <c r="G697" i="7"/>
  <c r="D701" i="7"/>
  <c r="D703" i="7" s="1"/>
  <c r="E701" i="7"/>
  <c r="E703" i="7" s="1"/>
  <c r="F701" i="7"/>
  <c r="F703" i="7" s="1"/>
  <c r="G701" i="7"/>
  <c r="G703" i="7" s="1"/>
  <c r="P702" i="7"/>
  <c r="Q702" i="7" s="1"/>
  <c r="R702" i="7" s="1"/>
  <c r="C678" i="7"/>
  <c r="T691" i="7"/>
  <c r="U691" i="7" s="1"/>
  <c r="I697" i="7"/>
  <c r="J697" i="7"/>
  <c r="K697" i="7"/>
  <c r="L697" i="7"/>
  <c r="M697" i="7"/>
  <c r="N697" i="7"/>
  <c r="H697" i="7"/>
  <c r="N684" i="7"/>
  <c r="O684" i="7"/>
  <c r="P684" i="7"/>
  <c r="Q684" i="7"/>
  <c r="R684" i="7"/>
  <c r="S684" i="7"/>
  <c r="T684" i="7"/>
  <c r="U684" i="7"/>
  <c r="V684" i="7"/>
  <c r="W684" i="7"/>
  <c r="M683" i="7"/>
  <c r="L683" i="7" s="1"/>
  <c r="M682" i="7"/>
  <c r="L682" i="7" s="1"/>
  <c r="I690" i="7"/>
  <c r="I692" i="7" s="1"/>
  <c r="J690" i="7"/>
  <c r="J692" i="7" s="1"/>
  <c r="K690" i="7"/>
  <c r="K692" i="7" s="1"/>
  <c r="L690" i="7"/>
  <c r="L692" i="7" s="1"/>
  <c r="M690" i="7"/>
  <c r="M692" i="7" s="1"/>
  <c r="N690" i="7"/>
  <c r="N692" i="7" s="1"/>
  <c r="P690" i="7"/>
  <c r="P692" i="7" s="1"/>
  <c r="Q690" i="7"/>
  <c r="Q692" i="7" s="1"/>
  <c r="R690" i="7"/>
  <c r="R692" i="7" s="1"/>
  <c r="T690" i="7"/>
  <c r="U690" i="7"/>
  <c r="V690" i="7"/>
  <c r="H690" i="7"/>
  <c r="H692" i="7" s="1"/>
  <c r="T669" i="7"/>
  <c r="U669" i="7"/>
  <c r="V669" i="7"/>
  <c r="W669" i="7"/>
  <c r="S669" i="7"/>
  <c r="I669" i="7"/>
  <c r="J669" i="7"/>
  <c r="K669" i="7"/>
  <c r="L669" i="7"/>
  <c r="M669" i="7"/>
  <c r="N669" i="7"/>
  <c r="O669" i="7"/>
  <c r="P669" i="7"/>
  <c r="Q669" i="7"/>
  <c r="R669" i="7"/>
  <c r="H669" i="7"/>
  <c r="E2552" i="4"/>
  <c r="J18" i="13"/>
  <c r="BL163" i="3"/>
  <c r="BL149" i="3"/>
  <c r="L7" i="13"/>
  <c r="BJ125" i="3"/>
  <c r="DU125" i="3" s="1"/>
  <c r="DU117" i="3"/>
  <c r="Y151" i="13" s="1"/>
  <c r="DT117" i="3"/>
  <c r="X151" i="13" s="1"/>
  <c r="DS117" i="3"/>
  <c r="W151" i="13" s="1"/>
  <c r="BL84" i="3"/>
  <c r="DU80" i="3"/>
  <c r="DT80" i="3"/>
  <c r="DS80" i="3"/>
  <c r="DU79" i="3"/>
  <c r="DT79" i="3"/>
  <c r="DS79" i="3"/>
  <c r="DU77" i="3"/>
  <c r="DT77" i="3"/>
  <c r="DS77" i="3"/>
  <c r="DU76" i="3"/>
  <c r="DT76" i="3"/>
  <c r="DS76" i="3"/>
  <c r="BO84" i="3"/>
  <c r="DS4" i="3"/>
  <c r="W29" i="13" s="1"/>
  <c r="W47" i="13" s="1"/>
  <c r="DT4" i="3"/>
  <c r="X29" i="13" s="1"/>
  <c r="X47" i="13" s="1"/>
  <c r="DU4" i="3"/>
  <c r="Y29" i="13" s="1"/>
  <c r="Y47" i="13" s="1"/>
  <c r="DV4" i="3"/>
  <c r="Z29" i="13" s="1"/>
  <c r="Z47" i="13" s="1"/>
  <c r="E662" i="7"/>
  <c r="E656" i="7"/>
  <c r="E664" i="7"/>
  <c r="D665" i="7" s="1"/>
  <c r="F662" i="7" s="1"/>
  <c r="E658" i="7"/>
  <c r="D659" i="7" s="1"/>
  <c r="F656" i="7" s="1"/>
  <c r="DW149" i="3" l="1"/>
  <c r="Z55" i="13"/>
  <c r="Z60" i="13"/>
  <c r="Z90" i="13" s="1"/>
  <c r="Z94" i="13" s="1"/>
  <c r="Y60" i="13"/>
  <c r="Y90" i="13" s="1"/>
  <c r="Y94" i="13" s="1"/>
  <c r="Y55" i="13"/>
  <c r="E8" i="13"/>
  <c r="DU140" i="3"/>
  <c r="Y149" i="13" s="1"/>
  <c r="M7" i="13"/>
  <c r="DU72" i="3"/>
  <c r="Y85" i="13" s="1"/>
  <c r="M4" i="13"/>
  <c r="X60" i="13"/>
  <c r="X90" i="13" s="1"/>
  <c r="X94" i="13" s="1"/>
  <c r="X55" i="13"/>
  <c r="DT72" i="3"/>
  <c r="X85" i="13" s="1"/>
  <c r="L4" i="13"/>
  <c r="L11" i="13"/>
  <c r="G8" i="13"/>
  <c r="W60" i="13"/>
  <c r="W90" i="13" s="1"/>
  <c r="W94" i="13" s="1"/>
  <c r="W55" i="13"/>
  <c r="BL195" i="3"/>
  <c r="H8" i="13"/>
  <c r="D8" i="13"/>
  <c r="F8" i="13"/>
  <c r="C6" i="13"/>
  <c r="H699" i="7"/>
  <c r="I699" i="7"/>
  <c r="E6" i="13"/>
  <c r="N699" i="7"/>
  <c r="M699" i="7"/>
  <c r="BK10" i="13"/>
  <c r="L699" i="7"/>
  <c r="K699" i="7"/>
  <c r="J699" i="7"/>
  <c r="BK6" i="13"/>
  <c r="C11" i="13"/>
  <c r="H6" i="13"/>
  <c r="H11" i="13"/>
  <c r="D6" i="13"/>
  <c r="G11" i="13"/>
  <c r="F11" i="13"/>
  <c r="G6" i="13"/>
  <c r="E11" i="13"/>
  <c r="F6" i="13"/>
  <c r="D11" i="13"/>
  <c r="C8" i="13"/>
  <c r="DT140" i="3"/>
  <c r="X149" i="13" s="1"/>
  <c r="Q697" i="7"/>
  <c r="R697" i="7"/>
  <c r="S702" i="7"/>
  <c r="V691" i="7"/>
  <c r="U692" i="7"/>
  <c r="T692" i="7"/>
  <c r="M684" i="7"/>
  <c r="K682" i="7"/>
  <c r="L684" i="7"/>
  <c r="K683" i="7"/>
  <c r="BL169" i="3"/>
  <c r="L5" i="13"/>
  <c r="BM160" i="3"/>
  <c r="T188" i="13" s="1"/>
  <c r="BL85" i="3"/>
  <c r="DS140" i="3"/>
  <c r="W149" i="13" s="1"/>
  <c r="DS81" i="3"/>
  <c r="W84" i="13" s="1"/>
  <c r="DT81" i="3"/>
  <c r="X84" i="13" s="1"/>
  <c r="DU81" i="3"/>
  <c r="Y84" i="13" s="1"/>
  <c r="U409" i="14"/>
  <c r="T409" i="14"/>
  <c r="S409" i="14"/>
  <c r="R409" i="14"/>
  <c r="Q409" i="14"/>
  <c r="P409" i="14"/>
  <c r="O409" i="14"/>
  <c r="N409" i="14"/>
  <c r="M409" i="14"/>
  <c r="L409" i="14"/>
  <c r="K409" i="14"/>
  <c r="J409" i="14"/>
  <c r="I409" i="14"/>
  <c r="H409" i="14"/>
  <c r="G409" i="14"/>
  <c r="F409" i="14"/>
  <c r="E409" i="14"/>
  <c r="U408" i="14"/>
  <c r="T408" i="14"/>
  <c r="S408" i="14"/>
  <c r="R408" i="14"/>
  <c r="Q408" i="14"/>
  <c r="P408" i="14"/>
  <c r="O408" i="14"/>
  <c r="N408" i="14"/>
  <c r="M408" i="14"/>
  <c r="L408" i="14"/>
  <c r="K408" i="14"/>
  <c r="J408" i="14"/>
  <c r="I408" i="14"/>
  <c r="H408" i="14"/>
  <c r="G408" i="14"/>
  <c r="F408" i="14"/>
  <c r="E408" i="14"/>
  <c r="U407" i="14"/>
  <c r="T407" i="14"/>
  <c r="S407" i="14"/>
  <c r="R407" i="14"/>
  <c r="Q407" i="14"/>
  <c r="P407" i="14"/>
  <c r="O407" i="14"/>
  <c r="N407" i="14"/>
  <c r="M407" i="14"/>
  <c r="L407" i="14"/>
  <c r="D409" i="14"/>
  <c r="D408" i="14"/>
  <c r="B409" i="14"/>
  <c r="B408" i="14"/>
  <c r="B407" i="14"/>
  <c r="B406" i="14"/>
  <c r="L8" i="13" l="1"/>
  <c r="S192" i="13"/>
  <c r="DW169" i="3"/>
  <c r="BO71" i="3"/>
  <c r="BR89" i="3"/>
  <c r="DY89" i="3" s="1"/>
  <c r="BL197" i="3"/>
  <c r="BL194" i="3"/>
  <c r="M10" i="13"/>
  <c r="M5" i="13"/>
  <c r="M14" i="13"/>
  <c r="M11" i="13"/>
  <c r="M8" i="13"/>
  <c r="L14" i="13"/>
  <c r="L6" i="13"/>
  <c r="L12" i="13" s="1"/>
  <c r="C12" i="13"/>
  <c r="U697" i="7"/>
  <c r="E12" i="13"/>
  <c r="BK12" i="13"/>
  <c r="F12" i="13"/>
  <c r="G12" i="13"/>
  <c r="D12" i="13"/>
  <c r="H12" i="13"/>
  <c r="V697" i="7"/>
  <c r="BR73" i="3"/>
  <c r="BR160" i="3" s="1"/>
  <c r="Y188" i="13" s="1"/>
  <c r="W691" i="7"/>
  <c r="V692" i="7"/>
  <c r="K684" i="7"/>
  <c r="J682" i="7"/>
  <c r="I682" i="7" s="1"/>
  <c r="J683" i="7"/>
  <c r="BM118" i="3"/>
  <c r="BM120" i="3"/>
  <c r="DX120" i="3" s="1"/>
  <c r="BM119" i="3"/>
  <c r="DT104" i="3"/>
  <c r="DU104" i="3"/>
  <c r="X76" i="13"/>
  <c r="X150" i="13" s="1"/>
  <c r="BO85" i="3"/>
  <c r="AI130" i="9"/>
  <c r="AI122" i="9"/>
  <c r="AI108" i="9"/>
  <c r="AI71" i="9"/>
  <c r="AI17" i="9"/>
  <c r="AH130" i="9"/>
  <c r="AH122" i="9"/>
  <c r="AH108" i="9"/>
  <c r="AH71" i="9"/>
  <c r="AH17" i="9"/>
  <c r="AG130" i="9"/>
  <c r="AG122" i="9"/>
  <c r="AG108" i="9"/>
  <c r="AG71" i="9"/>
  <c r="AG17" i="9"/>
  <c r="AF130" i="9"/>
  <c r="AF122" i="9"/>
  <c r="AF108" i="9"/>
  <c r="AF71" i="9"/>
  <c r="AF17" i="9"/>
  <c r="BL202" i="3" l="1"/>
  <c r="BL205" i="3" s="1"/>
  <c r="BR90" i="3"/>
  <c r="BR91" i="3"/>
  <c r="AB33" i="13"/>
  <c r="BR88" i="3"/>
  <c r="DY88" i="3" s="1"/>
  <c r="K14" i="13"/>
  <c r="Y33" i="13"/>
  <c r="M6" i="13"/>
  <c r="M12" i="13" s="1"/>
  <c r="M19" i="13"/>
  <c r="M16" i="13"/>
  <c r="L10" i="13"/>
  <c r="X74" i="13"/>
  <c r="X152" i="13" s="1"/>
  <c r="X33" i="13"/>
  <c r="L16" i="13"/>
  <c r="J684" i="7"/>
  <c r="I683" i="7"/>
  <c r="I684" i="7" s="1"/>
  <c r="H682" i="7"/>
  <c r="G682" i="7" s="1"/>
  <c r="BI53" i="14"/>
  <c r="BH53" i="14"/>
  <c r="N67" i="15"/>
  <c r="L33" i="15"/>
  <c r="K33" i="15"/>
  <c r="J33" i="15"/>
  <c r="I33" i="15"/>
  <c r="H33" i="15"/>
  <c r="G33" i="15"/>
  <c r="F33" i="15"/>
  <c r="E29" i="15"/>
  <c r="F29" i="15" s="1"/>
  <c r="D573" i="7"/>
  <c r="N59" i="15"/>
  <c r="K619" i="7"/>
  <c r="J619" i="7"/>
  <c r="I619" i="7"/>
  <c r="H619" i="7"/>
  <c r="G619" i="7"/>
  <c r="F619" i="7"/>
  <c r="E619" i="7"/>
  <c r="K618" i="7"/>
  <c r="J618" i="7"/>
  <c r="I618" i="7"/>
  <c r="H618" i="7"/>
  <c r="G618" i="7"/>
  <c r="F618" i="7"/>
  <c r="E618" i="7"/>
  <c r="D618" i="7"/>
  <c r="E616" i="7"/>
  <c r="F616" i="7" s="1"/>
  <c r="G616" i="7" s="1"/>
  <c r="H616" i="7" s="1"/>
  <c r="I616" i="7" s="1"/>
  <c r="J616" i="7" s="1"/>
  <c r="K616" i="7" s="1"/>
  <c r="K613" i="7"/>
  <c r="J613" i="7"/>
  <c r="I613" i="7"/>
  <c r="H613" i="7"/>
  <c r="G613" i="7"/>
  <c r="F613" i="7"/>
  <c r="E613" i="7"/>
  <c r="D613" i="7"/>
  <c r="E611" i="7"/>
  <c r="F611" i="7" s="1"/>
  <c r="G611" i="7" s="1"/>
  <c r="H611" i="7" s="1"/>
  <c r="I611" i="7" s="1"/>
  <c r="J611" i="7" s="1"/>
  <c r="K611" i="7" s="1"/>
  <c r="M587" i="7"/>
  <c r="M583" i="7"/>
  <c r="L583" i="7"/>
  <c r="K583" i="7"/>
  <c r="J583" i="7"/>
  <c r="M510" i="7"/>
  <c r="M511" i="7" s="1"/>
  <c r="L510" i="7"/>
  <c r="L511" i="7" s="1"/>
  <c r="M549" i="7"/>
  <c r="L549" i="7"/>
  <c r="L573" i="7"/>
  <c r="L576" i="7" s="1"/>
  <c r="K573" i="7"/>
  <c r="K576" i="7" s="1"/>
  <c r="T544" i="7"/>
  <c r="K16" i="13" l="1"/>
  <c r="P9" i="13"/>
  <c r="P12" i="13"/>
  <c r="DX117" i="3"/>
  <c r="M17" i="13"/>
  <c r="L17" i="13"/>
  <c r="BL172" i="3"/>
  <c r="K17" i="13"/>
  <c r="F682" i="7"/>
  <c r="P697" i="7"/>
  <c r="H683" i="7"/>
  <c r="DS72" i="3"/>
  <c r="W85" i="13" s="1"/>
  <c r="BL87" i="3"/>
  <c r="BL73" i="3"/>
  <c r="BL89" i="3"/>
  <c r="BM90" i="3" s="1"/>
  <c r="K5" i="13"/>
  <c r="K510" i="7"/>
  <c r="K511" i="7" s="1"/>
  <c r="J510" i="7"/>
  <c r="J511" i="7" s="1"/>
  <c r="K549" i="7"/>
  <c r="J549" i="7"/>
  <c r="BL54" i="3" l="1"/>
  <c r="BL57" i="3"/>
  <c r="BL150" i="3"/>
  <c r="S4" i="14"/>
  <c r="K6" i="13"/>
  <c r="K12" i="13" s="1"/>
  <c r="BL160" i="3"/>
  <c r="S188" i="13" s="1"/>
  <c r="G683" i="7"/>
  <c r="E682" i="7"/>
  <c r="F686" i="7"/>
  <c r="H684" i="7"/>
  <c r="DS104" i="3"/>
  <c r="BL118" i="3"/>
  <c r="W74" i="13" s="1"/>
  <c r="W152" i="13" s="1"/>
  <c r="BL120" i="3"/>
  <c r="DW120" i="3" s="1"/>
  <c r="BL88" i="3"/>
  <c r="BL119" i="3"/>
  <c r="N65" i="15"/>
  <c r="DW57" i="3" l="1"/>
  <c r="AT4" i="14"/>
  <c r="S7" i="14"/>
  <c r="W76" i="13"/>
  <c r="W150" i="13" s="1"/>
  <c r="K10" i="13"/>
  <c r="W33" i="13"/>
  <c r="D682" i="7"/>
  <c r="F683" i="7"/>
  <c r="G684" i="7"/>
  <c r="T547" i="7"/>
  <c r="T545" i="7"/>
  <c r="H10" i="15"/>
  <c r="H13" i="15"/>
  <c r="I554" i="7" s="1"/>
  <c r="J554" i="7" s="1"/>
  <c r="K554" i="7" s="1"/>
  <c r="L554" i="7" s="1"/>
  <c r="M554" i="7" s="1"/>
  <c r="G13" i="15"/>
  <c r="H554" i="7" s="1"/>
  <c r="AT7" i="14" l="1"/>
  <c r="S19" i="14"/>
  <c r="E683" i="7"/>
  <c r="F684" i="7"/>
  <c r="DQ49" i="3"/>
  <c r="DP49" i="3"/>
  <c r="Q29" i="14"/>
  <c r="Q35" i="14"/>
  <c r="AR35" i="14" s="1"/>
  <c r="Q31" i="14"/>
  <c r="Q23" i="14"/>
  <c r="R27" i="14" s="1"/>
  <c r="BJ9" i="3"/>
  <c r="N670" i="7" s="1"/>
  <c r="N686" i="7" s="1"/>
  <c r="DQ81" i="3"/>
  <c r="U84" i="13" s="1"/>
  <c r="DQ80" i="3"/>
  <c r="DQ79" i="3"/>
  <c r="DQ77" i="3"/>
  <c r="DQ76" i="3"/>
  <c r="AR23" i="14" l="1"/>
  <c r="R25" i="14"/>
  <c r="R58" i="14"/>
  <c r="BJ53" i="14"/>
  <c r="D683" i="7"/>
  <c r="E684" i="7"/>
  <c r="Q30" i="14"/>
  <c r="Q39" i="14"/>
  <c r="AR39" i="14" s="1"/>
  <c r="U112" i="13"/>
  <c r="U111" i="13"/>
  <c r="U110" i="13"/>
  <c r="U79" i="13"/>
  <c r="U78" i="13"/>
  <c r="U73" i="13"/>
  <c r="U82" i="13" s="1"/>
  <c r="U66" i="13"/>
  <c r="U58" i="13"/>
  <c r="U99" i="13" s="1"/>
  <c r="U57" i="13"/>
  <c r="U96" i="13" s="1"/>
  <c r="U56" i="13"/>
  <c r="U92" i="13" s="1"/>
  <c r="U52" i="13"/>
  <c r="BJ129" i="3"/>
  <c r="BJ128" i="3"/>
  <c r="BJ127" i="3"/>
  <c r="BJ118" i="3"/>
  <c r="U74" i="13" s="1"/>
  <c r="U152" i="13" s="1"/>
  <c r="R61" i="14" l="1"/>
  <c r="D684" i="7"/>
  <c r="BJ35" i="3"/>
  <c r="BJ34" i="3"/>
  <c r="U53" i="13" s="1"/>
  <c r="BJ60" i="3"/>
  <c r="BJ25" i="3"/>
  <c r="U50" i="13" s="1"/>
  <c r="BJ20" i="3"/>
  <c r="BJ13" i="3"/>
  <c r="I18" i="13"/>
  <c r="I15" i="13"/>
  <c r="I10" i="13"/>
  <c r="AN12" i="14"/>
  <c r="AN10" i="14"/>
  <c r="U48" i="13" l="1"/>
  <c r="I23" i="13"/>
  <c r="U49" i="13"/>
  <c r="N671" i="7"/>
  <c r="I24" i="13"/>
  <c r="Q60" i="14"/>
  <c r="Q59" i="14"/>
  <c r="U51" i="13" l="1"/>
  <c r="N673" i="7"/>
  <c r="N675" i="7" s="1"/>
  <c r="N687" i="7" s="1"/>
  <c r="Q33" i="14"/>
  <c r="BI195" i="3"/>
  <c r="DT195" i="3" s="1"/>
  <c r="BH195" i="3"/>
  <c r="DS195" i="3" s="1"/>
  <c r="BG195" i="3"/>
  <c r="BG197" i="3" s="1"/>
  <c r="F14" i="13" s="1"/>
  <c r="BF195" i="3"/>
  <c r="BF197" i="3" s="1"/>
  <c r="E14" i="13" s="1"/>
  <c r="BE195" i="3"/>
  <c r="BE197" i="3" s="1"/>
  <c r="D14" i="13" s="1"/>
  <c r="BD195" i="3"/>
  <c r="BD197" i="3" s="1"/>
  <c r="C14" i="13" s="1"/>
  <c r="BC195" i="3"/>
  <c r="BC197" i="3" s="1"/>
  <c r="BB195" i="3"/>
  <c r="BB197" i="3" s="1"/>
  <c r="BA195" i="3"/>
  <c r="BA197" i="3" s="1"/>
  <c r="AZ195" i="3"/>
  <c r="AZ197" i="3" s="1"/>
  <c r="AY195" i="3"/>
  <c r="AY197" i="3" s="1"/>
  <c r="AX195" i="3"/>
  <c r="AX197" i="3" s="1"/>
  <c r="AW195" i="3"/>
  <c r="AV195" i="3"/>
  <c r="AV197" i="3" s="1"/>
  <c r="AU195" i="3"/>
  <c r="AU197" i="3" s="1"/>
  <c r="AT195" i="3"/>
  <c r="AT197" i="3" s="1"/>
  <c r="AR195" i="3"/>
  <c r="AQ195" i="3"/>
  <c r="AQ197" i="3" s="1"/>
  <c r="AP195" i="3"/>
  <c r="AP197" i="3" s="1"/>
  <c r="DP81" i="3"/>
  <c r="T84" i="13" s="1"/>
  <c r="DP80" i="3"/>
  <c r="DP79" i="3"/>
  <c r="DP77" i="3"/>
  <c r="DP76" i="3"/>
  <c r="P76" i="14"/>
  <c r="P35" i="14"/>
  <c r="AQ35" i="14" s="1"/>
  <c r="P23" i="14"/>
  <c r="AQ11" i="14"/>
  <c r="T110" i="13"/>
  <c r="S110" i="13"/>
  <c r="R110" i="13"/>
  <c r="Q110" i="13"/>
  <c r="P110" i="13"/>
  <c r="O110" i="13"/>
  <c r="N110" i="13"/>
  <c r="M110" i="13"/>
  <c r="L110" i="13"/>
  <c r="K110" i="13"/>
  <c r="J110" i="13"/>
  <c r="I110" i="13"/>
  <c r="H110" i="13"/>
  <c r="G110" i="13"/>
  <c r="F110" i="13"/>
  <c r="E110" i="13"/>
  <c r="D110" i="13"/>
  <c r="C110" i="13"/>
  <c r="T112" i="13"/>
  <c r="T111" i="13"/>
  <c r="T79" i="13"/>
  <c r="T78" i="13"/>
  <c r="T73" i="13"/>
  <c r="T82" i="13" s="1"/>
  <c r="T66" i="13"/>
  <c r="T58" i="13"/>
  <c r="T99" i="13" s="1"/>
  <c r="T57" i="13"/>
  <c r="T96" i="13" s="1"/>
  <c r="T56" i="13"/>
  <c r="T92" i="13" s="1"/>
  <c r="T52" i="13"/>
  <c r="AQ23" i="14" l="1"/>
  <c r="Q25" i="14"/>
  <c r="BH197" i="3"/>
  <c r="BH194" i="3"/>
  <c r="DS194" i="3" s="1"/>
  <c r="BI197" i="3"/>
  <c r="BI194" i="3"/>
  <c r="DT194" i="3" s="1"/>
  <c r="N679" i="7"/>
  <c r="P30" i="14"/>
  <c r="BI163" i="3"/>
  <c r="BI129" i="3"/>
  <c r="BI128" i="3"/>
  <c r="BI127" i="3"/>
  <c r="BI120" i="3"/>
  <c r="DT120" i="3" s="1"/>
  <c r="BI118" i="3"/>
  <c r="BI73" i="3"/>
  <c r="BI160" i="3" s="1"/>
  <c r="P188" i="13" s="1"/>
  <c r="BI89" i="3"/>
  <c r="BM91" i="3" s="1"/>
  <c r="BI85" i="3"/>
  <c r="BI84" i="3"/>
  <c r="BI35" i="3"/>
  <c r="BI34" i="3"/>
  <c r="T53" i="13" s="1"/>
  <c r="BI60" i="3"/>
  <c r="BI25" i="3"/>
  <c r="T50" i="13" s="1"/>
  <c r="BI20" i="3"/>
  <c r="BI13" i="3"/>
  <c r="BI9" i="3"/>
  <c r="P34" i="14"/>
  <c r="P13" i="14"/>
  <c r="AQ13" i="14" s="1"/>
  <c r="M670" i="7" l="1"/>
  <c r="M686" i="7" s="1"/>
  <c r="BI202" i="3"/>
  <c r="H16" i="13" s="1"/>
  <c r="DT197" i="3"/>
  <c r="G14" i="13"/>
  <c r="DS197" i="3"/>
  <c r="H14" i="13"/>
  <c r="Q57" i="14"/>
  <c r="AQ34" i="14"/>
  <c r="N694" i="7"/>
  <c r="N688" i="7"/>
  <c r="T48" i="13"/>
  <c r="H23" i="13"/>
  <c r="T49" i="13"/>
  <c r="M671" i="7"/>
  <c r="H24" i="13"/>
  <c r="T74" i="13"/>
  <c r="T152" i="13" s="1"/>
  <c r="H10" i="13"/>
  <c r="DT89" i="3"/>
  <c r="T76" i="13"/>
  <c r="T150" i="13" s="1"/>
  <c r="BI44" i="3"/>
  <c r="T62" i="13" s="1"/>
  <c r="T95" i="13" s="1"/>
  <c r="BI45" i="3"/>
  <c r="BI43" i="3"/>
  <c r="T61" i="13" s="1"/>
  <c r="T91" i="13" s="1"/>
  <c r="P31" i="14"/>
  <c r="P29" i="14"/>
  <c r="AM37" i="14"/>
  <c r="AM36" i="14"/>
  <c r="AM22" i="14"/>
  <c r="AM12" i="14"/>
  <c r="AM10" i="14"/>
  <c r="AM33" i="14"/>
  <c r="M24" i="12"/>
  <c r="M18" i="12"/>
  <c r="M17" i="12"/>
  <c r="M16" i="12"/>
  <c r="N22" i="12"/>
  <c r="N21" i="12"/>
  <c r="N20" i="12"/>
  <c r="Q22" i="12"/>
  <c r="Q21" i="12"/>
  <c r="P22" i="12"/>
  <c r="T22" i="12" s="1"/>
  <c r="P21" i="12"/>
  <c r="T21" i="12" s="1"/>
  <c r="P20" i="12"/>
  <c r="O22" i="12"/>
  <c r="O21" i="12"/>
  <c r="O20" i="12"/>
  <c r="BI205" i="3" l="1"/>
  <c r="BI208" i="3"/>
  <c r="BM209" i="3" s="1"/>
  <c r="T51" i="13"/>
  <c r="N696" i="7"/>
  <c r="N698" i="7" s="1"/>
  <c r="M673" i="7"/>
  <c r="M675" i="7" s="1"/>
  <c r="M687" i="7" s="1"/>
  <c r="BI46" i="3"/>
  <c r="T64" i="13" s="1"/>
  <c r="T63" i="13"/>
  <c r="FM149" i="3"/>
  <c r="V256" i="14"/>
  <c r="U256" i="14"/>
  <c r="T256" i="14"/>
  <c r="S256" i="14"/>
  <c r="R256" i="14"/>
  <c r="Q256" i="14"/>
  <c r="P256" i="14"/>
  <c r="O256" i="14"/>
  <c r="N256" i="14"/>
  <c r="M256" i="14"/>
  <c r="L256" i="14"/>
  <c r="K256" i="14"/>
  <c r="J256" i="14"/>
  <c r="I256" i="14"/>
  <c r="H256" i="14"/>
  <c r="G256" i="14"/>
  <c r="H19" i="13" l="1"/>
  <c r="BI210" i="3"/>
  <c r="M679" i="7"/>
  <c r="FM150" i="3"/>
  <c r="P60" i="14"/>
  <c r="H327" i="14"/>
  <c r="J326" i="14"/>
  <c r="D326" i="14"/>
  <c r="E326" i="14"/>
  <c r="F326" i="14"/>
  <c r="G326" i="14"/>
  <c r="H326" i="14"/>
  <c r="I326" i="14"/>
  <c r="C326" i="14"/>
  <c r="T289" i="14"/>
  <c r="T285" i="14" s="1"/>
  <c r="S289" i="14"/>
  <c r="S285" i="14" s="1"/>
  <c r="R289" i="14"/>
  <c r="R285" i="14" s="1"/>
  <c r="Q289" i="14"/>
  <c r="Q285" i="14" s="1"/>
  <c r="P289" i="14"/>
  <c r="P285" i="14" s="1"/>
  <c r="O289" i="14"/>
  <c r="O285" i="14" s="1"/>
  <c r="N289" i="14"/>
  <c r="N285" i="14" s="1"/>
  <c r="M289" i="14"/>
  <c r="M285" i="14" s="1"/>
  <c r="L289" i="14"/>
  <c r="L285" i="14" s="1"/>
  <c r="K289" i="14"/>
  <c r="K285" i="14" s="1"/>
  <c r="J289" i="14"/>
  <c r="J285" i="14" s="1"/>
  <c r="I289" i="14"/>
  <c r="I285" i="14" s="1"/>
  <c r="H289" i="14"/>
  <c r="H285" i="14" s="1"/>
  <c r="G289" i="14"/>
  <c r="G285" i="14" s="1"/>
  <c r="F289" i="14"/>
  <c r="F285" i="14" s="1"/>
  <c r="E289" i="14"/>
  <c r="E285" i="14" s="1"/>
  <c r="D289" i="14"/>
  <c r="D285" i="14" s="1"/>
  <c r="C289" i="14"/>
  <c r="C285" i="14" s="1"/>
  <c r="D280" i="14"/>
  <c r="E280" i="14"/>
  <c r="F280" i="14"/>
  <c r="G280" i="14"/>
  <c r="H280" i="14"/>
  <c r="I280" i="14"/>
  <c r="J280" i="14"/>
  <c r="K280" i="14"/>
  <c r="L280" i="14"/>
  <c r="M280" i="14"/>
  <c r="N280" i="14"/>
  <c r="O280" i="14"/>
  <c r="P280" i="14"/>
  <c r="Q280" i="14"/>
  <c r="R280" i="14"/>
  <c r="S280" i="14"/>
  <c r="T280" i="14"/>
  <c r="U280" i="14"/>
  <c r="V280" i="14"/>
  <c r="C280" i="14"/>
  <c r="V255" i="14"/>
  <c r="U255" i="14"/>
  <c r="T255" i="14"/>
  <c r="S255" i="14"/>
  <c r="R255" i="14"/>
  <c r="Q255" i="14"/>
  <c r="P255" i="14"/>
  <c r="O255" i="14"/>
  <c r="N255" i="14"/>
  <c r="M255" i="14"/>
  <c r="L255" i="14"/>
  <c r="K255" i="14"/>
  <c r="J255" i="14"/>
  <c r="I255" i="14"/>
  <c r="H255" i="14"/>
  <c r="G255" i="14"/>
  <c r="S245" i="14"/>
  <c r="R245" i="14"/>
  <c r="Q245" i="14"/>
  <c r="P245" i="14"/>
  <c r="O245" i="14"/>
  <c r="N245" i="14"/>
  <c r="M245" i="14"/>
  <c r="L245" i="14"/>
  <c r="K245" i="14"/>
  <c r="J245" i="14"/>
  <c r="I245" i="14"/>
  <c r="H245" i="14"/>
  <c r="G245" i="14"/>
  <c r="F245" i="14"/>
  <c r="E245" i="14"/>
  <c r="V244" i="14"/>
  <c r="V252" i="14" s="1"/>
  <c r="U244" i="14"/>
  <c r="U252" i="14" s="1"/>
  <c r="T244" i="14"/>
  <c r="T252" i="14" s="1"/>
  <c r="S244" i="14"/>
  <c r="S252" i="14" s="1"/>
  <c r="R244" i="14"/>
  <c r="R252" i="14" s="1"/>
  <c r="Q244" i="14"/>
  <c r="Q252" i="14" s="1"/>
  <c r="P244" i="14"/>
  <c r="P252" i="14" s="1"/>
  <c r="O244" i="14"/>
  <c r="O252" i="14" s="1"/>
  <c r="N244" i="14"/>
  <c r="N252" i="14" s="1"/>
  <c r="M244" i="14"/>
  <c r="M252" i="14" s="1"/>
  <c r="L244" i="14"/>
  <c r="L252" i="14" s="1"/>
  <c r="K244" i="14"/>
  <c r="K252" i="14" s="1"/>
  <c r="J244" i="14"/>
  <c r="J252" i="14" s="1"/>
  <c r="I244" i="14"/>
  <c r="I252" i="14" s="1"/>
  <c r="H244" i="14"/>
  <c r="H252" i="14" s="1"/>
  <c r="G244" i="14"/>
  <c r="G252" i="14" s="1"/>
  <c r="F244" i="14"/>
  <c r="F252" i="14" s="1"/>
  <c r="E244" i="14"/>
  <c r="E252" i="14" s="1"/>
  <c r="D244" i="14"/>
  <c r="D252" i="14" s="1"/>
  <c r="C244" i="14"/>
  <c r="C252" i="14" s="1"/>
  <c r="C245" i="14"/>
  <c r="M694" i="7" l="1"/>
  <c r="M688" i="7"/>
  <c r="R253" i="14"/>
  <c r="J253" i="14"/>
  <c r="M253" i="14"/>
  <c r="N253" i="14"/>
  <c r="G253" i="14"/>
  <c r="S253" i="14"/>
  <c r="P253" i="14"/>
  <c r="I253" i="14"/>
  <c r="Q253" i="14"/>
  <c r="K253" i="14"/>
  <c r="L253" i="14"/>
  <c r="O253" i="14"/>
  <c r="M696" i="7" l="1"/>
  <c r="M698" i="7" s="1"/>
  <c r="C214" i="14"/>
  <c r="D186" i="14"/>
  <c r="E186" i="14"/>
  <c r="F186" i="14"/>
  <c r="G186" i="14"/>
  <c r="H186" i="14"/>
  <c r="I186" i="14"/>
  <c r="J186" i="14"/>
  <c r="K186" i="14"/>
  <c r="L186" i="14"/>
  <c r="M186" i="14"/>
  <c r="N186" i="14"/>
  <c r="O186" i="14"/>
  <c r="P186" i="14"/>
  <c r="Q186" i="14"/>
  <c r="R186" i="14"/>
  <c r="S186" i="14"/>
  <c r="T186" i="14"/>
  <c r="U186" i="14"/>
  <c r="V186" i="14"/>
  <c r="D187" i="14"/>
  <c r="E187" i="14"/>
  <c r="F187" i="14"/>
  <c r="G187" i="14"/>
  <c r="H187" i="14"/>
  <c r="I187" i="14"/>
  <c r="J187" i="14"/>
  <c r="K187" i="14"/>
  <c r="L187" i="14"/>
  <c r="M187" i="14"/>
  <c r="O187" i="14"/>
  <c r="P187" i="14"/>
  <c r="Q187" i="14"/>
  <c r="R187" i="14"/>
  <c r="C187" i="14"/>
  <c r="C186" i="14"/>
  <c r="P188" i="14" l="1"/>
  <c r="E188" i="14"/>
  <c r="R188" i="14"/>
  <c r="J188" i="14"/>
  <c r="H188" i="14"/>
  <c r="F188" i="14"/>
  <c r="L188" i="14"/>
  <c r="Q188" i="14"/>
  <c r="I188" i="14"/>
  <c r="G188" i="14"/>
  <c r="M188" i="14"/>
  <c r="D188" i="14"/>
  <c r="K188" i="14"/>
  <c r="J189" i="14" l="1"/>
  <c r="AE130" i="9" l="1"/>
  <c r="AD130" i="9"/>
  <c r="AC130" i="9"/>
  <c r="AB130" i="9"/>
  <c r="AA130" i="9"/>
  <c r="Z130" i="9"/>
  <c r="Y130" i="9"/>
  <c r="AE122" i="9"/>
  <c r="AD122" i="9"/>
  <c r="AC122" i="9"/>
  <c r="AB122" i="9"/>
  <c r="AA122" i="9"/>
  <c r="Z122" i="9"/>
  <c r="Y122" i="9"/>
  <c r="AE108" i="9"/>
  <c r="AD108" i="9"/>
  <c r="AC108" i="9"/>
  <c r="AB108" i="9"/>
  <c r="AA108" i="9"/>
  <c r="Z108" i="9"/>
  <c r="Y108" i="9"/>
  <c r="AE71" i="9"/>
  <c r="AD71" i="9"/>
  <c r="AC71" i="9"/>
  <c r="AB71" i="9"/>
  <c r="AA71" i="9"/>
  <c r="Z71" i="9"/>
  <c r="Y71" i="9"/>
  <c r="AE17" i="9"/>
  <c r="AD17" i="9"/>
  <c r="AC17" i="9"/>
  <c r="AB17" i="9"/>
  <c r="AA17" i="9"/>
  <c r="Z17" i="9"/>
  <c r="Y17" i="9"/>
  <c r="BG183" i="3" l="1"/>
  <c r="BF183" i="3"/>
  <c r="BE183" i="3"/>
  <c r="BD183" i="3"/>
  <c r="BH183" i="3"/>
  <c r="BH172" i="3"/>
  <c r="P59" i="14"/>
  <c r="P57" i="14"/>
  <c r="BH173" i="3" l="1"/>
  <c r="P33" i="14"/>
  <c r="AG34" i="14"/>
  <c r="DO81" i="3" l="1"/>
  <c r="DO80" i="3"/>
  <c r="DO79" i="3"/>
  <c r="DO77" i="3"/>
  <c r="DO76" i="3"/>
  <c r="U51" i="2"/>
  <c r="N76" i="14"/>
  <c r="M76" i="14"/>
  <c r="L76" i="14"/>
  <c r="K76" i="14"/>
  <c r="J76" i="14"/>
  <c r="I76" i="14"/>
  <c r="H76" i="14"/>
  <c r="G76" i="14"/>
  <c r="O76" i="14"/>
  <c r="K24" i="14"/>
  <c r="L24" i="14" s="1"/>
  <c r="O88" i="14"/>
  <c r="O89" i="14" s="1"/>
  <c r="K88" i="14"/>
  <c r="K59" i="14"/>
  <c r="O33" i="14"/>
  <c r="N33" i="14"/>
  <c r="M33" i="14"/>
  <c r="L33" i="14"/>
  <c r="K33" i="14"/>
  <c r="J33" i="14"/>
  <c r="I33" i="14"/>
  <c r="H33" i="14"/>
  <c r="G33" i="14"/>
  <c r="K46" i="14"/>
  <c r="V51" i="2" l="1"/>
  <c r="U52" i="2"/>
  <c r="M24" i="14"/>
  <c r="AN24" i="14" s="1"/>
  <c r="AM24" i="14"/>
  <c r="B53" i="14"/>
  <c r="D60" i="14"/>
  <c r="D59" i="14"/>
  <c r="E60" i="14"/>
  <c r="E59" i="14"/>
  <c r="F60" i="14"/>
  <c r="F59" i="14"/>
  <c r="F57" i="14"/>
  <c r="G60" i="14"/>
  <c r="G59" i="14"/>
  <c r="G57" i="14"/>
  <c r="H60" i="14"/>
  <c r="H59" i="14"/>
  <c r="H57" i="14"/>
  <c r="I60" i="14"/>
  <c r="I59" i="14"/>
  <c r="J60" i="14"/>
  <c r="J59" i="14"/>
  <c r="O60" i="14"/>
  <c r="N60" i="14"/>
  <c r="M60" i="14"/>
  <c r="L60" i="14"/>
  <c r="K60" i="14"/>
  <c r="O59" i="14"/>
  <c r="N59" i="14"/>
  <c r="M59" i="14"/>
  <c r="L59" i="14"/>
  <c r="FL117" i="3"/>
  <c r="FL140" i="3"/>
  <c r="AL22" i="14"/>
  <c r="O29" i="14"/>
  <c r="AL10" i="14"/>
  <c r="W51" i="2" l="1"/>
  <c r="V52" i="2"/>
  <c r="DO49" i="3"/>
  <c r="DN49" i="3"/>
  <c r="DM49" i="3"/>
  <c r="DL49" i="3"/>
  <c r="DK49" i="3"/>
  <c r="DJ49" i="3"/>
  <c r="DI49" i="3"/>
  <c r="X51" i="2" l="1"/>
  <c r="W52" i="2"/>
  <c r="DO140" i="3"/>
  <c r="DN140" i="3"/>
  <c r="S187" i="14"/>
  <c r="S188" i="14" s="1"/>
  <c r="BH202" i="3"/>
  <c r="G16" i="13" s="1"/>
  <c r="BH184" i="3"/>
  <c r="BH169" i="3"/>
  <c r="BH163" i="3"/>
  <c r="BH129" i="3"/>
  <c r="BH128" i="3"/>
  <c r="BH127" i="3"/>
  <c r="BH125" i="3"/>
  <c r="BH120" i="3"/>
  <c r="DS120" i="3" s="1"/>
  <c r="BH118" i="3"/>
  <c r="G10" i="13" s="1"/>
  <c r="BH88" i="3"/>
  <c r="DS88" i="3" s="1"/>
  <c r="BH73" i="3"/>
  <c r="BH160" i="3" s="1"/>
  <c r="O188" i="13" s="1"/>
  <c r="BH89" i="3"/>
  <c r="BH85" i="3"/>
  <c r="BH84" i="3"/>
  <c r="BH69" i="3"/>
  <c r="BH68" i="3"/>
  <c r="BH67" i="3"/>
  <c r="BH35" i="3"/>
  <c r="BH34" i="3"/>
  <c r="BH33" i="3"/>
  <c r="BH60" i="3"/>
  <c r="BH28" i="3"/>
  <c r="BH27" i="3"/>
  <c r="BH25" i="3"/>
  <c r="BH45" i="3" s="1"/>
  <c r="BH20" i="3"/>
  <c r="BH13" i="3"/>
  <c r="BH9" i="3"/>
  <c r="L670" i="7" s="1"/>
  <c r="L686" i="7" s="1"/>
  <c r="K34" i="14"/>
  <c r="Y51" i="2" l="1"/>
  <c r="X52" i="2"/>
  <c r="O192" i="13"/>
  <c r="DS169" i="3"/>
  <c r="DS68" i="3"/>
  <c r="W31" i="13" s="1"/>
  <c r="DS69" i="3"/>
  <c r="W32" i="13" s="1"/>
  <c r="DS67" i="3"/>
  <c r="W30" i="13" s="1"/>
  <c r="S281" i="14"/>
  <c r="S149" i="13"/>
  <c r="G327" i="14"/>
  <c r="R281" i="14"/>
  <c r="R149" i="13"/>
  <c r="BH44" i="3"/>
  <c r="S62" i="13" s="1"/>
  <c r="S95" i="13" s="1"/>
  <c r="G24" i="13"/>
  <c r="L671" i="7"/>
  <c r="BH43" i="3"/>
  <c r="S61" i="13" s="1"/>
  <c r="S91" i="13" s="1"/>
  <c r="G23" i="13"/>
  <c r="BI90" i="3"/>
  <c r="DS89" i="3"/>
  <c r="BL91" i="3"/>
  <c r="BH149" i="3"/>
  <c r="DS125" i="3"/>
  <c r="BH70" i="3"/>
  <c r="BH130" i="3"/>
  <c r="S75" i="13" s="1"/>
  <c r="AH34" i="14"/>
  <c r="AL34" i="14"/>
  <c r="K98" i="14"/>
  <c r="K57" i="14"/>
  <c r="L34" i="14"/>
  <c r="AM34" i="14" s="1"/>
  <c r="BH208" i="3"/>
  <c r="BH205" i="3"/>
  <c r="BH53" i="3"/>
  <c r="AL37" i="14"/>
  <c r="AL36" i="14"/>
  <c r="AL12" i="14"/>
  <c r="AL33" i="14"/>
  <c r="O35" i="14"/>
  <c r="AP35" i="14" s="1"/>
  <c r="O23" i="14"/>
  <c r="AP23" i="14" s="1"/>
  <c r="S112" i="13"/>
  <c r="S111" i="13"/>
  <c r="S79" i="13"/>
  <c r="S78" i="13"/>
  <c r="S74" i="13"/>
  <c r="S152" i="13" s="1"/>
  <c r="S73" i="13"/>
  <c r="S82" i="13" s="1"/>
  <c r="S66" i="13"/>
  <c r="S63" i="13"/>
  <c r="S58" i="13"/>
  <c r="S99" i="13" s="1"/>
  <c r="S57" i="13"/>
  <c r="S96" i="13" s="1"/>
  <c r="S56" i="13"/>
  <c r="S92" i="13" s="1"/>
  <c r="S53" i="13"/>
  <c r="S52" i="13"/>
  <c r="S50" i="13"/>
  <c r="S49" i="13"/>
  <c r="S48" i="13"/>
  <c r="BK8" i="13"/>
  <c r="BG67" i="3"/>
  <c r="DS149" i="3" l="1"/>
  <c r="Z51" i="2"/>
  <c r="Y52" i="2"/>
  <c r="DS70" i="3"/>
  <c r="L701" i="7"/>
  <c r="L703" i="7" s="1"/>
  <c r="DS53" i="3"/>
  <c r="O13" i="14"/>
  <c r="AP13" i="14" s="1"/>
  <c r="AP11" i="14"/>
  <c r="BH119" i="3"/>
  <c r="BH105" i="3"/>
  <c r="S76" i="13"/>
  <c r="S150" i="13" s="1"/>
  <c r="BH46" i="3"/>
  <c r="S64" i="13" s="1"/>
  <c r="L673" i="7"/>
  <c r="L675" i="7" s="1"/>
  <c r="L687" i="7" s="1"/>
  <c r="BH210" i="3"/>
  <c r="G19" i="13"/>
  <c r="BH71" i="3"/>
  <c r="S51" i="13"/>
  <c r="L57" i="14"/>
  <c r="AI34" i="14"/>
  <c r="O30" i="14"/>
  <c r="O39" i="14"/>
  <c r="AP39" i="14" s="1"/>
  <c r="L98" i="14"/>
  <c r="M34" i="14"/>
  <c r="AN34" i="14" s="1"/>
  <c r="AA51" i="2" l="1"/>
  <c r="Z52" i="2"/>
  <c r="L679" i="7"/>
  <c r="L694" i="7"/>
  <c r="L688" i="7"/>
  <c r="BH82" i="3"/>
  <c r="DS71" i="3"/>
  <c r="BH87" i="3"/>
  <c r="BH57" i="3" s="1"/>
  <c r="O51" i="14"/>
  <c r="O54" i="14"/>
  <c r="O52" i="14"/>
  <c r="O50" i="14"/>
  <c r="O53" i="14"/>
  <c r="M57" i="14"/>
  <c r="M98" i="14"/>
  <c r="N34" i="14"/>
  <c r="AO34" i="14" s="1"/>
  <c r="DS57" i="3" l="1"/>
  <c r="AB51" i="2"/>
  <c r="AA52" i="2"/>
  <c r="O4" i="14"/>
  <c r="AP4" i="14" s="1"/>
  <c r="BH54" i="3"/>
  <c r="L696" i="7"/>
  <c r="L698" i="7" s="1"/>
  <c r="S248" i="14"/>
  <c r="DS87" i="3"/>
  <c r="W83" i="13" s="1"/>
  <c r="BH150" i="3"/>
  <c r="AK34" i="14"/>
  <c r="O57" i="14"/>
  <c r="N57" i="14"/>
  <c r="N98" i="14"/>
  <c r="O98" i="14"/>
  <c r="J88" i="14"/>
  <c r="N88" i="14"/>
  <c r="N89" i="14" s="1"/>
  <c r="C1024" i="7"/>
  <c r="C1023" i="7"/>
  <c r="C1022" i="7"/>
  <c r="Q137" i="2"/>
  <c r="O7" i="14" l="1"/>
  <c r="O19" i="14" s="1"/>
  <c r="AC51" i="2"/>
  <c r="AB52" i="2"/>
  <c r="M8" i="5"/>
  <c r="Q140" i="2"/>
  <c r="Q132" i="2"/>
  <c r="V11" i="1" s="1"/>
  <c r="V51" i="1" s="1"/>
  <c r="Q51" i="2"/>
  <c r="Q35" i="2"/>
  <c r="M22" i="12" s="1"/>
  <c r="Q26" i="2"/>
  <c r="M21" i="12" s="1"/>
  <c r="Q16" i="2"/>
  <c r="M20" i="12" s="1"/>
  <c r="Q7" i="2"/>
  <c r="BC142" i="3"/>
  <c r="BG142" i="3"/>
  <c r="F2242" i="4"/>
  <c r="H2242" i="4" s="1"/>
  <c r="D2242" i="4"/>
  <c r="F125" i="14"/>
  <c r="E125" i="14"/>
  <c r="D125" i="14"/>
  <c r="F124" i="14"/>
  <c r="E124" i="14"/>
  <c r="D124" i="14"/>
  <c r="F123" i="14"/>
  <c r="E123" i="14"/>
  <c r="D123" i="14"/>
  <c r="F121" i="14"/>
  <c r="AK10" i="14"/>
  <c r="AJ10" i="14"/>
  <c r="B124" i="14"/>
  <c r="G125" i="14"/>
  <c r="G124" i="14"/>
  <c r="G123" i="14"/>
  <c r="G121" i="14"/>
  <c r="H125" i="14"/>
  <c r="H124" i="14"/>
  <c r="H123" i="14"/>
  <c r="H121" i="14"/>
  <c r="I125" i="14"/>
  <c r="I124" i="14"/>
  <c r="I123" i="14"/>
  <c r="J125" i="14"/>
  <c r="J124" i="14"/>
  <c r="J123" i="14"/>
  <c r="K125" i="14"/>
  <c r="K124" i="14"/>
  <c r="K123" i="14"/>
  <c r="L125" i="14"/>
  <c r="L124" i="14"/>
  <c r="L123" i="14"/>
  <c r="M125" i="14"/>
  <c r="M124" i="14"/>
  <c r="M123" i="14"/>
  <c r="M121" i="14"/>
  <c r="N125" i="14"/>
  <c r="N124" i="14"/>
  <c r="N123" i="14"/>
  <c r="N121" i="14"/>
  <c r="AK37" i="14"/>
  <c r="AK36" i="14"/>
  <c r="AK33" i="14"/>
  <c r="N35" i="14"/>
  <c r="AO35" i="14" s="1"/>
  <c r="N23" i="14"/>
  <c r="AO23" i="14" s="1"/>
  <c r="DN117" i="3"/>
  <c r="AP7" i="14" l="1"/>
  <c r="R52" i="2"/>
  <c r="AD51" i="2"/>
  <c r="AD52" i="2" s="1"/>
  <c r="AC52" i="2"/>
  <c r="R282" i="14"/>
  <c r="R151" i="13"/>
  <c r="N13" i="14"/>
  <c r="AO11" i="14"/>
  <c r="Q135" i="2"/>
  <c r="O58" i="14"/>
  <c r="N30" i="14"/>
  <c r="N39" i="14"/>
  <c r="AO39" i="14" s="1"/>
  <c r="AO13" i="14" l="1"/>
  <c r="Q136" i="2"/>
  <c r="N54" i="14"/>
  <c r="N52" i="14"/>
  <c r="N53" i="14"/>
  <c r="O61" i="14"/>
  <c r="N50" i="14"/>
  <c r="N51" i="14"/>
  <c r="R112" i="13"/>
  <c r="R111" i="13"/>
  <c r="R79" i="13"/>
  <c r="R78" i="13"/>
  <c r="R73" i="13"/>
  <c r="R82" i="13" s="1"/>
  <c r="DN104" i="3"/>
  <c r="R33" i="13" s="1"/>
  <c r="R66" i="13"/>
  <c r="R58" i="13"/>
  <c r="R99" i="13" s="1"/>
  <c r="R57" i="13"/>
  <c r="R96" i="13" s="1"/>
  <c r="R56" i="13"/>
  <c r="R92" i="13" s="1"/>
  <c r="R52" i="13"/>
  <c r="DN80" i="3"/>
  <c r="DN79" i="3"/>
  <c r="DN77" i="3"/>
  <c r="DN76" i="3"/>
  <c r="DN72" i="3"/>
  <c r="R85" i="13" s="1"/>
  <c r="DN52" i="3"/>
  <c r="R69" i="13" s="1"/>
  <c r="DN51" i="3"/>
  <c r="R68" i="13" s="1"/>
  <c r="DN50" i="3"/>
  <c r="R67" i="13" s="1"/>
  <c r="DN4" i="3"/>
  <c r="R29" i="13" s="1"/>
  <c r="BG81" i="3"/>
  <c r="BG85" i="3" s="1"/>
  <c r="BG127" i="3"/>
  <c r="BG202" i="3"/>
  <c r="F16" i="13" s="1"/>
  <c r="BG184" i="3"/>
  <c r="BG172" i="3"/>
  <c r="BG173" i="3" s="1"/>
  <c r="BG169" i="3"/>
  <c r="BG163" i="3"/>
  <c r="BG129" i="3"/>
  <c r="BG128" i="3"/>
  <c r="BG125" i="3"/>
  <c r="BG149" i="3" s="1"/>
  <c r="BG120" i="3"/>
  <c r="BG118" i="3"/>
  <c r="F10" i="13" s="1"/>
  <c r="BG88" i="3"/>
  <c r="BG73" i="3"/>
  <c r="R76" i="13" s="1"/>
  <c r="R150" i="13" s="1"/>
  <c r="BG84" i="3"/>
  <c r="BG69" i="3"/>
  <c r="BG68" i="3"/>
  <c r="BG35" i="3"/>
  <c r="BG34" i="3"/>
  <c r="BG33" i="3"/>
  <c r="BG60" i="3"/>
  <c r="BG28" i="3"/>
  <c r="BG25" i="3"/>
  <c r="BG45" i="3" s="1"/>
  <c r="R63" i="13" s="1"/>
  <c r="BG20" i="3"/>
  <c r="BG13" i="3"/>
  <c r="BG9" i="3"/>
  <c r="K670" i="7" s="1"/>
  <c r="K686" i="7" s="1"/>
  <c r="N192" i="13" l="1"/>
  <c r="BG43" i="3"/>
  <c r="R61" i="13" s="1"/>
  <c r="R91" i="13" s="1"/>
  <c r="F23" i="13"/>
  <c r="BG44" i="3"/>
  <c r="R62" i="13" s="1"/>
  <c r="R95" i="13" s="1"/>
  <c r="F24" i="13"/>
  <c r="K671" i="7"/>
  <c r="R47" i="13"/>
  <c r="R60" i="13" s="1"/>
  <c r="R90" i="13" s="1"/>
  <c r="R94" i="13" s="1"/>
  <c r="F3" i="13"/>
  <c r="BH185" i="3"/>
  <c r="BH29" i="3"/>
  <c r="R53" i="13"/>
  <c r="R74" i="13"/>
  <c r="R152" i="13" s="1"/>
  <c r="BG130" i="3"/>
  <c r="R75" i="13" s="1"/>
  <c r="R48" i="13"/>
  <c r="R49" i="13"/>
  <c r="R50" i="13"/>
  <c r="DN81" i="3"/>
  <c r="R84" i="13" s="1"/>
  <c r="BG89" i="3"/>
  <c r="BH90" i="3" s="1"/>
  <c r="BG160" i="3"/>
  <c r="BG53" i="3"/>
  <c r="K701" i="7" s="1"/>
  <c r="K703" i="7" s="1"/>
  <c r="BG70" i="3"/>
  <c r="BG205" i="3"/>
  <c r="BG208" i="3"/>
  <c r="F19" i="13" s="1"/>
  <c r="N88" i="15"/>
  <c r="D90" i="15"/>
  <c r="F327" i="14" l="1"/>
  <c r="N188" i="13"/>
  <c r="DR70" i="3"/>
  <c r="BG105" i="3"/>
  <c r="BG46" i="3"/>
  <c r="R64" i="13" s="1"/>
  <c r="R55" i="13"/>
  <c r="BG119" i="3"/>
  <c r="R51" i="13"/>
  <c r="BG210" i="3"/>
  <c r="BG71" i="3"/>
  <c r="W543" i="7"/>
  <c r="S543" i="7"/>
  <c r="V543" i="7"/>
  <c r="U543" i="7"/>
  <c r="T543" i="7"/>
  <c r="C104" i="15"/>
  <c r="D88" i="15"/>
  <c r="N85" i="15"/>
  <c r="D85" i="15" s="1"/>
  <c r="D68" i="15"/>
  <c r="N89" i="15"/>
  <c r="D89" i="15" s="1"/>
  <c r="S51" i="15"/>
  <c r="S53" i="15" s="1"/>
  <c r="E40" i="15"/>
  <c r="F40" i="15" s="1"/>
  <c r="E39" i="15"/>
  <c r="F39" i="15" s="1"/>
  <c r="G39" i="15" s="1"/>
  <c r="H39" i="15" s="1"/>
  <c r="I39" i="15" s="1"/>
  <c r="J39" i="15" s="1"/>
  <c r="K39" i="15" s="1"/>
  <c r="L39" i="15" s="1"/>
  <c r="F30" i="15"/>
  <c r="G29" i="15"/>
  <c r="H29" i="15" s="1"/>
  <c r="I29" i="15" s="1"/>
  <c r="J29" i="15" s="1"/>
  <c r="K29" i="15" s="1"/>
  <c r="L29" i="15" s="1"/>
  <c r="E18" i="15"/>
  <c r="D18" i="15"/>
  <c r="B18" i="15"/>
  <c r="B11" i="15"/>
  <c r="G10" i="15"/>
  <c r="F10" i="15"/>
  <c r="E10" i="15"/>
  <c r="D10" i="15"/>
  <c r="B10" i="15"/>
  <c r="E3" i="15"/>
  <c r="D3" i="15"/>
  <c r="E2" i="15"/>
  <c r="D2" i="15"/>
  <c r="BE174" i="3" l="1"/>
  <c r="Z193" i="9"/>
  <c r="E47" i="15"/>
  <c r="E23" i="15"/>
  <c r="D47" i="15"/>
  <c r="D23" i="15"/>
  <c r="BG87" i="3"/>
  <c r="BG57" i="3" s="1"/>
  <c r="BG82" i="3"/>
  <c r="D59" i="15"/>
  <c r="S54" i="15" s="1"/>
  <c r="N91" i="15"/>
  <c r="D91" i="15" s="1"/>
  <c r="E4" i="15"/>
  <c r="F3" i="15"/>
  <c r="S52" i="15"/>
  <c r="G40" i="15"/>
  <c r="G30" i="15"/>
  <c r="H30" i="15" s="1"/>
  <c r="I30" i="15" s="1"/>
  <c r="J30" i="15" s="1"/>
  <c r="K30" i="15" s="1"/>
  <c r="L30" i="15" s="1"/>
  <c r="F31" i="15"/>
  <c r="E31" i="15"/>
  <c r="R53" i="15"/>
  <c r="T53" i="15" s="1"/>
  <c r="R51" i="15"/>
  <c r="R52" i="15" s="1"/>
  <c r="N4" i="14" l="1"/>
  <c r="N7" i="14" s="1"/>
  <c r="N19" i="14" s="1"/>
  <c r="BG54" i="3"/>
  <c r="R248" i="14"/>
  <c r="BG150" i="3"/>
  <c r="S55" i="15"/>
  <c r="G31" i="15"/>
  <c r="H40" i="15"/>
  <c r="H31" i="15"/>
  <c r="I31" i="15" l="1"/>
  <c r="I40" i="15"/>
  <c r="J31" i="15" l="1"/>
  <c r="J40" i="15"/>
  <c r="K40" i="15" l="1"/>
  <c r="K31" i="15"/>
  <c r="L40" i="15" l="1"/>
  <c r="L31" i="15"/>
  <c r="T546" i="7" l="1"/>
  <c r="S544" i="7"/>
  <c r="T513" i="7"/>
  <c r="F31" i="14" l="1"/>
  <c r="E31" i="14"/>
  <c r="D31" i="14"/>
  <c r="C31" i="14"/>
  <c r="H29" i="14"/>
  <c r="G29" i="14"/>
  <c r="AJ37" i="14"/>
  <c r="AI37" i="14"/>
  <c r="AH37" i="14"/>
  <c r="AG37" i="14"/>
  <c r="AF37" i="14"/>
  <c r="AE37" i="14"/>
  <c r="AD37" i="14"/>
  <c r="AJ36" i="14"/>
  <c r="AI36" i="14"/>
  <c r="AH36" i="14"/>
  <c r="AG36" i="14"/>
  <c r="AF36" i="14"/>
  <c r="AE36" i="14"/>
  <c r="AD36" i="14"/>
  <c r="M35" i="14"/>
  <c r="AN35" i="14" s="1"/>
  <c r="L35" i="14"/>
  <c r="K35" i="14"/>
  <c r="I35" i="14"/>
  <c r="H35" i="14"/>
  <c r="G35" i="14"/>
  <c r="F35" i="14"/>
  <c r="E35" i="14"/>
  <c r="D35" i="14"/>
  <c r="C35" i="14"/>
  <c r="D34" i="14"/>
  <c r="C34" i="14"/>
  <c r="BD55" i="14"/>
  <c r="BC55" i="14"/>
  <c r="BD54" i="14"/>
  <c r="G24" i="14"/>
  <c r="G31" i="14" s="1"/>
  <c r="M23" i="14"/>
  <c r="AN23" i="14" s="1"/>
  <c r="L23" i="14"/>
  <c r="AM23" i="14" s="1"/>
  <c r="K23" i="14"/>
  <c r="AL23" i="14" s="1"/>
  <c r="I23" i="14"/>
  <c r="H23" i="14"/>
  <c r="G23" i="14"/>
  <c r="F23" i="14"/>
  <c r="E23" i="14"/>
  <c r="D23" i="14"/>
  <c r="C23" i="14"/>
  <c r="AE22" i="14"/>
  <c r="AD22" i="14"/>
  <c r="F22" i="14"/>
  <c r="F29" i="14" s="1"/>
  <c r="E22" i="14"/>
  <c r="E29" i="14" s="1"/>
  <c r="AG12" i="14"/>
  <c r="AF12" i="14"/>
  <c r="AE12" i="14"/>
  <c r="AD12" i="14"/>
  <c r="B18" i="14"/>
  <c r="M13" i="14"/>
  <c r="I13" i="14"/>
  <c r="G13" i="14"/>
  <c r="F13" i="14"/>
  <c r="E13" i="14"/>
  <c r="C13" i="14"/>
  <c r="B23" i="14"/>
  <c r="B51" i="14" s="1"/>
  <c r="AH10" i="14"/>
  <c r="AG10" i="14"/>
  <c r="AF10" i="14"/>
  <c r="AD10" i="14"/>
  <c r="H10" i="14"/>
  <c r="H16" i="14" s="1"/>
  <c r="D10" i="14"/>
  <c r="B16" i="14"/>
  <c r="AG6" i="14"/>
  <c r="AF6" i="14"/>
  <c r="AE6" i="14"/>
  <c r="AD6" i="14"/>
  <c r="AG5" i="14"/>
  <c r="AF5" i="14"/>
  <c r="AE5" i="14"/>
  <c r="AD5" i="14"/>
  <c r="AG3" i="14"/>
  <c r="AF3" i="14"/>
  <c r="AE3" i="14"/>
  <c r="AD3" i="14"/>
  <c r="AJ33" i="14"/>
  <c r="AI33" i="14"/>
  <c r="AH33" i="14"/>
  <c r="AG2" i="14"/>
  <c r="AG33" i="14" s="1"/>
  <c r="AF2" i="14"/>
  <c r="AF33" i="14" s="1"/>
  <c r="AE2" i="14"/>
  <c r="AE33" i="14" s="1"/>
  <c r="AD2" i="14"/>
  <c r="AD33" i="14" s="1"/>
  <c r="AJ13" i="14" l="1"/>
  <c r="AD13" i="14"/>
  <c r="AF13" i="14"/>
  <c r="D13" i="14"/>
  <c r="D16" i="14"/>
  <c r="L13" i="14"/>
  <c r="AM11" i="14"/>
  <c r="H13" i="14"/>
  <c r="AK11" i="14"/>
  <c r="J13" i="14"/>
  <c r="AL11" i="14"/>
  <c r="K13" i="14"/>
  <c r="AH13" i="14" s="1"/>
  <c r="J89" i="14"/>
  <c r="K89" i="14"/>
  <c r="D58" i="14"/>
  <c r="E58" i="14"/>
  <c r="E30" i="14"/>
  <c r="E57" i="14"/>
  <c r="D57" i="14"/>
  <c r="I57" i="14"/>
  <c r="J57" i="14"/>
  <c r="AJ34" i="14"/>
  <c r="L58" i="14"/>
  <c r="F58" i="14"/>
  <c r="G58" i="14"/>
  <c r="I58" i="14"/>
  <c r="AD34" i="14"/>
  <c r="H58" i="14"/>
  <c r="AL35" i="14"/>
  <c r="M58" i="14"/>
  <c r="N58" i="14"/>
  <c r="D122" i="14"/>
  <c r="M39" i="14"/>
  <c r="AN39" i="14" s="1"/>
  <c r="M122" i="14"/>
  <c r="N122" i="14"/>
  <c r="BD53" i="14"/>
  <c r="I122" i="14"/>
  <c r="I121" i="14"/>
  <c r="J121" i="14"/>
  <c r="L122" i="14"/>
  <c r="E39" i="14"/>
  <c r="E122" i="14"/>
  <c r="D29" i="14"/>
  <c r="E121" i="14"/>
  <c r="D121" i="14"/>
  <c r="F39" i="14"/>
  <c r="F54" i="14" s="1"/>
  <c r="F122" i="14"/>
  <c r="G39" i="14"/>
  <c r="G122" i="14"/>
  <c r="AI10" i="14"/>
  <c r="H39" i="14"/>
  <c r="H122" i="14"/>
  <c r="I39" i="14"/>
  <c r="I30" i="14"/>
  <c r="AE10" i="14"/>
  <c r="AE11" i="14"/>
  <c r="BC52" i="14"/>
  <c r="D30" i="14"/>
  <c r="C29" i="14"/>
  <c r="B22" i="14"/>
  <c r="B50" i="14" s="1"/>
  <c r="AF22" i="14"/>
  <c r="AJ23" i="14"/>
  <c r="AF23" i="14"/>
  <c r="B24" i="14"/>
  <c r="B52" i="14" s="1"/>
  <c r="B17" i="14"/>
  <c r="AE23" i="14"/>
  <c r="AD24" i="14"/>
  <c r="C30" i="14"/>
  <c r="L30" i="14"/>
  <c r="AH23" i="14"/>
  <c r="AI23" i="14"/>
  <c r="K30" i="14"/>
  <c r="M30" i="14"/>
  <c r="AI11" i="14"/>
  <c r="AG11" i="14"/>
  <c r="BC53" i="14"/>
  <c r="AD35" i="14"/>
  <c r="C39" i="14"/>
  <c r="C51" i="14" s="1"/>
  <c r="AD23" i="14"/>
  <c r="AF11" i="14"/>
  <c r="AJ11" i="14"/>
  <c r="AJ35" i="14"/>
  <c r="BB53" i="14"/>
  <c r="B35" i="14"/>
  <c r="B58" i="14" s="1"/>
  <c r="J29" i="14"/>
  <c r="AG22" i="14"/>
  <c r="L39" i="14"/>
  <c r="L54" i="14" s="1"/>
  <c r="F30" i="14"/>
  <c r="G30" i="14"/>
  <c r="AH11" i="14"/>
  <c r="AE35" i="14"/>
  <c r="H30" i="14"/>
  <c r="H24" i="14"/>
  <c r="AE34" i="14"/>
  <c r="AF35" i="14"/>
  <c r="AF34" i="14"/>
  <c r="D39" i="14"/>
  <c r="D54" i="14" s="1"/>
  <c r="I29" i="14"/>
  <c r="BD52" i="14"/>
  <c r="AH35" i="14"/>
  <c r="AD11" i="14"/>
  <c r="AI35" i="14"/>
  <c r="G595" i="7"/>
  <c r="F2" i="15" s="1"/>
  <c r="U525" i="7"/>
  <c r="AI13" i="14" l="1"/>
  <c r="AG13" i="14"/>
  <c r="AK13" i="14"/>
  <c r="AE13" i="14"/>
  <c r="AM13" i="14"/>
  <c r="F47" i="15"/>
  <c r="F23" i="15"/>
  <c r="AL13" i="14"/>
  <c r="M54" i="14"/>
  <c r="G54" i="14"/>
  <c r="H54" i="14"/>
  <c r="E51" i="14"/>
  <c r="E54" i="14"/>
  <c r="C53" i="14"/>
  <c r="C54" i="14"/>
  <c r="I51" i="14"/>
  <c r="I54" i="14"/>
  <c r="L51" i="14"/>
  <c r="M61" i="14"/>
  <c r="M53" i="14"/>
  <c r="M52" i="14"/>
  <c r="M50" i="14"/>
  <c r="N61" i="14"/>
  <c r="I52" i="14"/>
  <c r="I53" i="14"/>
  <c r="I61" i="14"/>
  <c r="F52" i="14"/>
  <c r="F61" i="14"/>
  <c r="F50" i="14"/>
  <c r="F53" i="14"/>
  <c r="D53" i="14"/>
  <c r="D61" i="14"/>
  <c r="D52" i="14"/>
  <c r="G52" i="14"/>
  <c r="G61" i="14"/>
  <c r="G50" i="14"/>
  <c r="G53" i="14"/>
  <c r="I50" i="14"/>
  <c r="M51" i="14"/>
  <c r="C52" i="14"/>
  <c r="H61" i="14"/>
  <c r="H52" i="14"/>
  <c r="H50" i="14"/>
  <c r="H53" i="14"/>
  <c r="H51" i="14"/>
  <c r="G51" i="14"/>
  <c r="L53" i="14"/>
  <c r="L52" i="14"/>
  <c r="L50" i="14"/>
  <c r="D51" i="14"/>
  <c r="E52" i="14"/>
  <c r="E53" i="14"/>
  <c r="E61" i="14"/>
  <c r="E50" i="14"/>
  <c r="C50" i="14"/>
  <c r="F51" i="14"/>
  <c r="D50" i="14"/>
  <c r="F126" i="14"/>
  <c r="AD39" i="14"/>
  <c r="H126" i="14"/>
  <c r="I126" i="14"/>
  <c r="AJ39" i="14"/>
  <c r="AF39" i="14"/>
  <c r="AE39" i="14"/>
  <c r="D126" i="14"/>
  <c r="G126" i="14"/>
  <c r="E126" i="14"/>
  <c r="M126" i="14"/>
  <c r="N126" i="14"/>
  <c r="AI39" i="14"/>
  <c r="B30" i="14"/>
  <c r="B122" i="14"/>
  <c r="BB54" i="14"/>
  <c r="B36" i="14"/>
  <c r="B59" i="14" s="1"/>
  <c r="B34" i="14"/>
  <c r="BB52" i="14"/>
  <c r="H595" i="7"/>
  <c r="G2" i="15" s="1"/>
  <c r="U529" i="7"/>
  <c r="H31" i="14"/>
  <c r="I24" i="14"/>
  <c r="AE24" i="14"/>
  <c r="AH22" i="14"/>
  <c r="G47" i="15" l="1"/>
  <c r="G23" i="15"/>
  <c r="B29" i="14"/>
  <c r="B57" i="14"/>
  <c r="B31" i="14"/>
  <c r="B123" i="14"/>
  <c r="K39" i="14"/>
  <c r="L121" i="14"/>
  <c r="K121" i="14"/>
  <c r="I595" i="7"/>
  <c r="H2" i="15" s="1"/>
  <c r="H23" i="15" s="1"/>
  <c r="U551" i="7"/>
  <c r="U546" i="7"/>
  <c r="BC54" i="14"/>
  <c r="I31" i="14"/>
  <c r="AF24" i="14"/>
  <c r="AI22" i="14"/>
  <c r="L29" i="14"/>
  <c r="K54" i="14" l="1"/>
  <c r="K53" i="14"/>
  <c r="K52" i="14"/>
  <c r="K50" i="14"/>
  <c r="K51" i="14"/>
  <c r="L61" i="14"/>
  <c r="AL39" i="14"/>
  <c r="AH39" i="14"/>
  <c r="L126" i="14"/>
  <c r="N29" i="14"/>
  <c r="AK22" i="14"/>
  <c r="I2" i="15"/>
  <c r="I23" i="15" s="1"/>
  <c r="H47" i="15"/>
  <c r="M29" i="14"/>
  <c r="AJ22" i="14"/>
  <c r="J31" i="14"/>
  <c r="AG24" i="14"/>
  <c r="BE120" i="3"/>
  <c r="BD120" i="3"/>
  <c r="BC120" i="3"/>
  <c r="DN120" i="3" s="1"/>
  <c r="BB120" i="3"/>
  <c r="BA120" i="3"/>
  <c r="AZ120" i="3"/>
  <c r="AY120" i="3"/>
  <c r="AX120" i="3"/>
  <c r="AW120" i="3"/>
  <c r="AV120" i="3"/>
  <c r="BF120" i="3"/>
  <c r="DH120" i="3" l="1"/>
  <c r="DM120" i="3"/>
  <c r="DL120" i="3"/>
  <c r="DJ120" i="3"/>
  <c r="DK120" i="3"/>
  <c r="DG120" i="3"/>
  <c r="DI120" i="3"/>
  <c r="J2" i="15"/>
  <c r="J23" i="15" s="1"/>
  <c r="I47" i="15"/>
  <c r="AH24" i="14"/>
  <c r="K31" i="14"/>
  <c r="DQ52" i="3"/>
  <c r="U69" i="13" s="1"/>
  <c r="DQ51" i="3"/>
  <c r="U68" i="13" s="1"/>
  <c r="DQ50" i="3"/>
  <c r="U67" i="13" s="1"/>
  <c r="DQ4" i="3"/>
  <c r="U29" i="13" s="1"/>
  <c r="Q112" i="13"/>
  <c r="P112" i="13"/>
  <c r="O112" i="13"/>
  <c r="N112" i="13"/>
  <c r="M112" i="13"/>
  <c r="L112" i="13"/>
  <c r="K112" i="13"/>
  <c r="J112" i="13"/>
  <c r="I112" i="13"/>
  <c r="H112" i="13"/>
  <c r="G112" i="13"/>
  <c r="F112" i="13"/>
  <c r="E112" i="13"/>
  <c r="D112" i="13"/>
  <c r="Q111" i="13"/>
  <c r="P111" i="13"/>
  <c r="O111" i="13"/>
  <c r="N111" i="13"/>
  <c r="M111" i="13"/>
  <c r="L111" i="13"/>
  <c r="K111" i="13"/>
  <c r="J111" i="13"/>
  <c r="I111" i="13"/>
  <c r="H111" i="13"/>
  <c r="G111" i="13"/>
  <c r="F111" i="13"/>
  <c r="E111" i="13"/>
  <c r="D111" i="13"/>
  <c r="C111" i="13"/>
  <c r="C112" i="13"/>
  <c r="U47" i="13" l="1"/>
  <c r="U60" i="13" s="1"/>
  <c r="U90" i="13" s="1"/>
  <c r="U94" i="13" s="1"/>
  <c r="I3" i="13"/>
  <c r="K2" i="15"/>
  <c r="K23" i="15" s="1"/>
  <c r="J47" i="15"/>
  <c r="AI24" i="14"/>
  <c r="L31" i="14"/>
  <c r="Q66" i="13"/>
  <c r="Q58" i="13"/>
  <c r="Q99" i="13" s="1"/>
  <c r="Q57" i="13"/>
  <c r="Q96" i="13" s="1"/>
  <c r="Q56" i="13"/>
  <c r="Q92" i="13" s="1"/>
  <c r="Q52" i="13"/>
  <c r="Q79" i="13"/>
  <c r="Q78" i="13"/>
  <c r="Q73" i="13"/>
  <c r="Q82" i="13" s="1"/>
  <c r="DM140" i="3"/>
  <c r="DM117" i="3"/>
  <c r="DM104" i="3"/>
  <c r="Q33" i="13" s="1"/>
  <c r="DM81" i="3"/>
  <c r="Q84" i="13" s="1"/>
  <c r="DM80" i="3"/>
  <c r="DM79" i="3"/>
  <c r="DM77" i="3"/>
  <c r="DM76" i="3"/>
  <c r="DM72" i="3"/>
  <c r="Q85" i="13" s="1"/>
  <c r="DM52" i="3"/>
  <c r="Q69" i="13" s="1"/>
  <c r="DM51" i="3"/>
  <c r="Q68" i="13" s="1"/>
  <c r="DM50" i="3"/>
  <c r="Q67" i="13" s="1"/>
  <c r="DM24" i="3"/>
  <c r="DM19" i="3"/>
  <c r="DM12" i="3"/>
  <c r="DM8" i="3"/>
  <c r="DM4" i="3"/>
  <c r="Q29" i="13" s="1"/>
  <c r="BF202" i="3"/>
  <c r="E16" i="13" s="1"/>
  <c r="BF184" i="3"/>
  <c r="BF172" i="3"/>
  <c r="BF173" i="3" s="1"/>
  <c r="BF169" i="3"/>
  <c r="BF163" i="3"/>
  <c r="BF129" i="3"/>
  <c r="BF128" i="3"/>
  <c r="BF127" i="3"/>
  <c r="BF125" i="3"/>
  <c r="BF149" i="3" s="1"/>
  <c r="BF118" i="3"/>
  <c r="E10" i="13" s="1"/>
  <c r="BF88" i="3"/>
  <c r="BF73" i="3"/>
  <c r="BF160" i="3" s="1"/>
  <c r="BF89" i="3"/>
  <c r="BG90" i="3" s="1"/>
  <c r="BF85" i="3"/>
  <c r="BF84" i="3"/>
  <c r="BF69" i="3"/>
  <c r="BF68" i="3"/>
  <c r="BF67" i="3"/>
  <c r="BF35" i="3"/>
  <c r="BF34" i="3"/>
  <c r="Q53" i="13" s="1"/>
  <c r="BF33" i="3"/>
  <c r="BF60" i="3"/>
  <c r="BF28" i="3"/>
  <c r="BF27" i="3"/>
  <c r="BF25" i="3"/>
  <c r="Q50" i="13" s="1"/>
  <c r="BF20" i="3"/>
  <c r="BF13" i="3"/>
  <c r="BF9" i="3"/>
  <c r="J670" i="7" s="1"/>
  <c r="J686" i="7" s="1"/>
  <c r="E327" i="14" l="1"/>
  <c r="M188" i="13"/>
  <c r="M192" i="13"/>
  <c r="Q282" i="14"/>
  <c r="Q151" i="13"/>
  <c r="Q281" i="14"/>
  <c r="Q149" i="13"/>
  <c r="BF43" i="3"/>
  <c r="Q61" i="13" s="1"/>
  <c r="Q91" i="13" s="1"/>
  <c r="E23" i="13"/>
  <c r="BF44" i="3"/>
  <c r="Q62" i="13" s="1"/>
  <c r="Q95" i="13" s="1"/>
  <c r="E24" i="13"/>
  <c r="J671" i="7"/>
  <c r="U55" i="13"/>
  <c r="Q47" i="13"/>
  <c r="Q60" i="13" s="1"/>
  <c r="Q90" i="13" s="1"/>
  <c r="Q94" i="13" s="1"/>
  <c r="E3" i="13"/>
  <c r="BG29" i="3"/>
  <c r="BG185" i="3"/>
  <c r="FP149" i="3"/>
  <c r="O31" i="14"/>
  <c r="AL24" i="14"/>
  <c r="N31" i="14"/>
  <c r="AK24" i="14"/>
  <c r="BF53" i="3"/>
  <c r="J701" i="7" s="1"/>
  <c r="J703" i="7" s="1"/>
  <c r="L2" i="15"/>
  <c r="K47" i="15"/>
  <c r="AJ24" i="14"/>
  <c r="M31" i="14"/>
  <c r="BF130" i="3"/>
  <c r="Q75" i="13" s="1"/>
  <c r="Q76" i="13"/>
  <c r="Q150" i="13" s="1"/>
  <c r="Q74" i="13"/>
  <c r="Q152" i="13" s="1"/>
  <c r="BF45" i="3"/>
  <c r="Q63" i="13" s="1"/>
  <c r="Q48" i="13"/>
  <c r="BF70" i="3"/>
  <c r="Q49" i="13"/>
  <c r="BF205" i="3"/>
  <c r="BF208" i="3"/>
  <c r="E19" i="13" s="1"/>
  <c r="BF105" i="3" l="1"/>
  <c r="Q55" i="13"/>
  <c r="J673" i="7"/>
  <c r="J675" i="7" s="1"/>
  <c r="J687" i="7" s="1"/>
  <c r="L47" i="15"/>
  <c r="L23" i="15"/>
  <c r="BF71" i="3"/>
  <c r="BF82" i="3" s="1"/>
  <c r="BF46" i="3"/>
  <c r="Q64" i="13" s="1"/>
  <c r="Q51" i="13"/>
  <c r="BF210" i="3"/>
  <c r="BF119" i="3"/>
  <c r="L980" i="7"/>
  <c r="T980" i="7" s="1"/>
  <c r="E980" i="7"/>
  <c r="M980" i="7" s="1"/>
  <c r="U980" i="7" s="1"/>
  <c r="J679" i="7" l="1"/>
  <c r="BF87" i="3"/>
  <c r="F980" i="7"/>
  <c r="DP52" i="3"/>
  <c r="T69" i="13" s="1"/>
  <c r="DP51" i="3"/>
  <c r="T68" i="13" s="1"/>
  <c r="DP50" i="3"/>
  <c r="T67" i="13" s="1"/>
  <c r="DP4" i="3"/>
  <c r="T29" i="13" s="1"/>
  <c r="BF54" i="3" l="1"/>
  <c r="BF57" i="3"/>
  <c r="Q248" i="14"/>
  <c r="M4" i="14"/>
  <c r="J694" i="7"/>
  <c r="J688" i="7"/>
  <c r="T47" i="13"/>
  <c r="T55" i="13" s="1"/>
  <c r="H3" i="13"/>
  <c r="BF150" i="3"/>
  <c r="G980" i="7"/>
  <c r="N980" i="7"/>
  <c r="V980" i="7" s="1"/>
  <c r="BE88" i="3"/>
  <c r="BE184" i="3"/>
  <c r="BE172" i="3"/>
  <c r="BE173" i="3" s="1"/>
  <c r="BE169" i="3"/>
  <c r="BE163" i="3"/>
  <c r="BE129" i="3"/>
  <c r="BE128" i="3"/>
  <c r="BE127" i="3"/>
  <c r="BE125" i="3"/>
  <c r="BE149" i="3" s="1"/>
  <c r="BE118" i="3"/>
  <c r="D10" i="13" s="1"/>
  <c r="BE73" i="3"/>
  <c r="P76" i="13" s="1"/>
  <c r="P150" i="13" s="1"/>
  <c r="BE89" i="3"/>
  <c r="BE85" i="3"/>
  <c r="BE84" i="3"/>
  <c r="BE69" i="3"/>
  <c r="BE68" i="3"/>
  <c r="BE67" i="3"/>
  <c r="BE35" i="3"/>
  <c r="BE34" i="3"/>
  <c r="BE33" i="3"/>
  <c r="BE60" i="3"/>
  <c r="BE28" i="3"/>
  <c r="BE9" i="3"/>
  <c r="I670" i="7" s="1"/>
  <c r="I686" i="7" s="1"/>
  <c r="BE13" i="3"/>
  <c r="BE20" i="3"/>
  <c r="BE25" i="3"/>
  <c r="BE45" i="3" s="1"/>
  <c r="P63" i="13" s="1"/>
  <c r="BE27" i="3"/>
  <c r="AL64" i="13"/>
  <c r="M480" i="7"/>
  <c r="M479" i="7"/>
  <c r="P66" i="13"/>
  <c r="P58" i="13"/>
  <c r="P99" i="13" s="1"/>
  <c r="P57" i="13"/>
  <c r="P96" i="13" s="1"/>
  <c r="P56" i="13"/>
  <c r="P92" i="13" s="1"/>
  <c r="P52" i="13"/>
  <c r="P79" i="13"/>
  <c r="P78" i="13"/>
  <c r="P73" i="13"/>
  <c r="P82" i="13" s="1"/>
  <c r="O73" i="13"/>
  <c r="O82" i="13" s="1"/>
  <c r="O78" i="13"/>
  <c r="O79" i="13"/>
  <c r="N79" i="13"/>
  <c r="M79" i="13"/>
  <c r="L79" i="13"/>
  <c r="K79" i="13"/>
  <c r="J79" i="13"/>
  <c r="I79" i="13"/>
  <c r="H79" i="13"/>
  <c r="G79" i="13"/>
  <c r="N78" i="13"/>
  <c r="M78" i="13"/>
  <c r="L78" i="13"/>
  <c r="K78" i="13"/>
  <c r="J78" i="13"/>
  <c r="I78" i="13"/>
  <c r="H78" i="13"/>
  <c r="G78" i="13"/>
  <c r="N73" i="13"/>
  <c r="N82" i="13" s="1"/>
  <c r="M73" i="13"/>
  <c r="M82" i="13" s="1"/>
  <c r="L73" i="13"/>
  <c r="L82" i="13" s="1"/>
  <c r="K73" i="13"/>
  <c r="K82" i="13" s="1"/>
  <c r="J73" i="13"/>
  <c r="J82" i="13" s="1"/>
  <c r="I73" i="13"/>
  <c r="I82" i="13" s="1"/>
  <c r="H73" i="13"/>
  <c r="H82" i="13" s="1"/>
  <c r="G73" i="13"/>
  <c r="G82" i="13" s="1"/>
  <c r="F79" i="13"/>
  <c r="E79" i="13"/>
  <c r="D79" i="13"/>
  <c r="C79" i="13"/>
  <c r="F78" i="13"/>
  <c r="E78" i="13"/>
  <c r="D78" i="13"/>
  <c r="C78" i="13"/>
  <c r="F73" i="13"/>
  <c r="F82" i="13" s="1"/>
  <c r="E73" i="13"/>
  <c r="E82" i="13" s="1"/>
  <c r="D73" i="13"/>
  <c r="D82" i="13" s="1"/>
  <c r="C73" i="13"/>
  <c r="C82" i="13" s="1"/>
  <c r="B69" i="13"/>
  <c r="B68" i="13"/>
  <c r="B67" i="13"/>
  <c r="O66" i="13"/>
  <c r="N66" i="13"/>
  <c r="M66" i="13"/>
  <c r="L66" i="13"/>
  <c r="K66" i="13"/>
  <c r="J66" i="13"/>
  <c r="I66" i="13"/>
  <c r="H66" i="13"/>
  <c r="G66" i="13"/>
  <c r="F66" i="13"/>
  <c r="E66" i="13"/>
  <c r="D66" i="13"/>
  <c r="C66" i="13"/>
  <c r="O58" i="13"/>
  <c r="O99" i="13" s="1"/>
  <c r="N58" i="13"/>
  <c r="N99" i="13" s="1"/>
  <c r="M58" i="13"/>
  <c r="M99" i="13" s="1"/>
  <c r="L58" i="13"/>
  <c r="L99" i="13" s="1"/>
  <c r="K58" i="13"/>
  <c r="K99" i="13" s="1"/>
  <c r="J58" i="13"/>
  <c r="J99" i="13" s="1"/>
  <c r="I58" i="13"/>
  <c r="I99" i="13" s="1"/>
  <c r="H58" i="13"/>
  <c r="H99" i="13" s="1"/>
  <c r="G58" i="13"/>
  <c r="G99" i="13" s="1"/>
  <c r="F58" i="13"/>
  <c r="F99" i="13" s="1"/>
  <c r="E58" i="13"/>
  <c r="E99" i="13" s="1"/>
  <c r="D58" i="13"/>
  <c r="D99" i="13" s="1"/>
  <c r="C58" i="13"/>
  <c r="C99" i="13" s="1"/>
  <c r="B58" i="13"/>
  <c r="O57" i="13"/>
  <c r="O96" i="13" s="1"/>
  <c r="N57" i="13"/>
  <c r="N96" i="13" s="1"/>
  <c r="M57" i="13"/>
  <c r="M96" i="13" s="1"/>
  <c r="L57" i="13"/>
  <c r="L96" i="13" s="1"/>
  <c r="K57" i="13"/>
  <c r="K96" i="13" s="1"/>
  <c r="J57" i="13"/>
  <c r="J96" i="13" s="1"/>
  <c r="I57" i="13"/>
  <c r="I96" i="13" s="1"/>
  <c r="H57" i="13"/>
  <c r="H96" i="13" s="1"/>
  <c r="G57" i="13"/>
  <c r="G96" i="13" s="1"/>
  <c r="F57" i="13"/>
  <c r="F96" i="13" s="1"/>
  <c r="E57" i="13"/>
  <c r="E96" i="13" s="1"/>
  <c r="D57" i="13"/>
  <c r="D96" i="13" s="1"/>
  <c r="C57" i="13"/>
  <c r="C96" i="13" s="1"/>
  <c r="B57" i="13"/>
  <c r="O56" i="13"/>
  <c r="O92" i="13" s="1"/>
  <c r="N56" i="13"/>
  <c r="N92" i="13" s="1"/>
  <c r="M56" i="13"/>
  <c r="M92" i="13" s="1"/>
  <c r="L56" i="13"/>
  <c r="L92" i="13" s="1"/>
  <c r="K56" i="13"/>
  <c r="K92" i="13" s="1"/>
  <c r="J56" i="13"/>
  <c r="J92" i="13" s="1"/>
  <c r="I56" i="13"/>
  <c r="I92" i="13" s="1"/>
  <c r="H56" i="13"/>
  <c r="H92" i="13" s="1"/>
  <c r="G56" i="13"/>
  <c r="G92" i="13" s="1"/>
  <c r="F56" i="13"/>
  <c r="F92" i="13" s="1"/>
  <c r="E56" i="13"/>
  <c r="E92" i="13" s="1"/>
  <c r="D56" i="13"/>
  <c r="D92" i="13" s="1"/>
  <c r="C56" i="13"/>
  <c r="C92" i="13" s="1"/>
  <c r="B56" i="13"/>
  <c r="O52" i="13"/>
  <c r="N52" i="13"/>
  <c r="M52" i="13"/>
  <c r="L52" i="13"/>
  <c r="K52" i="13"/>
  <c r="J52" i="13"/>
  <c r="I52" i="13"/>
  <c r="H52" i="13"/>
  <c r="G52" i="13"/>
  <c r="F52" i="13"/>
  <c r="E52" i="13"/>
  <c r="D52" i="13"/>
  <c r="C52" i="13"/>
  <c r="B43" i="13"/>
  <c r="B42" i="13"/>
  <c r="B41" i="13"/>
  <c r="B40" i="13"/>
  <c r="M7" i="14" l="1"/>
  <c r="L192" i="13"/>
  <c r="J696" i="7"/>
  <c r="J698" i="7" s="1"/>
  <c r="BE44" i="3"/>
  <c r="P62" i="13" s="1"/>
  <c r="P95" i="13" s="1"/>
  <c r="I671" i="7"/>
  <c r="D24" i="13"/>
  <c r="P48" i="13"/>
  <c r="D23" i="13"/>
  <c r="T60" i="13"/>
  <c r="T90" i="13" s="1"/>
  <c r="T94" i="13" s="1"/>
  <c r="BF185" i="3"/>
  <c r="BF90" i="3"/>
  <c r="BI91" i="3"/>
  <c r="P74" i="13"/>
  <c r="P152" i="13" s="1"/>
  <c r="BE53" i="3"/>
  <c r="I701" i="7" s="1"/>
  <c r="I703" i="7" s="1"/>
  <c r="BF29" i="3"/>
  <c r="P53" i="13"/>
  <c r="BE70" i="3"/>
  <c r="BE130" i="3"/>
  <c r="P75" i="13" s="1"/>
  <c r="H980" i="7"/>
  <c r="O980" i="7"/>
  <c r="W980" i="7" s="1"/>
  <c r="P49" i="13"/>
  <c r="P50" i="13"/>
  <c r="BE43" i="3"/>
  <c r="BE202" i="3"/>
  <c r="BE160" i="3"/>
  <c r="P980" i="7" l="1"/>
  <c r="X980" i="7" s="1"/>
  <c r="I980" i="7"/>
  <c r="M19" i="14"/>
  <c r="D327" i="14"/>
  <c r="L188" i="13"/>
  <c r="BE105" i="3"/>
  <c r="I673" i="7"/>
  <c r="I675" i="7" s="1"/>
  <c r="I687" i="7" s="1"/>
  <c r="D16" i="13"/>
  <c r="BE71" i="3"/>
  <c r="BE82" i="3" s="1"/>
  <c r="P51" i="13"/>
  <c r="BE119" i="3"/>
  <c r="BE46" i="3"/>
  <c r="P64" i="13" s="1"/>
  <c r="P61" i="13"/>
  <c r="P91" i="13" s="1"/>
  <c r="BE205" i="3"/>
  <c r="BE208" i="3"/>
  <c r="DL81" i="3"/>
  <c r="P84" i="13" s="1"/>
  <c r="DL80" i="3"/>
  <c r="DL72" i="3"/>
  <c r="P85" i="13" s="1"/>
  <c r="DL140" i="3"/>
  <c r="DL117" i="3"/>
  <c r="DL104" i="3"/>
  <c r="DO52" i="3"/>
  <c r="S69" i="13" s="1"/>
  <c r="DO51" i="3"/>
  <c r="S68" i="13" s="1"/>
  <c r="DO50" i="3"/>
  <c r="S67" i="13" s="1"/>
  <c r="L480" i="7"/>
  <c r="K480" i="7"/>
  <c r="J480" i="7"/>
  <c r="I480" i="7"/>
  <c r="H480" i="7"/>
  <c r="G480" i="7"/>
  <c r="F480" i="7"/>
  <c r="E480" i="7"/>
  <c r="L479" i="7"/>
  <c r="K479" i="7"/>
  <c r="J479" i="7"/>
  <c r="I479" i="7"/>
  <c r="H479" i="7"/>
  <c r="G479" i="7"/>
  <c r="F479" i="7"/>
  <c r="E479" i="7"/>
  <c r="I477" i="7"/>
  <c r="H477" i="7"/>
  <c r="G477" i="7"/>
  <c r="J980" i="7" l="1"/>
  <c r="R980" i="7" s="1"/>
  <c r="Z980" i="7" s="1"/>
  <c r="Q980" i="7"/>
  <c r="Y980" i="7" s="1"/>
  <c r="P282" i="14"/>
  <c r="P151" i="13"/>
  <c r="P281" i="14"/>
  <c r="P149" i="13"/>
  <c r="I679" i="7"/>
  <c r="D19" i="13"/>
  <c r="BE87" i="3"/>
  <c r="BE210" i="3"/>
  <c r="P33" i="13"/>
  <c r="DL4" i="3"/>
  <c r="P29" i="13" s="1"/>
  <c r="DO4" i="3"/>
  <c r="S29" i="13" s="1"/>
  <c r="DV76" i="3"/>
  <c r="BE54" i="3" l="1"/>
  <c r="BE57" i="3"/>
  <c r="P248" i="14"/>
  <c r="L4" i="14"/>
  <c r="I694" i="7"/>
  <c r="I688" i="7"/>
  <c r="S47" i="13"/>
  <c r="S60" i="13" s="1"/>
  <c r="S90" i="13" s="1"/>
  <c r="S94" i="13" s="1"/>
  <c r="G3" i="13"/>
  <c r="P47" i="13"/>
  <c r="P60" i="13" s="1"/>
  <c r="P90" i="13" s="1"/>
  <c r="P94" i="13" s="1"/>
  <c r="D3" i="13"/>
  <c r="BE150" i="3"/>
  <c r="DR76" i="3"/>
  <c r="K477" i="7"/>
  <c r="J477" i="7"/>
  <c r="AY163" i="3"/>
  <c r="AX163" i="3"/>
  <c r="AW163" i="3"/>
  <c r="AV163" i="3"/>
  <c r="AU163" i="3"/>
  <c r="AT163" i="3"/>
  <c r="AS163" i="3"/>
  <c r="AR163" i="3"/>
  <c r="BB163" i="3"/>
  <c r="BA163" i="3"/>
  <c r="AZ163" i="3"/>
  <c r="BD163" i="3"/>
  <c r="C357" i="14" s="1"/>
  <c r="BC163" i="3"/>
  <c r="M478" i="7"/>
  <c r="L7" i="14" l="1"/>
  <c r="I696" i="7"/>
  <c r="I698" i="7" s="1"/>
  <c r="S55" i="13"/>
  <c r="P55" i="13"/>
  <c r="DL8" i="3"/>
  <c r="L19" i="14" l="1"/>
  <c r="DL24" i="3"/>
  <c r="DL12" i="3"/>
  <c r="BD199" i="3"/>
  <c r="BD200" i="3"/>
  <c r="C15" i="13" s="1"/>
  <c r="DK4" i="3" l="1"/>
  <c r="O29" i="13" s="1"/>
  <c r="BD184" i="3"/>
  <c r="BD172" i="3"/>
  <c r="BD173" i="3" s="1"/>
  <c r="BD169" i="3"/>
  <c r="BD129" i="3"/>
  <c r="BD128" i="3"/>
  <c r="BD127" i="3"/>
  <c r="BD125" i="3"/>
  <c r="BD118" i="3"/>
  <c r="C10" i="13" s="1"/>
  <c r="BD88" i="3"/>
  <c r="BD73" i="3"/>
  <c r="O76" i="13" s="1"/>
  <c r="O150" i="13" s="1"/>
  <c r="BD89" i="3"/>
  <c r="BD85" i="3"/>
  <c r="BD84" i="3"/>
  <c r="BD35" i="3"/>
  <c r="BD34" i="3"/>
  <c r="BD33" i="3"/>
  <c r="BD60" i="3"/>
  <c r="BD27" i="3"/>
  <c r="BD28" i="3"/>
  <c r="DK140" i="3"/>
  <c r="DK117" i="3"/>
  <c r="DK104" i="3"/>
  <c r="DK80" i="3"/>
  <c r="DK79" i="3"/>
  <c r="DK77" i="3"/>
  <c r="DK76" i="3"/>
  <c r="DK72" i="3"/>
  <c r="O85" i="13" s="1"/>
  <c r="DK52" i="3"/>
  <c r="O69" i="13" s="1"/>
  <c r="DK51" i="3"/>
  <c r="O68" i="13" s="1"/>
  <c r="DK50" i="3"/>
  <c r="O67" i="13" s="1"/>
  <c r="DK24" i="3"/>
  <c r="DK19" i="3"/>
  <c r="DK12" i="3"/>
  <c r="DK8" i="3"/>
  <c r="E844" i="7"/>
  <c r="D844" i="7"/>
  <c r="E843" i="7"/>
  <c r="D843" i="7"/>
  <c r="E848" i="7"/>
  <c r="K192" i="13" l="1"/>
  <c r="DO169" i="3"/>
  <c r="O282" i="14"/>
  <c r="O151" i="13"/>
  <c r="O281" i="14"/>
  <c r="O149" i="13"/>
  <c r="O47" i="13"/>
  <c r="O55" i="13" s="1"/>
  <c r="C3" i="13"/>
  <c r="BH30" i="3"/>
  <c r="BE185" i="3"/>
  <c r="DO125" i="3"/>
  <c r="BD149" i="3"/>
  <c r="BE90" i="3"/>
  <c r="BH91" i="3"/>
  <c r="BE29" i="3"/>
  <c r="O33" i="13"/>
  <c r="O74" i="13"/>
  <c r="O152" i="13" s="1"/>
  <c r="O53" i="13"/>
  <c r="BD202" i="3"/>
  <c r="C16" i="13" s="1"/>
  <c r="BD130" i="3"/>
  <c r="O75" i="13" s="1"/>
  <c r="BD160" i="3"/>
  <c r="D848" i="7"/>
  <c r="Q3" i="12"/>
  <c r="P3" i="12"/>
  <c r="DO149" i="3" l="1"/>
  <c r="C327" i="14"/>
  <c r="C350" i="14" s="1"/>
  <c r="K188" i="13"/>
  <c r="O60" i="13"/>
  <c r="O90" i="13" s="1"/>
  <c r="O94" i="13" s="1"/>
  <c r="BD205" i="3"/>
  <c r="BD208" i="3"/>
  <c r="C19" i="13" s="1"/>
  <c r="T3" i="12"/>
  <c r="O3" i="12"/>
  <c r="N3" i="12"/>
  <c r="M3" i="12"/>
  <c r="L3" i="12"/>
  <c r="BD210" i="3" l="1"/>
  <c r="I510" i="7"/>
  <c r="H510" i="7"/>
  <c r="L775" i="7"/>
  <c r="L776" i="7" s="1"/>
  <c r="L777" i="7" s="1"/>
  <c r="M772" i="7"/>
  <c r="N772" i="7" s="1"/>
  <c r="O772" i="7" s="1"/>
  <c r="P772" i="7" s="1"/>
  <c r="Q772" i="7" s="1"/>
  <c r="D780" i="7"/>
  <c r="H511" i="7" l="1"/>
  <c r="I511" i="7"/>
  <c r="K745" i="7" l="1"/>
  <c r="J745" i="7"/>
  <c r="I745" i="7"/>
  <c r="H745" i="7"/>
  <c r="G745" i="7"/>
  <c r="F745" i="7"/>
  <c r="Q30" i="2" l="1"/>
  <c r="N18" i="12" l="1"/>
  <c r="N16" i="12"/>
  <c r="N17" i="12"/>
  <c r="T953" i="7"/>
  <c r="T952" i="7"/>
  <c r="T951" i="7"/>
  <c r="T950" i="7"/>
  <c r="N945" i="7"/>
  <c r="M945" i="7"/>
  <c r="L945" i="7"/>
  <c r="K945" i="7"/>
  <c r="J945" i="7"/>
  <c r="I945" i="7"/>
  <c r="H945" i="7"/>
  <c r="G945" i="7"/>
  <c r="F945" i="7"/>
  <c r="E945" i="7"/>
  <c r="R945" i="7" s="1"/>
  <c r="D945" i="7"/>
  <c r="Q945" i="7" s="1"/>
  <c r="N943" i="7"/>
  <c r="M943" i="7"/>
  <c r="L943" i="7"/>
  <c r="K943" i="7"/>
  <c r="J943" i="7"/>
  <c r="I943" i="7"/>
  <c r="H943" i="7"/>
  <c r="G943" i="7"/>
  <c r="F943" i="7"/>
  <c r="E943" i="7"/>
  <c r="A942" i="7" s="1"/>
  <c r="D943" i="7"/>
  <c r="O942" i="7"/>
  <c r="O941" i="7"/>
  <c r="O940" i="7"/>
  <c r="O939" i="7"/>
  <c r="O938" i="7"/>
  <c r="O937" i="7"/>
  <c r="O936" i="7"/>
  <c r="O935" i="7"/>
  <c r="O934" i="7"/>
  <c r="O933" i="7"/>
  <c r="O932" i="7"/>
  <c r="O931" i="7"/>
  <c r="O930" i="7"/>
  <c r="O929" i="7"/>
  <c r="O928" i="7"/>
  <c r="O927" i="7"/>
  <c r="O926" i="7"/>
  <c r="O925" i="7"/>
  <c r="O924" i="7"/>
  <c r="O923" i="7"/>
  <c r="O922" i="7"/>
  <c r="O921" i="7"/>
  <c r="O920" i="7"/>
  <c r="O919" i="7"/>
  <c r="O918" i="7"/>
  <c r="O917" i="7"/>
  <c r="O916" i="7"/>
  <c r="O915" i="7"/>
  <c r="O914" i="7"/>
  <c r="O913" i="7"/>
  <c r="O912" i="7"/>
  <c r="O911" i="7"/>
  <c r="U942" i="7"/>
  <c r="T942" i="7"/>
  <c r="S942" i="7"/>
  <c r="R942" i="7"/>
  <c r="Q942" i="7"/>
  <c r="U941" i="7"/>
  <c r="T941" i="7"/>
  <c r="S941" i="7"/>
  <c r="R941" i="7"/>
  <c r="Q941" i="7"/>
  <c r="U940" i="7"/>
  <c r="T940" i="7"/>
  <c r="S940" i="7"/>
  <c r="R940" i="7"/>
  <c r="Q940" i="7"/>
  <c r="U939" i="7"/>
  <c r="T939" i="7"/>
  <c r="S939" i="7"/>
  <c r="R939" i="7"/>
  <c r="Q939" i="7"/>
  <c r="U938" i="7"/>
  <c r="T938" i="7"/>
  <c r="S938" i="7"/>
  <c r="R938" i="7"/>
  <c r="Q938" i="7"/>
  <c r="U937" i="7"/>
  <c r="T937" i="7"/>
  <c r="S937" i="7"/>
  <c r="R937" i="7"/>
  <c r="Q937" i="7"/>
  <c r="U936" i="7"/>
  <c r="T936" i="7"/>
  <c r="S936" i="7"/>
  <c r="R936" i="7"/>
  <c r="Q936" i="7"/>
  <c r="U935" i="7"/>
  <c r="T935" i="7"/>
  <c r="S935" i="7"/>
  <c r="R935" i="7"/>
  <c r="Q935" i="7"/>
  <c r="U934" i="7"/>
  <c r="T934" i="7"/>
  <c r="S934" i="7"/>
  <c r="R934" i="7"/>
  <c r="Q934" i="7"/>
  <c r="U933" i="7"/>
  <c r="T933" i="7"/>
  <c r="S933" i="7"/>
  <c r="R933" i="7"/>
  <c r="Q933" i="7"/>
  <c r="U932" i="7"/>
  <c r="T932" i="7"/>
  <c r="S932" i="7"/>
  <c r="R932" i="7"/>
  <c r="Q932" i="7"/>
  <c r="U931" i="7"/>
  <c r="T931" i="7"/>
  <c r="S931" i="7"/>
  <c r="R931" i="7"/>
  <c r="Q931" i="7"/>
  <c r="U930" i="7"/>
  <c r="T930" i="7"/>
  <c r="S930" i="7"/>
  <c r="R930" i="7"/>
  <c r="Q930" i="7"/>
  <c r="U929" i="7"/>
  <c r="T929" i="7"/>
  <c r="S929" i="7"/>
  <c r="R929" i="7"/>
  <c r="Q929" i="7"/>
  <c r="U928" i="7"/>
  <c r="T928" i="7"/>
  <c r="S928" i="7"/>
  <c r="R928" i="7"/>
  <c r="Q928" i="7"/>
  <c r="U927" i="7"/>
  <c r="T927" i="7"/>
  <c r="S927" i="7"/>
  <c r="R927" i="7"/>
  <c r="Q927" i="7"/>
  <c r="U926" i="7"/>
  <c r="T926" i="7"/>
  <c r="S926" i="7"/>
  <c r="R926" i="7"/>
  <c r="Q926" i="7"/>
  <c r="U925" i="7"/>
  <c r="T925" i="7"/>
  <c r="S925" i="7"/>
  <c r="R925" i="7"/>
  <c r="Q925" i="7"/>
  <c r="U924" i="7"/>
  <c r="T924" i="7"/>
  <c r="S924" i="7"/>
  <c r="R924" i="7"/>
  <c r="Q924" i="7"/>
  <c r="U923" i="7"/>
  <c r="T923" i="7"/>
  <c r="S923" i="7"/>
  <c r="R923" i="7"/>
  <c r="Q923" i="7"/>
  <c r="U922" i="7"/>
  <c r="T922" i="7"/>
  <c r="S922" i="7"/>
  <c r="R922" i="7"/>
  <c r="Q922" i="7"/>
  <c r="U921" i="7"/>
  <c r="T921" i="7"/>
  <c r="S921" i="7"/>
  <c r="R921" i="7"/>
  <c r="Q921" i="7"/>
  <c r="U920" i="7"/>
  <c r="T920" i="7"/>
  <c r="S920" i="7"/>
  <c r="R920" i="7"/>
  <c r="Q920" i="7"/>
  <c r="U919" i="7"/>
  <c r="T919" i="7"/>
  <c r="S919" i="7"/>
  <c r="R919" i="7"/>
  <c r="Q919" i="7"/>
  <c r="U918" i="7"/>
  <c r="T918" i="7"/>
  <c r="S918" i="7"/>
  <c r="R918" i="7"/>
  <c r="Q918" i="7"/>
  <c r="U917" i="7"/>
  <c r="T917" i="7"/>
  <c r="S917" i="7"/>
  <c r="R917" i="7"/>
  <c r="Q917" i="7"/>
  <c r="U916" i="7"/>
  <c r="T916" i="7"/>
  <c r="S916" i="7"/>
  <c r="R916" i="7"/>
  <c r="Q916" i="7"/>
  <c r="U915" i="7"/>
  <c r="T915" i="7"/>
  <c r="S915" i="7"/>
  <c r="R915" i="7"/>
  <c r="Q915" i="7"/>
  <c r="U914" i="7"/>
  <c r="T914" i="7"/>
  <c r="S914" i="7"/>
  <c r="R914" i="7"/>
  <c r="Q914" i="7"/>
  <c r="U913" i="7"/>
  <c r="T913" i="7"/>
  <c r="S913" i="7"/>
  <c r="R913" i="7"/>
  <c r="Q913" i="7"/>
  <c r="U912" i="7"/>
  <c r="T912" i="7"/>
  <c r="S912" i="7"/>
  <c r="R912" i="7"/>
  <c r="Q912" i="7"/>
  <c r="U911" i="7"/>
  <c r="T911" i="7"/>
  <c r="S911" i="7"/>
  <c r="R911" i="7"/>
  <c r="Q911" i="7"/>
  <c r="B912" i="7"/>
  <c r="B913" i="7" s="1"/>
  <c r="B914" i="7" s="1"/>
  <c r="B915" i="7" s="1"/>
  <c r="B916" i="7" s="1"/>
  <c r="B917" i="7" s="1"/>
  <c r="B918" i="7" s="1"/>
  <c r="B919" i="7" s="1"/>
  <c r="B920" i="7" s="1"/>
  <c r="B921" i="7" s="1"/>
  <c r="B922" i="7" s="1"/>
  <c r="B923" i="7" s="1"/>
  <c r="B924" i="7" s="1"/>
  <c r="B925" i="7" s="1"/>
  <c r="B926" i="7" s="1"/>
  <c r="B927" i="7" s="1"/>
  <c r="B928" i="7" s="1"/>
  <c r="B929" i="7" s="1"/>
  <c r="B930" i="7" s="1"/>
  <c r="B931" i="7" s="1"/>
  <c r="B932" i="7" s="1"/>
  <c r="B933" i="7" s="1"/>
  <c r="B934" i="7" s="1"/>
  <c r="B935" i="7" s="1"/>
  <c r="B936" i="7" s="1"/>
  <c r="B937" i="7" s="1"/>
  <c r="B938" i="7" s="1"/>
  <c r="B939" i="7" s="1"/>
  <c r="B940" i="7" s="1"/>
  <c r="B941" i="7" s="1"/>
  <c r="B942" i="7" s="1"/>
  <c r="F879" i="7"/>
  <c r="F878" i="7"/>
  <c r="F875" i="7"/>
  <c r="F874" i="7"/>
  <c r="E860" i="7"/>
  <c r="F860" i="7" s="1"/>
  <c r="AA922" i="7" l="1"/>
  <c r="AA938" i="7"/>
  <c r="AA928" i="7"/>
  <c r="W929" i="7"/>
  <c r="W919" i="7"/>
  <c r="AA914" i="7"/>
  <c r="W915" i="7"/>
  <c r="AA924" i="7"/>
  <c r="AA918" i="7"/>
  <c r="W913" i="7"/>
  <c r="AA930" i="7"/>
  <c r="W921" i="7"/>
  <c r="AA920" i="7"/>
  <c r="W923" i="7"/>
  <c r="AA926" i="7"/>
  <c r="AA934" i="7"/>
  <c r="W931" i="7"/>
  <c r="W935" i="7"/>
  <c r="AA932" i="7"/>
  <c r="W939" i="7"/>
  <c r="AA916" i="7"/>
  <c r="AA942" i="7"/>
  <c r="AA940" i="7"/>
  <c r="W927" i="7"/>
  <c r="AA936" i="7"/>
  <c r="W917" i="7"/>
  <c r="W937" i="7"/>
  <c r="X913" i="7"/>
  <c r="W918" i="7"/>
  <c r="X921" i="7"/>
  <c r="W926" i="7"/>
  <c r="X929" i="7"/>
  <c r="W934" i="7"/>
  <c r="X937" i="7"/>
  <c r="W942" i="7"/>
  <c r="Y913" i="7"/>
  <c r="Z916" i="7"/>
  <c r="X918" i="7"/>
  <c r="Y921" i="7"/>
  <c r="Z924" i="7"/>
  <c r="X926" i="7"/>
  <c r="Y929" i="7"/>
  <c r="Z932" i="7"/>
  <c r="X934" i="7"/>
  <c r="Y937" i="7"/>
  <c r="Z940" i="7"/>
  <c r="X942" i="7"/>
  <c r="Z913" i="7"/>
  <c r="Y918" i="7"/>
  <c r="Z921" i="7"/>
  <c r="Y926" i="7"/>
  <c r="Z929" i="7"/>
  <c r="Y934" i="7"/>
  <c r="Z937" i="7"/>
  <c r="Y942" i="7"/>
  <c r="AA913" i="7"/>
  <c r="Z918" i="7"/>
  <c r="AA921" i="7"/>
  <c r="Z926" i="7"/>
  <c r="AA929" i="7"/>
  <c r="Z934" i="7"/>
  <c r="AA937" i="7"/>
  <c r="Z942" i="7"/>
  <c r="T945" i="7"/>
  <c r="R30" i="2"/>
  <c r="R31" i="2" s="1"/>
  <c r="W914" i="7"/>
  <c r="W922" i="7"/>
  <c r="W930" i="7"/>
  <c r="W938" i="7"/>
  <c r="X914" i="7"/>
  <c r="X922" i="7"/>
  <c r="X930" i="7"/>
  <c r="X938" i="7"/>
  <c r="Y914" i="7"/>
  <c r="Y922" i="7"/>
  <c r="Y930" i="7"/>
  <c r="Y938" i="7"/>
  <c r="Z914" i="7"/>
  <c r="Z922" i="7"/>
  <c r="Z930" i="7"/>
  <c r="Z938" i="7"/>
  <c r="Y915" i="7"/>
  <c r="Y923" i="7"/>
  <c r="Y931" i="7"/>
  <c r="Y939" i="7"/>
  <c r="W916" i="7"/>
  <c r="W924" i="7"/>
  <c r="W932" i="7"/>
  <c r="W940" i="7"/>
  <c r="X916" i="7"/>
  <c r="X924" i="7"/>
  <c r="X932" i="7"/>
  <c r="X940" i="7"/>
  <c r="Y916" i="7"/>
  <c r="Y924" i="7"/>
  <c r="Y932" i="7"/>
  <c r="Y940" i="7"/>
  <c r="W925" i="7"/>
  <c r="W933" i="7"/>
  <c r="W920" i="7"/>
  <c r="W928" i="7"/>
  <c r="W936" i="7"/>
  <c r="X920" i="7"/>
  <c r="X928" i="7"/>
  <c r="X936" i="7"/>
  <c r="Y912" i="7"/>
  <c r="Y920" i="7"/>
  <c r="Y928" i="7"/>
  <c r="Y936" i="7"/>
  <c r="Z920" i="7"/>
  <c r="Z928" i="7"/>
  <c r="Z936" i="7"/>
  <c r="X919" i="7"/>
  <c r="X927" i="7"/>
  <c r="X935" i="7"/>
  <c r="Y919" i="7"/>
  <c r="Y927" i="7"/>
  <c r="Y935" i="7"/>
  <c r="Z919" i="7"/>
  <c r="Z927" i="7"/>
  <c r="Z935" i="7"/>
  <c r="A913" i="7"/>
  <c r="AA919" i="7"/>
  <c r="AA927" i="7"/>
  <c r="AA935" i="7"/>
  <c r="A921" i="7"/>
  <c r="U943" i="7"/>
  <c r="X915" i="7"/>
  <c r="X923" i="7"/>
  <c r="X931" i="7"/>
  <c r="X939" i="7"/>
  <c r="A919" i="7"/>
  <c r="S945" i="7"/>
  <c r="Z915" i="7"/>
  <c r="X917" i="7"/>
  <c r="Z923" i="7"/>
  <c r="X925" i="7"/>
  <c r="Z931" i="7"/>
  <c r="X933" i="7"/>
  <c r="Z939" i="7"/>
  <c r="X941" i="7"/>
  <c r="A927" i="7"/>
  <c r="W941" i="7"/>
  <c r="Q943" i="7"/>
  <c r="Q946" i="7" s="1"/>
  <c r="U950" i="7" s="1"/>
  <c r="AA915" i="7"/>
  <c r="Y917" i="7"/>
  <c r="AA923" i="7"/>
  <c r="Y925" i="7"/>
  <c r="AA931" i="7"/>
  <c r="Y933" i="7"/>
  <c r="AA939" i="7"/>
  <c r="Y941" i="7"/>
  <c r="A929" i="7"/>
  <c r="R943" i="7"/>
  <c r="R946" i="7" s="1"/>
  <c r="Z917" i="7"/>
  <c r="Z925" i="7"/>
  <c r="Z933" i="7"/>
  <c r="Z941" i="7"/>
  <c r="O945" i="7"/>
  <c r="A935" i="7"/>
  <c r="S943" i="7"/>
  <c r="AA917" i="7"/>
  <c r="AA925" i="7"/>
  <c r="AA933" i="7"/>
  <c r="AA941" i="7"/>
  <c r="A937" i="7"/>
  <c r="U945" i="7"/>
  <c r="A911" i="7"/>
  <c r="Z912" i="7"/>
  <c r="AA911" i="7"/>
  <c r="Y911" i="7"/>
  <c r="A912" i="7"/>
  <c r="A920" i="7"/>
  <c r="A928" i="7"/>
  <c r="A936" i="7"/>
  <c r="AA912" i="7"/>
  <c r="W912" i="7"/>
  <c r="A914" i="7"/>
  <c r="A922" i="7"/>
  <c r="A930" i="7"/>
  <c r="A938" i="7"/>
  <c r="T943" i="7"/>
  <c r="A915" i="7"/>
  <c r="A923" i="7"/>
  <c r="A931" i="7"/>
  <c r="A939" i="7"/>
  <c r="A916" i="7"/>
  <c r="A924" i="7"/>
  <c r="A932" i="7"/>
  <c r="A940" i="7"/>
  <c r="A917" i="7"/>
  <c r="A925" i="7"/>
  <c r="A933" i="7"/>
  <c r="A941" i="7"/>
  <c r="A918" i="7"/>
  <c r="A926" i="7"/>
  <c r="A934" i="7"/>
  <c r="X912" i="7"/>
  <c r="O943" i="7"/>
  <c r="W911" i="7"/>
  <c r="X911" i="7"/>
  <c r="Z911" i="7"/>
  <c r="O18" i="12" l="1"/>
  <c r="O16" i="12"/>
  <c r="O17" i="12"/>
  <c r="Z945" i="7"/>
  <c r="U946" i="7"/>
  <c r="U952" i="7" s="1"/>
  <c r="T946" i="7"/>
  <c r="U953" i="7" s="1"/>
  <c r="F795" i="7"/>
  <c r="S30" i="2"/>
  <c r="AA943" i="7"/>
  <c r="AA945" i="7"/>
  <c r="X945" i="7"/>
  <c r="Y945" i="7"/>
  <c r="W945" i="7"/>
  <c r="S946" i="7"/>
  <c r="U951" i="7" s="1"/>
  <c r="Y943" i="7"/>
  <c r="A945" i="7"/>
  <c r="X943" i="7"/>
  <c r="W943" i="7"/>
  <c r="Z943" i="7"/>
  <c r="BO22" i="3" l="1"/>
  <c r="DW19" i="3"/>
  <c r="DW24" i="3"/>
  <c r="DW12" i="3"/>
  <c r="Q20" i="12"/>
  <c r="P18" i="12"/>
  <c r="P16" i="12"/>
  <c r="BO15" i="3"/>
  <c r="W672" i="7"/>
  <c r="P17" i="12"/>
  <c r="BO28" i="3"/>
  <c r="L477" i="7"/>
  <c r="U34" i="2"/>
  <c r="S31" i="2"/>
  <c r="U25" i="2"/>
  <c r="U92" i="2" s="1"/>
  <c r="U89" i="2" s="1"/>
  <c r="U90" i="2" s="1"/>
  <c r="G795" i="7"/>
  <c r="G829" i="7" s="1"/>
  <c r="T30" i="2"/>
  <c r="T31" i="2" s="1"/>
  <c r="U15" i="2"/>
  <c r="Q18" i="12" l="1"/>
  <c r="BX24" i="3"/>
  <c r="Q16" i="12"/>
  <c r="BX12" i="3"/>
  <c r="Q17" i="12"/>
  <c r="BX19" i="3"/>
  <c r="BS22" i="3"/>
  <c r="R20" i="12"/>
  <c r="BP28" i="3"/>
  <c r="BQ25" i="3"/>
  <c r="BP25" i="3"/>
  <c r="BQ20" i="3"/>
  <c r="BS15" i="3"/>
  <c r="BS28" i="3"/>
  <c r="BS27" i="3"/>
  <c r="BP13" i="3"/>
  <c r="AA48" i="13" s="1"/>
  <c r="BP20" i="3"/>
  <c r="M477" i="7"/>
  <c r="M481" i="7"/>
  <c r="V25" i="2"/>
  <c r="H795" i="7"/>
  <c r="H829" i="7" s="1"/>
  <c r="U30" i="2"/>
  <c r="U31" i="2" s="1"/>
  <c r="V15" i="2"/>
  <c r="R16" i="12" s="1"/>
  <c r="V34" i="2"/>
  <c r="R18" i="12" s="1"/>
  <c r="R17" i="12" l="1"/>
  <c r="V92" i="2"/>
  <c r="V89" i="2" s="1"/>
  <c r="V90" i="2" s="1"/>
  <c r="BW19" i="3"/>
  <c r="ED19" i="3" s="1"/>
  <c r="BX22" i="3"/>
  <c r="BW12" i="3"/>
  <c r="BX15" i="3"/>
  <c r="BX28" i="3"/>
  <c r="BX30" i="3" s="1"/>
  <c r="BW24" i="3"/>
  <c r="BX27" i="3"/>
  <c r="BT30" i="3"/>
  <c r="EA28" i="3"/>
  <c r="DZ28" i="3"/>
  <c r="BT29" i="3"/>
  <c r="BX20" i="3"/>
  <c r="BX44" i="3" s="1"/>
  <c r="BX13" i="3"/>
  <c r="BX43" i="3" s="1"/>
  <c r="BX25" i="3"/>
  <c r="BX45" i="3" s="1"/>
  <c r="P24" i="13"/>
  <c r="AB49" i="13"/>
  <c r="BQ45" i="3"/>
  <c r="AB63" i="13" s="1"/>
  <c r="AB50" i="13"/>
  <c r="BP45" i="3"/>
  <c r="AA63" i="13" s="1"/>
  <c r="AA50" i="13"/>
  <c r="O24" i="13"/>
  <c r="AA49" i="13"/>
  <c r="BP43" i="3"/>
  <c r="AA61" i="13" s="1"/>
  <c r="AA91" i="13" s="1"/>
  <c r="O23" i="13"/>
  <c r="S20" i="12"/>
  <c r="T20" i="12" s="1"/>
  <c r="U671" i="7"/>
  <c r="BQ44" i="3"/>
  <c r="AB62" i="13" s="1"/>
  <c r="AB95" i="13" s="1"/>
  <c r="BS25" i="3"/>
  <c r="AD50" i="13" s="1"/>
  <c r="BS30" i="3"/>
  <c r="BP29" i="3"/>
  <c r="T671" i="7"/>
  <c r="BP44" i="3"/>
  <c r="AA62" i="13" s="1"/>
  <c r="AA95" i="13" s="1"/>
  <c r="BQ28" i="3"/>
  <c r="EB28" i="3" s="1"/>
  <c r="BQ13" i="3"/>
  <c r="AB48" i="13" s="1"/>
  <c r="W34" i="2"/>
  <c r="S18" i="12" s="1"/>
  <c r="T18" i="12" s="1"/>
  <c r="W15" i="2"/>
  <c r="S16" i="12" s="1"/>
  <c r="T16" i="12" s="1"/>
  <c r="W25" i="2"/>
  <c r="I795" i="7"/>
  <c r="V30" i="2"/>
  <c r="V31" i="2" s="1"/>
  <c r="S17" i="12" l="1"/>
  <c r="T17" i="12" s="1"/>
  <c r="W92" i="2"/>
  <c r="W89" i="2" s="1"/>
  <c r="W90" i="2" s="1"/>
  <c r="BW27" i="3"/>
  <c r="ED24" i="3"/>
  <c r="BW15" i="3"/>
  <c r="ED12" i="3"/>
  <c r="BW25" i="3"/>
  <c r="BW45" i="3" s="1"/>
  <c r="BW28" i="3"/>
  <c r="ED28" i="3" s="1"/>
  <c r="BW13" i="3"/>
  <c r="BW43" i="3" s="1"/>
  <c r="BR29" i="3"/>
  <c r="BU30" i="3"/>
  <c r="BT27" i="3"/>
  <c r="BW20" i="3"/>
  <c r="BW44" i="3" s="1"/>
  <c r="BW22" i="3"/>
  <c r="BX46" i="3"/>
  <c r="BX29" i="3"/>
  <c r="AB51" i="13"/>
  <c r="BQ43" i="3"/>
  <c r="AB61" i="13" s="1"/>
  <c r="AB91" i="13" s="1"/>
  <c r="P23" i="13"/>
  <c r="AA51" i="13"/>
  <c r="BP46" i="3"/>
  <c r="AA64" i="13" s="1"/>
  <c r="BQ29" i="3"/>
  <c r="BS20" i="3"/>
  <c r="AD49" i="13" s="1"/>
  <c r="BS45" i="3"/>
  <c r="AD63" i="13" s="1"/>
  <c r="BS13" i="3"/>
  <c r="AD48" i="13" s="1"/>
  <c r="X15" i="2"/>
  <c r="X25" i="2"/>
  <c r="X92" i="2" s="1"/>
  <c r="X89" i="2" s="1"/>
  <c r="J795" i="7"/>
  <c r="W30" i="2"/>
  <c r="W31" i="2" s="1"/>
  <c r="X34" i="2"/>
  <c r="E825" i="7"/>
  <c r="F825" i="7" s="1"/>
  <c r="G825" i="7" s="1"/>
  <c r="H825" i="7" s="1"/>
  <c r="I825" i="7" s="1"/>
  <c r="J825" i="7" s="1"/>
  <c r="K825" i="7" s="1"/>
  <c r="L825" i="7" s="1"/>
  <c r="E808" i="7"/>
  <c r="F808" i="7" s="1"/>
  <c r="G808" i="7" s="1"/>
  <c r="H808" i="7" s="1"/>
  <c r="I808" i="7" s="1"/>
  <c r="J808" i="7" s="1"/>
  <c r="K808" i="7" s="1"/>
  <c r="L808" i="7" s="1"/>
  <c r="X90" i="2" l="1"/>
  <c r="BW46" i="3"/>
  <c r="BW29" i="3"/>
  <c r="BW30" i="3"/>
  <c r="AD51" i="13"/>
  <c r="BS43" i="3"/>
  <c r="AD61" i="13" s="1"/>
  <c r="AD91" i="13" s="1"/>
  <c r="R23" i="13"/>
  <c r="W671" i="7"/>
  <c r="W673" i="7" s="1"/>
  <c r="W675" i="7" s="1"/>
  <c r="W687" i="7" s="1"/>
  <c r="R24" i="13"/>
  <c r="BQ46" i="3"/>
  <c r="AB64" i="13" s="1"/>
  <c r="BS29" i="3"/>
  <c r="BS44" i="3"/>
  <c r="V671" i="7"/>
  <c r="Y34" i="2"/>
  <c r="Z34" i="2" s="1"/>
  <c r="Y25" i="2"/>
  <c r="K795" i="7"/>
  <c r="X30" i="2"/>
  <c r="X31" i="2" s="1"/>
  <c r="Y15" i="2"/>
  <c r="Z15" i="2" s="1"/>
  <c r="F829" i="7"/>
  <c r="E795" i="7"/>
  <c r="E829" i="7" s="1"/>
  <c r="D795" i="7"/>
  <c r="D829" i="7" s="1"/>
  <c r="E791" i="7"/>
  <c r="F791" i="7" s="1"/>
  <c r="G791" i="7" s="1"/>
  <c r="H791" i="7" s="1"/>
  <c r="I791" i="7" s="1"/>
  <c r="J791" i="7" s="1"/>
  <c r="K791" i="7" s="1"/>
  <c r="L791" i="7" s="1"/>
  <c r="D781" i="7"/>
  <c r="D771" i="7"/>
  <c r="D772" i="7" s="1"/>
  <c r="G773" i="7" s="1"/>
  <c r="E777" i="7"/>
  <c r="F777" i="7" s="1"/>
  <c r="G777" i="7" s="1"/>
  <c r="H777" i="7" s="1"/>
  <c r="D751" i="7"/>
  <c r="Z25" i="2" l="1"/>
  <c r="Z92" i="2" s="1"/>
  <c r="Z89" i="2" s="1"/>
  <c r="Y92" i="2"/>
  <c r="Y89" i="2" s="1"/>
  <c r="Y90" i="2" s="1"/>
  <c r="BS46" i="3"/>
  <c r="AD64" i="13" s="1"/>
  <c r="AD62" i="13"/>
  <c r="AD95" i="13" s="1"/>
  <c r="W679" i="7"/>
  <c r="AA15" i="2"/>
  <c r="Z17" i="2"/>
  <c r="AA34" i="2"/>
  <c r="Z36" i="2"/>
  <c r="L795" i="7"/>
  <c r="M795" i="7" s="1"/>
  <c r="Y30" i="2"/>
  <c r="Y31" i="2" s="1"/>
  <c r="I829" i="7"/>
  <c r="D782" i="7"/>
  <c r="D767" i="7"/>
  <c r="E760" i="7"/>
  <c r="F760" i="7" s="1"/>
  <c r="G760" i="7" s="1"/>
  <c r="H760" i="7" s="1"/>
  <c r="I760" i="7" s="1"/>
  <c r="J760" i="7" s="1"/>
  <c r="K760" i="7" s="1"/>
  <c r="E759" i="7"/>
  <c r="F759" i="7" s="1"/>
  <c r="G759" i="7" s="1"/>
  <c r="H759" i="7" s="1"/>
  <c r="I759" i="7" s="1"/>
  <c r="J759" i="7" s="1"/>
  <c r="K759" i="7" s="1"/>
  <c r="E750" i="7"/>
  <c r="F750" i="7" s="1"/>
  <c r="E749" i="7"/>
  <c r="F749" i="7" s="1"/>
  <c r="G749" i="7" s="1"/>
  <c r="H749" i="7" s="1"/>
  <c r="I749" i="7" s="1"/>
  <c r="J749" i="7" s="1"/>
  <c r="K749" i="7" s="1"/>
  <c r="E748" i="7"/>
  <c r="F748" i="7" s="1"/>
  <c r="G748" i="7" s="1"/>
  <c r="H748" i="7" s="1"/>
  <c r="I748" i="7" s="1"/>
  <c r="J748" i="7" s="1"/>
  <c r="K748" i="7" s="1"/>
  <c r="E745" i="7"/>
  <c r="D745" i="7"/>
  <c r="E744" i="7"/>
  <c r="F744" i="7" s="1"/>
  <c r="G744" i="7" s="1"/>
  <c r="H744" i="7" s="1"/>
  <c r="I744" i="7" s="1"/>
  <c r="J744" i="7" s="1"/>
  <c r="K744" i="7" s="1"/>
  <c r="BC125" i="3"/>
  <c r="DR4" i="3"/>
  <c r="V29" i="13" s="1"/>
  <c r="V47" i="13" s="1"/>
  <c r="L8" i="5"/>
  <c r="K8" i="5"/>
  <c r="Z30" i="2" l="1"/>
  <c r="Z31" i="2" s="1"/>
  <c r="Z46" i="2"/>
  <c r="V13" i="5" s="1"/>
  <c r="Z43" i="2"/>
  <c r="V14" i="5"/>
  <c r="Z27" i="2"/>
  <c r="Z90" i="2"/>
  <c r="AA25" i="2"/>
  <c r="AA92" i="2" s="1"/>
  <c r="AA89" i="2" s="1"/>
  <c r="AA90" i="2" s="1"/>
  <c r="AA36" i="2"/>
  <c r="AB34" i="2"/>
  <c r="AB15" i="2"/>
  <c r="AA17" i="2"/>
  <c r="V60" i="13"/>
  <c r="V90" i="13" s="1"/>
  <c r="V94" i="13" s="1"/>
  <c r="V55" i="13"/>
  <c r="DN125" i="3"/>
  <c r="BC149" i="3"/>
  <c r="DN149" i="3" s="1"/>
  <c r="DO12" i="3"/>
  <c r="F755" i="7"/>
  <c r="J829" i="7"/>
  <c r="G750" i="7"/>
  <c r="I756" i="7" s="1"/>
  <c r="G756" i="7"/>
  <c r="F751" i="7"/>
  <c r="F756" i="7"/>
  <c r="K762" i="7"/>
  <c r="E762" i="7"/>
  <c r="G755" i="7"/>
  <c r="H755" i="7"/>
  <c r="F762" i="7"/>
  <c r="I755" i="7"/>
  <c r="G762" i="7"/>
  <c r="J755" i="7"/>
  <c r="H762" i="7"/>
  <c r="K755" i="7"/>
  <c r="D762" i="7"/>
  <c r="I762" i="7"/>
  <c r="E751" i="7"/>
  <c r="H756" i="7"/>
  <c r="J762" i="7"/>
  <c r="D754" i="7"/>
  <c r="D757" i="7" s="1"/>
  <c r="D763" i="7" s="1"/>
  <c r="E755" i="7"/>
  <c r="E754" i="7"/>
  <c r="AA30" i="2" l="1"/>
  <c r="AA31" i="2" s="1"/>
  <c r="AA43" i="2"/>
  <c r="AA44" i="2" s="1"/>
  <c r="AB25" i="2"/>
  <c r="AB92" i="2" s="1"/>
  <c r="AB89" i="2" s="1"/>
  <c r="AB90" i="2" s="1"/>
  <c r="V12" i="5"/>
  <c r="W14" i="5"/>
  <c r="AA46" i="2"/>
  <c r="AA99" i="2" s="1"/>
  <c r="AA27" i="2"/>
  <c r="AC15" i="2"/>
  <c r="AB17" i="2"/>
  <c r="AC34" i="2"/>
  <c r="AB36" i="2"/>
  <c r="DQ12" i="3"/>
  <c r="BI67" i="3"/>
  <c r="K829" i="7"/>
  <c r="H750" i="7"/>
  <c r="G751" i="7"/>
  <c r="E757" i="7"/>
  <c r="E763" i="7" s="1"/>
  <c r="E764" i="7" s="1"/>
  <c r="D764" i="7"/>
  <c r="AB27" i="2" l="1"/>
  <c r="AA114" i="2"/>
  <c r="AA117" i="2" s="1"/>
  <c r="W12" i="5"/>
  <c r="W13" i="5"/>
  <c r="AB46" i="2"/>
  <c r="AB99" i="2" s="1"/>
  <c r="AB100" i="2" s="1"/>
  <c r="AB43" i="2"/>
  <c r="AB114" i="2" s="1"/>
  <c r="AB117" i="2" s="1"/>
  <c r="X14" i="5"/>
  <c r="AC25" i="2"/>
  <c r="AC92" i="2" s="1"/>
  <c r="AC89" i="2" s="1"/>
  <c r="AC90" i="2" s="1"/>
  <c r="AB30" i="2"/>
  <c r="AB31" i="2" s="1"/>
  <c r="AA48" i="2"/>
  <c r="AD34" i="2"/>
  <c r="AC36" i="2"/>
  <c r="AC17" i="2"/>
  <c r="AD15" i="2"/>
  <c r="DT67" i="3"/>
  <c r="X30" i="13" s="1"/>
  <c r="DP67" i="3"/>
  <c r="T30" i="13" s="1"/>
  <c r="BJ67" i="3"/>
  <c r="DP12" i="3"/>
  <c r="M829" i="7"/>
  <c r="L829" i="7"/>
  <c r="I750" i="7"/>
  <c r="H751" i="7"/>
  <c r="J756" i="7"/>
  <c r="F754" i="7"/>
  <c r="F757" i="7" s="1"/>
  <c r="F763" i="7" s="1"/>
  <c r="F764" i="7" s="1"/>
  <c r="AC30" i="2" l="1"/>
  <c r="AC31" i="2" s="1"/>
  <c r="AC46" i="2"/>
  <c r="Y12" i="5" s="1"/>
  <c r="Y14" i="5"/>
  <c r="AD25" i="2"/>
  <c r="AD92" i="2" s="1"/>
  <c r="AD89" i="2" s="1"/>
  <c r="AD90" i="2" s="1"/>
  <c r="AC43" i="2"/>
  <c r="AC44" i="2" s="1"/>
  <c r="AC27" i="2"/>
  <c r="X12" i="5"/>
  <c r="X13" i="5"/>
  <c r="AB115" i="2"/>
  <c r="AB48" i="2"/>
  <c r="AB44" i="2"/>
  <c r="AD36" i="2"/>
  <c r="AD17" i="2"/>
  <c r="R59" i="2"/>
  <c r="R105" i="2" s="1"/>
  <c r="DU67" i="3"/>
  <c r="Y30" i="13" s="1"/>
  <c r="DQ67" i="3"/>
  <c r="U30" i="13" s="1"/>
  <c r="J750" i="7"/>
  <c r="I751" i="7"/>
  <c r="K756" i="7"/>
  <c r="G754" i="7"/>
  <c r="G757" i="7" s="1"/>
  <c r="G763" i="7" s="1"/>
  <c r="G764" i="7" s="1"/>
  <c r="AC99" i="2" l="1"/>
  <c r="AC100" i="2" s="1"/>
  <c r="Z14" i="5"/>
  <c r="AD27" i="2"/>
  <c r="AD30" i="2"/>
  <c r="AD31" i="2" s="1"/>
  <c r="AD43" i="2"/>
  <c r="AD44" i="2" s="1"/>
  <c r="Y13" i="5"/>
  <c r="AC48" i="2"/>
  <c r="AD46" i="2"/>
  <c r="AD99" i="2" s="1"/>
  <c r="AC114" i="2"/>
  <c r="AC117" i="2" s="1"/>
  <c r="K750" i="7"/>
  <c r="K751" i="7" s="1"/>
  <c r="J751" i="7"/>
  <c r="H754" i="7"/>
  <c r="H757" i="7" s="1"/>
  <c r="H763" i="7" s="1"/>
  <c r="H764" i="7" s="1"/>
  <c r="AD100" i="2" l="1"/>
  <c r="AD114" i="2"/>
  <c r="AD117" i="2" s="1"/>
  <c r="Z13" i="5"/>
  <c r="AD48" i="2"/>
  <c r="Z12" i="5"/>
  <c r="AC115" i="2"/>
  <c r="I754" i="7"/>
  <c r="I757" i="7" s="1"/>
  <c r="I763" i="7" s="1"/>
  <c r="I764" i="7" s="1"/>
  <c r="AD115" i="2" l="1"/>
  <c r="J754" i="7"/>
  <c r="J757" i="7" s="1"/>
  <c r="J763" i="7" s="1"/>
  <c r="J764" i="7" s="1"/>
  <c r="K754" i="7" l="1"/>
  <c r="K757" i="7" s="1"/>
  <c r="K763" i="7" s="1"/>
  <c r="K764" i="7" s="1"/>
  <c r="W76" i="6" l="1"/>
  <c r="W77" i="6" s="1"/>
  <c r="V76" i="6"/>
  <c r="V77" i="6" s="1"/>
  <c r="U76" i="6"/>
  <c r="U77" i="6" s="1"/>
  <c r="T76" i="6"/>
  <c r="T77" i="6" s="1"/>
  <c r="S76" i="6"/>
  <c r="S77" i="6" s="1"/>
  <c r="U28" i="5"/>
  <c r="T28" i="5"/>
  <c r="S28" i="5"/>
  <c r="R28" i="5"/>
  <c r="Q28" i="5"/>
  <c r="U18" i="5"/>
  <c r="T18" i="5"/>
  <c r="S18" i="5"/>
  <c r="R18" i="5"/>
  <c r="Q18" i="5"/>
  <c r="U6" i="5"/>
  <c r="T6" i="5"/>
  <c r="S6" i="5"/>
  <c r="R6" i="5"/>
  <c r="Q6" i="5"/>
  <c r="D2148" i="4"/>
  <c r="Q9" i="5" l="1"/>
  <c r="BX59" i="3" s="1"/>
  <c r="R9" i="5"/>
  <c r="BX60" i="3" l="1"/>
  <c r="BW59" i="3"/>
  <c r="BW60" i="3" s="1"/>
  <c r="R23" i="5"/>
  <c r="V123" i="2" s="1"/>
  <c r="R10" i="5"/>
  <c r="S9" i="5"/>
  <c r="S23" i="5" s="1"/>
  <c r="R31" i="5" l="1"/>
  <c r="R29" i="5"/>
  <c r="S10" i="5"/>
  <c r="U9" i="5"/>
  <c r="T9" i="5"/>
  <c r="S31" i="5"/>
  <c r="S29" i="5"/>
  <c r="W123" i="2"/>
  <c r="V23" i="5" l="1"/>
  <c r="V10" i="5"/>
  <c r="R34" i="5"/>
  <c r="S34" i="5"/>
  <c r="T10" i="5"/>
  <c r="U23" i="5"/>
  <c r="U10" i="5"/>
  <c r="T23" i="5"/>
  <c r="P149" i="2"/>
  <c r="P132" i="2"/>
  <c r="U11" i="1" s="1"/>
  <c r="U51" i="1" s="1"/>
  <c r="P51" i="2"/>
  <c r="P48" i="2"/>
  <c r="P47" i="2"/>
  <c r="P35" i="2"/>
  <c r="Q52" i="2" l="1"/>
  <c r="V36" i="5"/>
  <c r="V31" i="5"/>
  <c r="Z123" i="2"/>
  <c r="V29" i="5"/>
  <c r="T31" i="5"/>
  <c r="X123" i="2"/>
  <c r="T29" i="5"/>
  <c r="U29" i="5"/>
  <c r="U31" i="5"/>
  <c r="Y123" i="2"/>
  <c r="V34" i="5" l="1"/>
  <c r="T34" i="5"/>
  <c r="U34" i="5"/>
  <c r="C589" i="7" l="1"/>
  <c r="C585" i="7"/>
  <c r="C587" i="7"/>
  <c r="C584" i="7"/>
  <c r="D537" i="7"/>
  <c r="G481" i="7" l="1"/>
  <c r="G478" i="7"/>
  <c r="E510" i="7"/>
  <c r="E511" i="7" s="1"/>
  <c r="E512" i="7" s="1"/>
  <c r="F510" i="7"/>
  <c r="G510" i="7"/>
  <c r="D510" i="7"/>
  <c r="D511" i="7" s="1"/>
  <c r="G511" i="7" l="1"/>
  <c r="F511" i="7"/>
  <c r="F512" i="7" s="1"/>
  <c r="G512" i="7" l="1"/>
  <c r="H512" i="7" s="1"/>
  <c r="I512" i="7" s="1"/>
  <c r="J512" i="7" s="1"/>
  <c r="K512" i="7" s="1"/>
  <c r="L512" i="7" s="1"/>
  <c r="M512" i="7" s="1"/>
  <c r="E506" i="7"/>
  <c r="F506" i="7" s="1"/>
  <c r="G506" i="7" s="1"/>
  <c r="H506" i="7" s="1"/>
  <c r="E2005" i="4"/>
  <c r="H583" i="7" l="1"/>
  <c r="I506" i="7"/>
  <c r="H549" i="7"/>
  <c r="E583" i="7"/>
  <c r="E490" i="7"/>
  <c r="E491" i="7" s="1"/>
  <c r="D488" i="7"/>
  <c r="D486" i="7"/>
  <c r="I583" i="7" l="1"/>
  <c r="I549" i="7"/>
  <c r="F549" i="7"/>
  <c r="D487" i="7" l="1"/>
  <c r="D491" i="7" s="1"/>
  <c r="F583" i="7"/>
  <c r="G583" i="7" l="1"/>
  <c r="G549" i="7"/>
  <c r="BB184" i="3"/>
  <c r="BA184" i="3"/>
  <c r="BA172" i="3"/>
  <c r="BA169" i="3"/>
  <c r="DH140" i="3"/>
  <c r="BA129" i="3"/>
  <c r="BA128" i="3"/>
  <c r="BA127" i="3"/>
  <c r="BA125" i="3"/>
  <c r="BA149" i="3" s="1"/>
  <c r="DL149" i="3" s="1"/>
  <c r="DH118" i="3"/>
  <c r="BA118" i="3"/>
  <c r="DH117" i="3"/>
  <c r="BA88" i="3"/>
  <c r="DL88" i="3" s="1"/>
  <c r="DH104" i="3"/>
  <c r="BA73" i="3"/>
  <c r="BA160" i="3" s="1"/>
  <c r="H188" i="13" s="1"/>
  <c r="BA89" i="3"/>
  <c r="BA85" i="3"/>
  <c r="BA84" i="3"/>
  <c r="DH80" i="3"/>
  <c r="BC129" i="3"/>
  <c r="DH79" i="3"/>
  <c r="DH77" i="3"/>
  <c r="BC127" i="3"/>
  <c r="DH76" i="3"/>
  <c r="DH72" i="3"/>
  <c r="L85" i="13" s="1"/>
  <c r="BB69" i="3"/>
  <c r="BA69" i="3"/>
  <c r="BB68" i="3"/>
  <c r="BA68" i="3"/>
  <c r="BB67" i="3"/>
  <c r="BA67" i="3"/>
  <c r="DH52" i="3"/>
  <c r="L69" i="13" s="1"/>
  <c r="DH51" i="3"/>
  <c r="L68" i="13" s="1"/>
  <c r="DH50" i="3"/>
  <c r="L67" i="13" s="1"/>
  <c r="DH49" i="3"/>
  <c r="BA35" i="3"/>
  <c r="BA34" i="3"/>
  <c r="L53" i="13" s="1"/>
  <c r="BB33" i="3"/>
  <c r="BA33" i="3"/>
  <c r="BB60" i="3"/>
  <c r="BA60" i="3"/>
  <c r="BA28" i="3"/>
  <c r="BE30" i="3" s="1"/>
  <c r="BA27" i="3"/>
  <c r="BB25" i="3"/>
  <c r="BA25" i="3"/>
  <c r="DH24" i="3"/>
  <c r="BB20" i="3"/>
  <c r="F671" i="7" s="1"/>
  <c r="F673" i="7" s="1"/>
  <c r="F675" i="7" s="1"/>
  <c r="F687" i="7" s="1"/>
  <c r="BA20" i="3"/>
  <c r="DH19" i="3"/>
  <c r="BB13" i="3"/>
  <c r="BA13" i="3"/>
  <c r="L48" i="13" s="1"/>
  <c r="DH12" i="3"/>
  <c r="BA9" i="3"/>
  <c r="E670" i="7" s="1"/>
  <c r="DH8" i="3"/>
  <c r="DH4" i="3"/>
  <c r="L29" i="13" s="1"/>
  <c r="L47" i="13" s="1"/>
  <c r="BB199" i="3"/>
  <c r="AX199" i="3"/>
  <c r="H192" i="13" l="1"/>
  <c r="DL169" i="3"/>
  <c r="L282" i="14"/>
  <c r="L151" i="13"/>
  <c r="L281" i="14"/>
  <c r="L149" i="13"/>
  <c r="E678" i="7"/>
  <c r="E686" i="7"/>
  <c r="L49" i="13"/>
  <c r="E671" i="7"/>
  <c r="E673" i="7" s="1"/>
  <c r="E675" i="7" s="1"/>
  <c r="E687" i="7" s="1"/>
  <c r="F679" i="7"/>
  <c r="F680" i="7" s="1"/>
  <c r="BB185" i="3"/>
  <c r="DM67" i="3"/>
  <c r="Q30" i="13" s="1"/>
  <c r="DM69" i="3"/>
  <c r="Q32" i="13" s="1"/>
  <c r="DM68" i="3"/>
  <c r="Q31" i="13" s="1"/>
  <c r="DL89" i="3"/>
  <c r="BE91" i="3"/>
  <c r="L74" i="13"/>
  <c r="L152" i="13" s="1"/>
  <c r="L33" i="13"/>
  <c r="BB45" i="3"/>
  <c r="M63" i="13" s="1"/>
  <c r="M50" i="13"/>
  <c r="BA130" i="3"/>
  <c r="L75" i="13" s="1"/>
  <c r="DL125" i="3"/>
  <c r="BA45" i="3"/>
  <c r="L63" i="13" s="1"/>
  <c r="L50" i="13"/>
  <c r="BB43" i="3"/>
  <c r="M61" i="13" s="1"/>
  <c r="M91" i="13" s="1"/>
  <c r="M48" i="13"/>
  <c r="L60" i="13"/>
  <c r="L90" i="13" s="1"/>
  <c r="L94" i="13" s="1"/>
  <c r="L55" i="13"/>
  <c r="BB44" i="3"/>
  <c r="M62" i="13" s="1"/>
  <c r="M95" i="13" s="1"/>
  <c r="M49" i="13"/>
  <c r="BC84" i="3"/>
  <c r="BC128" i="3"/>
  <c r="BA44" i="3"/>
  <c r="L62" i="13" s="1"/>
  <c r="L95" i="13" s="1"/>
  <c r="L76" i="13"/>
  <c r="L150" i="13" s="1"/>
  <c r="BA70" i="3"/>
  <c r="BA202" i="3"/>
  <c r="BA43" i="3"/>
  <c r="L61" i="13" s="1"/>
  <c r="L91" i="13" s="1"/>
  <c r="BA105" i="3" l="1"/>
  <c r="DL70" i="3"/>
  <c r="L51" i="13"/>
  <c r="E679" i="7"/>
  <c r="E680" i="7" s="1"/>
  <c r="F688" i="7"/>
  <c r="F694" i="7"/>
  <c r="F696" i="7" s="1"/>
  <c r="F698" i="7" s="1"/>
  <c r="E694" i="7"/>
  <c r="E696" i="7" s="1"/>
  <c r="E698" i="7" s="1"/>
  <c r="E688" i="7"/>
  <c r="M51" i="13"/>
  <c r="BA119" i="3"/>
  <c r="BA46" i="3"/>
  <c r="L64" i="13" s="1"/>
  <c r="BA205" i="3"/>
  <c r="BA71" i="3"/>
  <c r="S84" i="13" l="1"/>
  <c r="BA87" i="3"/>
  <c r="BA82" i="3"/>
  <c r="BA54" i="3" l="1"/>
  <c r="BA57" i="3"/>
  <c r="DL57" i="3" s="1"/>
  <c r="BA150" i="3"/>
  <c r="H4" i="14"/>
  <c r="DL87" i="3"/>
  <c r="P83" i="13" s="1"/>
  <c r="L248" i="14"/>
  <c r="BB172" i="3"/>
  <c r="BB173" i="3" s="1"/>
  <c r="BB169" i="3"/>
  <c r="BB129" i="3"/>
  <c r="BB128" i="3"/>
  <c r="BB127" i="3"/>
  <c r="BB118" i="3"/>
  <c r="BB88" i="3"/>
  <c r="BB73" i="3"/>
  <c r="BB160" i="3" s="1"/>
  <c r="I188" i="13" s="1"/>
  <c r="BB89" i="3"/>
  <c r="BB85" i="3"/>
  <c r="BB84" i="3"/>
  <c r="BB35" i="3"/>
  <c r="H7" i="14" l="1"/>
  <c r="AI4" i="14"/>
  <c r="I192" i="13"/>
  <c r="DM169" i="3"/>
  <c r="P254" i="14"/>
  <c r="DM88" i="3"/>
  <c r="M74" i="13"/>
  <c r="M152" i="13" s="1"/>
  <c r="DM89" i="3"/>
  <c r="BF91" i="3"/>
  <c r="BB90" i="3"/>
  <c r="M76" i="13"/>
  <c r="M150" i="13" s="1"/>
  <c r="H19" i="14" l="1"/>
  <c r="AI7" i="14"/>
  <c r="J478" i="7"/>
  <c r="F477" i="7"/>
  <c r="F478" i="7"/>
  <c r="J481" i="7" l="1"/>
  <c r="F481" i="7"/>
  <c r="BA207" i="3"/>
  <c r="AZ184" i="3"/>
  <c r="AY184" i="3"/>
  <c r="AZ185" i="3" l="1"/>
  <c r="BA185" i="3"/>
  <c r="AZ202" i="3"/>
  <c r="AY202" i="3"/>
  <c r="AY205" i="3" s="1"/>
  <c r="BA208" i="3"/>
  <c r="BA210" i="3" l="1"/>
  <c r="AZ205" i="3"/>
  <c r="AZ208" i="3"/>
  <c r="AY208" i="3"/>
  <c r="E477" i="7"/>
  <c r="E478" i="7"/>
  <c r="H478" i="7" l="1"/>
  <c r="I478" i="7"/>
  <c r="E481" i="7"/>
  <c r="AZ210" i="3"/>
  <c r="AY210" i="3"/>
  <c r="H481" i="7" l="1"/>
  <c r="I481" i="7"/>
  <c r="C487" i="7"/>
  <c r="C486" i="7"/>
  <c r="C488" i="7"/>
  <c r="AZ17" i="3"/>
  <c r="AV17" i="3"/>
  <c r="C478" i="7" l="1"/>
  <c r="C479" i="7"/>
  <c r="C477" i="7"/>
  <c r="AZ172" i="3"/>
  <c r="AZ173" i="3" s="1"/>
  <c r="AZ169" i="3"/>
  <c r="AZ129" i="3"/>
  <c r="AZ128" i="3"/>
  <c r="AZ127" i="3"/>
  <c r="AZ125" i="3"/>
  <c r="AZ149" i="3" s="1"/>
  <c r="DK149" i="3" s="1"/>
  <c r="AZ118" i="3"/>
  <c r="AZ88" i="3"/>
  <c r="DK88" i="3" s="1"/>
  <c r="AZ84" i="3"/>
  <c r="DG140" i="3"/>
  <c r="DG118" i="3"/>
  <c r="DG117" i="3"/>
  <c r="DG104" i="3"/>
  <c r="DG80" i="3"/>
  <c r="DG79" i="3"/>
  <c r="DG77" i="3"/>
  <c r="DG76" i="3"/>
  <c r="DG72" i="3"/>
  <c r="K85" i="13" s="1"/>
  <c r="DG52" i="3"/>
  <c r="K69" i="13" s="1"/>
  <c r="DG51" i="3"/>
  <c r="K68" i="13" s="1"/>
  <c r="DG50" i="3"/>
  <c r="K67" i="13" s="1"/>
  <c r="DG49" i="3"/>
  <c r="DG24" i="3"/>
  <c r="DG19" i="3"/>
  <c r="DG8" i="3"/>
  <c r="DG4" i="3"/>
  <c r="K29" i="13" s="1"/>
  <c r="K47" i="13" s="1"/>
  <c r="AZ73" i="3"/>
  <c r="K76" i="13" s="1"/>
  <c r="K150" i="13" s="1"/>
  <c r="AZ81" i="3"/>
  <c r="AZ69" i="3"/>
  <c r="AZ68" i="3"/>
  <c r="AZ67" i="3"/>
  <c r="AZ35" i="3"/>
  <c r="AZ34" i="3"/>
  <c r="K53" i="13" s="1"/>
  <c r="AZ33" i="3"/>
  <c r="AZ60" i="3"/>
  <c r="AZ28" i="3"/>
  <c r="BD30" i="3" s="1"/>
  <c r="AZ27" i="3"/>
  <c r="AZ25" i="3"/>
  <c r="AZ13" i="3"/>
  <c r="K48" i="13" s="1"/>
  <c r="AZ9" i="3"/>
  <c r="D670" i="7" s="1"/>
  <c r="AZ20" i="3"/>
  <c r="D671" i="7" s="1"/>
  <c r="D673" i="7" s="1"/>
  <c r="D675" i="7" s="1"/>
  <c r="D687" i="7" s="1"/>
  <c r="G192" i="13" l="1"/>
  <c r="DK169" i="3"/>
  <c r="K282" i="14"/>
  <c r="K151" i="13"/>
  <c r="K281" i="14"/>
  <c r="K149" i="13"/>
  <c r="D679" i="7"/>
  <c r="D678" i="7"/>
  <c r="D686" i="7"/>
  <c r="K74" i="13"/>
  <c r="K152" i="13" s="1"/>
  <c r="K33" i="13"/>
  <c r="AZ44" i="3"/>
  <c r="K62" i="13" s="1"/>
  <c r="K95" i="13" s="1"/>
  <c r="K49" i="13"/>
  <c r="AZ45" i="3"/>
  <c r="K63" i="13" s="1"/>
  <c r="K50" i="13"/>
  <c r="K55" i="13"/>
  <c r="K60" i="13"/>
  <c r="K90" i="13" s="1"/>
  <c r="K94" i="13" s="1"/>
  <c r="DK81" i="3"/>
  <c r="O84" i="13" s="1"/>
  <c r="BA29" i="3"/>
  <c r="DK28" i="3"/>
  <c r="DK125" i="3"/>
  <c r="AZ70" i="3"/>
  <c r="AZ105" i="3" s="1"/>
  <c r="AZ85" i="3"/>
  <c r="AZ89" i="3"/>
  <c r="AZ160" i="3"/>
  <c r="G188" i="13" s="1"/>
  <c r="AZ43" i="3"/>
  <c r="K61" i="13" s="1"/>
  <c r="K91" i="13" s="1"/>
  <c r="AZ130" i="3"/>
  <c r="K75" i="13" s="1"/>
  <c r="O51" i="2"/>
  <c r="O47" i="2"/>
  <c r="O39" i="2"/>
  <c r="O30" i="2"/>
  <c r="O137" i="2"/>
  <c r="N132" i="2"/>
  <c r="S11" i="1" s="1"/>
  <c r="S51" i="1" s="1"/>
  <c r="O132" i="2"/>
  <c r="T11" i="1" s="1"/>
  <c r="T51" i="1" s="1"/>
  <c r="O140" i="2"/>
  <c r="O149" i="2"/>
  <c r="P52" i="2" l="1"/>
  <c r="BA90" i="3"/>
  <c r="D688" i="7"/>
  <c r="D694" i="7"/>
  <c r="D680" i="7"/>
  <c r="O135" i="2"/>
  <c r="O136" i="2" s="1"/>
  <c r="K51" i="13"/>
  <c r="BD91" i="3"/>
  <c r="DK89" i="3"/>
  <c r="AZ119" i="3"/>
  <c r="AZ71" i="3"/>
  <c r="AZ46" i="3"/>
  <c r="K64" i="13" s="1"/>
  <c r="D696" i="7" l="1"/>
  <c r="D698" i="7" s="1"/>
  <c r="AZ87" i="3"/>
  <c r="AZ57" i="3" s="1"/>
  <c r="AZ82" i="3"/>
  <c r="G4" i="14" l="1"/>
  <c r="G7" i="14" s="1"/>
  <c r="G19" i="14" s="1"/>
  <c r="AZ54" i="3"/>
  <c r="K248" i="14"/>
  <c r="AZ150" i="3"/>
  <c r="AY172" i="3"/>
  <c r="AY173" i="3" s="1"/>
  <c r="AY169" i="3"/>
  <c r="F192" i="13" s="1"/>
  <c r="AY129" i="3"/>
  <c r="AY128" i="3"/>
  <c r="AY127" i="3"/>
  <c r="AY125" i="3"/>
  <c r="AY149" i="3" s="1"/>
  <c r="AY118" i="3"/>
  <c r="J74" i="13" s="1"/>
  <c r="J152" i="13" s="1"/>
  <c r="DF140" i="3"/>
  <c r="DF118" i="3"/>
  <c r="DF117" i="3"/>
  <c r="DF104" i="3"/>
  <c r="DF80" i="3"/>
  <c r="DF79" i="3"/>
  <c r="DF77" i="3"/>
  <c r="DF76" i="3"/>
  <c r="DF72" i="3"/>
  <c r="J85" i="13" s="1"/>
  <c r="DF52" i="3"/>
  <c r="J69" i="13" s="1"/>
  <c r="DF51" i="3"/>
  <c r="J68" i="13" s="1"/>
  <c r="DF50" i="3"/>
  <c r="J67" i="13" s="1"/>
  <c r="DF49" i="3"/>
  <c r="DF24" i="3"/>
  <c r="DF19" i="3"/>
  <c r="DF12" i="3"/>
  <c r="DF8" i="3"/>
  <c r="DF4" i="3"/>
  <c r="J29" i="13" s="1"/>
  <c r="J47" i="13" s="1"/>
  <c r="AY73" i="3"/>
  <c r="AY160" i="3" s="1"/>
  <c r="F188" i="13" s="1"/>
  <c r="AY88" i="3"/>
  <c r="AY84" i="3"/>
  <c r="AY81" i="3"/>
  <c r="AY35" i="3"/>
  <c r="AY34" i="3"/>
  <c r="J53" i="13" s="1"/>
  <c r="AY33" i="3"/>
  <c r="AY28" i="3"/>
  <c r="AY27" i="3"/>
  <c r="AY25" i="3"/>
  <c r="J50" i="13" s="1"/>
  <c r="AY20" i="3"/>
  <c r="J49" i="13" s="1"/>
  <c r="AY13" i="3"/>
  <c r="J48" i="13" s="1"/>
  <c r="AY9" i="3"/>
  <c r="AY69" i="3"/>
  <c r="DF69" i="3" s="1"/>
  <c r="J32" i="13" s="1"/>
  <c r="AY68" i="3"/>
  <c r="DF68" i="3" s="1"/>
  <c r="J31" i="13" s="1"/>
  <c r="AY67" i="3"/>
  <c r="J282" i="14" l="1"/>
  <c r="J151" i="13"/>
  <c r="DF67" i="3"/>
  <c r="J30" i="13" s="1"/>
  <c r="J281" i="14"/>
  <c r="J149" i="13"/>
  <c r="DJ149" i="3"/>
  <c r="AZ29" i="3"/>
  <c r="J33" i="13"/>
  <c r="J51" i="13"/>
  <c r="J55" i="13"/>
  <c r="J60" i="13"/>
  <c r="J90" i="13" s="1"/>
  <c r="J94" i="13" s="1"/>
  <c r="AY44" i="3"/>
  <c r="J62" i="13" s="1"/>
  <c r="J95" i="13" s="1"/>
  <c r="AY45" i="3"/>
  <c r="J63" i="13" s="1"/>
  <c r="AY43" i="3"/>
  <c r="J61" i="13" s="1"/>
  <c r="J91" i="13" s="1"/>
  <c r="AY89" i="3"/>
  <c r="AY85" i="3"/>
  <c r="AY141" i="3"/>
  <c r="AY130" i="3"/>
  <c r="J75" i="13" s="1"/>
  <c r="AY70" i="3"/>
  <c r="AY105" i="3" s="1"/>
  <c r="J76" i="13" l="1"/>
  <c r="J150" i="13" s="1"/>
  <c r="F17" i="14"/>
  <c r="AZ90" i="3"/>
  <c r="AY46" i="3"/>
  <c r="J64" i="13" s="1"/>
  <c r="AY71" i="3"/>
  <c r="AY119" i="3"/>
  <c r="AY82" i="3" l="1"/>
  <c r="AY87" i="3"/>
  <c r="AY57" i="3" s="1"/>
  <c r="DI80" i="3"/>
  <c r="DI79" i="3"/>
  <c r="DI77" i="3"/>
  <c r="DI76" i="3"/>
  <c r="DI52" i="3"/>
  <c r="M69" i="13" s="1"/>
  <c r="DI51" i="3"/>
  <c r="M68" i="13" s="1"/>
  <c r="DI50" i="3"/>
  <c r="M67" i="13" s="1"/>
  <c r="DJ4" i="3"/>
  <c r="N29" i="13" s="1"/>
  <c r="N47" i="13" s="1"/>
  <c r="DI4" i="3"/>
  <c r="M29" i="13" s="1"/>
  <c r="M47" i="13" s="1"/>
  <c r="P18" i="5"/>
  <c r="O18" i="5"/>
  <c r="N18" i="5"/>
  <c r="M18" i="5"/>
  <c r="L18" i="5"/>
  <c r="K18" i="5"/>
  <c r="K71" i="2"/>
  <c r="L71" i="2"/>
  <c r="M71" i="2"/>
  <c r="AU70" i="3"/>
  <c r="AU105" i="3" s="1"/>
  <c r="F4" i="14" l="1"/>
  <c r="F7" i="14" s="1"/>
  <c r="F19" i="14" s="1"/>
  <c r="AY54" i="3"/>
  <c r="AU71" i="3"/>
  <c r="DF71" i="3" s="1"/>
  <c r="J248" i="14"/>
  <c r="AY150" i="3"/>
  <c r="M60" i="13"/>
  <c r="M90" i="13" s="1"/>
  <c r="M94" i="13" s="1"/>
  <c r="M55" i="13"/>
  <c r="N60" i="13"/>
  <c r="N90" i="13" s="1"/>
  <c r="N94" i="13" s="1"/>
  <c r="N55" i="13"/>
  <c r="AW207" i="3"/>
  <c r="AW200" i="3"/>
  <c r="AW199" i="3"/>
  <c r="AW196" i="3"/>
  <c r="AW197" i="3" s="1"/>
  <c r="AX184" i="3"/>
  <c r="AW184" i="3"/>
  <c r="AX172" i="3"/>
  <c r="AX173" i="3" s="1"/>
  <c r="AX169" i="3"/>
  <c r="E192" i="13" s="1"/>
  <c r="AX129" i="3"/>
  <c r="AX128" i="3"/>
  <c r="AX127" i="3"/>
  <c r="AX125" i="3"/>
  <c r="DE140" i="3"/>
  <c r="DE118" i="3"/>
  <c r="DE117" i="3"/>
  <c r="DE104" i="3"/>
  <c r="AX88" i="3"/>
  <c r="AX118" i="3"/>
  <c r="I74" i="13" s="1"/>
  <c r="I152" i="13" s="1"/>
  <c r="AX73" i="3"/>
  <c r="AX160" i="3" s="1"/>
  <c r="E188" i="13" s="1"/>
  <c r="AX84" i="3"/>
  <c r="AX81" i="3"/>
  <c r="AX69" i="3"/>
  <c r="AX68" i="3"/>
  <c r="AX67" i="3"/>
  <c r="DE80" i="3"/>
  <c r="DE79" i="3"/>
  <c r="DE77" i="3"/>
  <c r="DE76" i="3"/>
  <c r="DE72" i="3"/>
  <c r="I85" i="13" s="1"/>
  <c r="DE52" i="3"/>
  <c r="I69" i="13" s="1"/>
  <c r="DE51" i="3"/>
  <c r="I68" i="13" s="1"/>
  <c r="DE50" i="3"/>
  <c r="I67" i="13" s="1"/>
  <c r="DE49" i="3"/>
  <c r="DE24" i="3"/>
  <c r="DE19" i="3"/>
  <c r="DE12" i="3"/>
  <c r="DE8" i="3"/>
  <c r="DE4" i="3"/>
  <c r="I29" i="13" s="1"/>
  <c r="I47" i="13" s="1"/>
  <c r="AU59" i="3"/>
  <c r="AV59" i="3" s="1"/>
  <c r="AW59" i="3" s="1"/>
  <c r="AX59" i="3" s="1"/>
  <c r="AX35" i="3"/>
  <c r="AX34" i="3"/>
  <c r="I53" i="13" s="1"/>
  <c r="AX33" i="3"/>
  <c r="AX28" i="3"/>
  <c r="AX27" i="3"/>
  <c r="AX25" i="3"/>
  <c r="I50" i="13" s="1"/>
  <c r="AX20" i="3"/>
  <c r="I49" i="13" s="1"/>
  <c r="AX13" i="3"/>
  <c r="I48" i="13" s="1"/>
  <c r="AX9" i="3"/>
  <c r="I282" i="14" l="1"/>
  <c r="I151" i="13"/>
  <c r="I281" i="14"/>
  <c r="I149" i="13"/>
  <c r="AX185" i="3"/>
  <c r="AY185" i="3"/>
  <c r="AX130" i="3"/>
  <c r="I75" i="13" s="1"/>
  <c r="AX149" i="3"/>
  <c r="I51" i="13"/>
  <c r="I33" i="13"/>
  <c r="I60" i="13"/>
  <c r="I90" i="13" s="1"/>
  <c r="I94" i="13" s="1"/>
  <c r="I55" i="13"/>
  <c r="AY60" i="3"/>
  <c r="AY29" i="3"/>
  <c r="AX89" i="3"/>
  <c r="DI81" i="3"/>
  <c r="M84" i="13" s="1"/>
  <c r="AX70" i="3"/>
  <c r="AX105" i="3" s="1"/>
  <c r="AW208" i="3"/>
  <c r="AW210" i="3" s="1"/>
  <c r="AX45" i="3"/>
  <c r="I63" i="13" s="1"/>
  <c r="AX44" i="3"/>
  <c r="I62" i="13" s="1"/>
  <c r="I95" i="13" s="1"/>
  <c r="AX43" i="3"/>
  <c r="I61" i="13" s="1"/>
  <c r="I91" i="13" s="1"/>
  <c r="AX202" i="3"/>
  <c r="AX141" i="3"/>
  <c r="AX85" i="3"/>
  <c r="E418" i="7"/>
  <c r="D418" i="7"/>
  <c r="I76" i="13" l="1"/>
  <c r="I150" i="13" s="1"/>
  <c r="E17" i="14"/>
  <c r="DI89" i="3"/>
  <c r="BB91" i="3"/>
  <c r="AY90" i="3"/>
  <c r="AX119" i="3"/>
  <c r="AX71" i="3"/>
  <c r="AX205" i="3"/>
  <c r="AX208" i="3"/>
  <c r="AX46" i="3"/>
  <c r="I64" i="13" s="1"/>
  <c r="E416" i="7"/>
  <c r="AX210" i="3" l="1"/>
  <c r="AX82" i="3"/>
  <c r="AX87" i="3"/>
  <c r="AX57" i="3" s="1"/>
  <c r="I363" i="7"/>
  <c r="P363" i="7" s="1"/>
  <c r="I362" i="7"/>
  <c r="O362" i="7" s="1"/>
  <c r="I361" i="7"/>
  <c r="N361" i="7" s="1"/>
  <c r="I360" i="7"/>
  <c r="M360" i="7" s="1"/>
  <c r="I359" i="7"/>
  <c r="P359" i="7" s="1"/>
  <c r="I358" i="7"/>
  <c r="O358" i="7" s="1"/>
  <c r="I357" i="7"/>
  <c r="P357" i="7" s="1"/>
  <c r="I356" i="7"/>
  <c r="M356" i="7" s="1"/>
  <c r="I355" i="7"/>
  <c r="P355" i="7" s="1"/>
  <c r="I354" i="7"/>
  <c r="M354" i="7" s="1"/>
  <c r="I353" i="7"/>
  <c r="K353" i="7" s="1"/>
  <c r="E4" i="14" l="1"/>
  <c r="E7" i="14" s="1"/>
  <c r="E19" i="14" s="1"/>
  <c r="AX54" i="3"/>
  <c r="I248" i="14"/>
  <c r="AX150" i="3"/>
  <c r="L358" i="7"/>
  <c r="K354" i="7"/>
  <c r="O354" i="7"/>
  <c r="M358" i="7"/>
  <c r="N354" i="7"/>
  <c r="N353" i="7"/>
  <c r="M353" i="7"/>
  <c r="L354" i="7"/>
  <c r="P354" i="7"/>
  <c r="M357" i="7"/>
  <c r="P358" i="7"/>
  <c r="N363" i="7"/>
  <c r="M363" i="7"/>
  <c r="K363" i="7"/>
  <c r="O363" i="7"/>
  <c r="L363" i="7"/>
  <c r="P362" i="7"/>
  <c r="M362" i="7"/>
  <c r="N362" i="7"/>
  <c r="L362" i="7"/>
  <c r="K362" i="7"/>
  <c r="K361" i="7"/>
  <c r="L361" i="7"/>
  <c r="P361" i="7"/>
  <c r="O361" i="7"/>
  <c r="M361" i="7"/>
  <c r="N360" i="7"/>
  <c r="K360" i="7"/>
  <c r="O360" i="7"/>
  <c r="P360" i="7"/>
  <c r="L360" i="7"/>
  <c r="N359" i="7"/>
  <c r="K359" i="7"/>
  <c r="O359" i="7"/>
  <c r="M359" i="7"/>
  <c r="L359" i="7"/>
  <c r="N358" i="7"/>
  <c r="K358" i="7"/>
  <c r="N357" i="7"/>
  <c r="K357" i="7"/>
  <c r="O357" i="7"/>
  <c r="L357" i="7"/>
  <c r="O356" i="7"/>
  <c r="N356" i="7"/>
  <c r="K356" i="7"/>
  <c r="L356" i="7"/>
  <c r="P356" i="7"/>
  <c r="M355" i="7"/>
  <c r="N355" i="7"/>
  <c r="K355" i="7"/>
  <c r="O355" i="7"/>
  <c r="L355" i="7"/>
  <c r="P353" i="7"/>
  <c r="L353" i="7"/>
  <c r="O353" i="7"/>
  <c r="I352" i="7"/>
  <c r="P352" i="7" s="1"/>
  <c r="I351" i="7"/>
  <c r="N351" i="7" s="1"/>
  <c r="I350" i="7"/>
  <c r="P350" i="7" s="1"/>
  <c r="I349" i="7"/>
  <c r="N349" i="7" s="1"/>
  <c r="I348" i="7"/>
  <c r="P348" i="7" s="1"/>
  <c r="I347" i="7"/>
  <c r="N347" i="7" s="1"/>
  <c r="I346" i="7"/>
  <c r="P346" i="7" s="1"/>
  <c r="I345" i="7"/>
  <c r="N345" i="7" s="1"/>
  <c r="I344" i="7"/>
  <c r="P344" i="7" s="1"/>
  <c r="I343" i="7"/>
  <c r="N343" i="7" s="1"/>
  <c r="I342" i="7"/>
  <c r="P342" i="7" s="1"/>
  <c r="I341" i="7"/>
  <c r="N341" i="7" s="1"/>
  <c r="I340" i="7"/>
  <c r="P340" i="7" s="1"/>
  <c r="I339" i="7"/>
  <c r="N339" i="7" s="1"/>
  <c r="I338" i="7"/>
  <c r="P338" i="7" s="1"/>
  <c r="I337" i="7"/>
  <c r="N337" i="7" s="1"/>
  <c r="I336" i="7"/>
  <c r="P336" i="7" s="1"/>
  <c r="P333" i="7"/>
  <c r="O333" i="7"/>
  <c r="N333" i="7"/>
  <c r="M333" i="7"/>
  <c r="L333" i="7"/>
  <c r="K333" i="7"/>
  <c r="P331" i="7"/>
  <c r="O331" i="7"/>
  <c r="N331" i="7"/>
  <c r="M331" i="7"/>
  <c r="L331" i="7"/>
  <c r="K331" i="7"/>
  <c r="I335" i="7"/>
  <c r="P335" i="7" s="1"/>
  <c r="I334" i="7"/>
  <c r="N334" i="7" s="1"/>
  <c r="I332" i="7"/>
  <c r="M332" i="7" s="1"/>
  <c r="O310" i="7"/>
  <c r="O311" i="7" s="1"/>
  <c r="M338" i="7" l="1"/>
  <c r="K334" i="7"/>
  <c r="M336" i="7"/>
  <c r="M342" i="7"/>
  <c r="O334" i="7"/>
  <c r="K337" i="7"/>
  <c r="M335" i="7"/>
  <c r="O337" i="7"/>
  <c r="O351" i="7"/>
  <c r="K332" i="7"/>
  <c r="P332" i="7"/>
  <c r="L334" i="7"/>
  <c r="P334" i="7"/>
  <c r="N335" i="7"/>
  <c r="N336" i="7"/>
  <c r="L337" i="7"/>
  <c r="P337" i="7"/>
  <c r="N338" i="7"/>
  <c r="M348" i="7"/>
  <c r="M352" i="7"/>
  <c r="N332" i="7"/>
  <c r="L332" i="7"/>
  <c r="M334" i="7"/>
  <c r="K335" i="7"/>
  <c r="O335" i="7"/>
  <c r="K336" i="7"/>
  <c r="O336" i="7"/>
  <c r="M337" i="7"/>
  <c r="K338" i="7"/>
  <c r="O338" i="7"/>
  <c r="N348" i="7"/>
  <c r="O332" i="7"/>
  <c r="L335" i="7"/>
  <c r="L336" i="7"/>
  <c r="L338" i="7"/>
  <c r="K351" i="7"/>
  <c r="L351" i="7"/>
  <c r="P351" i="7"/>
  <c r="N352" i="7"/>
  <c r="M351" i="7"/>
  <c r="K352" i="7"/>
  <c r="O352" i="7"/>
  <c r="L352" i="7"/>
  <c r="O349" i="7"/>
  <c r="L349" i="7"/>
  <c r="P349" i="7"/>
  <c r="N350" i="7"/>
  <c r="K349" i="7"/>
  <c r="M350" i="7"/>
  <c r="M349" i="7"/>
  <c r="K350" i="7"/>
  <c r="O350" i="7"/>
  <c r="L350" i="7"/>
  <c r="K348" i="7"/>
  <c r="O348" i="7"/>
  <c r="L348" i="7"/>
  <c r="N346" i="7"/>
  <c r="L347" i="7"/>
  <c r="P347" i="7"/>
  <c r="K347" i="7"/>
  <c r="K346" i="7"/>
  <c r="O346" i="7"/>
  <c r="M347" i="7"/>
  <c r="M346" i="7"/>
  <c r="O347" i="7"/>
  <c r="L346" i="7"/>
  <c r="M344" i="7"/>
  <c r="K345" i="7"/>
  <c r="O345" i="7"/>
  <c r="N344" i="7"/>
  <c r="L345" i="7"/>
  <c r="P345" i="7"/>
  <c r="K344" i="7"/>
  <c r="O344" i="7"/>
  <c r="M345" i="7"/>
  <c r="L344" i="7"/>
  <c r="O343" i="7"/>
  <c r="L343" i="7"/>
  <c r="P343" i="7"/>
  <c r="K343" i="7"/>
  <c r="M343" i="7"/>
  <c r="N342" i="7"/>
  <c r="K342" i="7"/>
  <c r="O342" i="7"/>
  <c r="L342" i="7"/>
  <c r="O341" i="7"/>
  <c r="N340" i="7"/>
  <c r="L341" i="7"/>
  <c r="P341" i="7"/>
  <c r="M340" i="7"/>
  <c r="K341" i="7"/>
  <c r="K340" i="7"/>
  <c r="O340" i="7"/>
  <c r="M341" i="7"/>
  <c r="L340" i="7"/>
  <c r="L339" i="7"/>
  <c r="P339" i="7"/>
  <c r="K339" i="7"/>
  <c r="M339" i="7"/>
  <c r="O339" i="7"/>
  <c r="AW205" i="3"/>
  <c r="AW172" i="3" l="1"/>
  <c r="AW173" i="3" s="1"/>
  <c r="AW169" i="3"/>
  <c r="D192" i="13" s="1"/>
  <c r="AW129" i="3"/>
  <c r="AW128" i="3"/>
  <c r="AW127" i="3"/>
  <c r="AW73" i="3"/>
  <c r="AW160" i="3" s="1"/>
  <c r="D188" i="13" s="1"/>
  <c r="AW125" i="3"/>
  <c r="AW88" i="3"/>
  <c r="DH88" i="3" s="1"/>
  <c r="AW118" i="3"/>
  <c r="H74" i="13" s="1"/>
  <c r="H152" i="13" s="1"/>
  <c r="DD104" i="3"/>
  <c r="DD80" i="3"/>
  <c r="DD79" i="3"/>
  <c r="DD77" i="3"/>
  <c r="DD76" i="3"/>
  <c r="DD52" i="3"/>
  <c r="H69" i="13" s="1"/>
  <c r="DD51" i="3"/>
  <c r="H68" i="13" s="1"/>
  <c r="DD50" i="3"/>
  <c r="H67" i="13" s="1"/>
  <c r="DD49" i="3"/>
  <c r="DD24" i="3"/>
  <c r="DD19" i="3"/>
  <c r="DD12" i="3"/>
  <c r="DD8" i="3"/>
  <c r="DD4" i="3"/>
  <c r="H29" i="13" s="1"/>
  <c r="H47" i="13" s="1"/>
  <c r="AW84" i="3"/>
  <c r="AW81" i="3"/>
  <c r="DH81" i="3" s="1"/>
  <c r="L84" i="13" s="1"/>
  <c r="AW69" i="3"/>
  <c r="AW68" i="3"/>
  <c r="AW67" i="3"/>
  <c r="AW35" i="3"/>
  <c r="AW34" i="3"/>
  <c r="H53" i="13" s="1"/>
  <c r="AW33" i="3"/>
  <c r="AW28" i="3"/>
  <c r="AW27" i="3"/>
  <c r="AW9" i="3"/>
  <c r="AW25" i="3"/>
  <c r="H50" i="13" s="1"/>
  <c r="AW20" i="3"/>
  <c r="H49" i="13" s="1"/>
  <c r="AW13" i="3"/>
  <c r="H48" i="13" s="1"/>
  <c r="DH125" i="3" l="1"/>
  <c r="AW149" i="3"/>
  <c r="H51" i="13"/>
  <c r="H33" i="13"/>
  <c r="H55" i="13"/>
  <c r="H60" i="13"/>
  <c r="H90" i="13" s="1"/>
  <c r="H94" i="13" s="1"/>
  <c r="DH67" i="3"/>
  <c r="L30" i="13" s="1"/>
  <c r="DH68" i="3"/>
  <c r="L31" i="13" s="1"/>
  <c r="DH28" i="3"/>
  <c r="BA30" i="3"/>
  <c r="DH69" i="3"/>
  <c r="L32" i="13" s="1"/>
  <c r="AW130" i="3"/>
  <c r="H75" i="13" s="1"/>
  <c r="AX29" i="3"/>
  <c r="AW70" i="3"/>
  <c r="AW105" i="3" s="1"/>
  <c r="AW141" i="3"/>
  <c r="I394" i="7"/>
  <c r="I395" i="7" s="1"/>
  <c r="AW89" i="3"/>
  <c r="AW43" i="3"/>
  <c r="H61" i="13" s="1"/>
  <c r="H91" i="13" s="1"/>
  <c r="AW44" i="3"/>
  <c r="H62" i="13" s="1"/>
  <c r="H95" i="13" s="1"/>
  <c r="AW85" i="3"/>
  <c r="AW45" i="3"/>
  <c r="H63" i="13" s="1"/>
  <c r="H76" i="13" l="1"/>
  <c r="H150" i="13" s="1"/>
  <c r="D17" i="14"/>
  <c r="DH89" i="3"/>
  <c r="BA91" i="3"/>
  <c r="AX90" i="3"/>
  <c r="AW119" i="3"/>
  <c r="DH149" i="3"/>
  <c r="AW71" i="3"/>
  <c r="DH71" i="3" s="1"/>
  <c r="AW46" i="3"/>
  <c r="H64" i="13" s="1"/>
  <c r="C81" i="6"/>
  <c r="N50" i="15" s="1"/>
  <c r="AW82" i="3" l="1"/>
  <c r="AW87" i="3"/>
  <c r="AU88" i="3"/>
  <c r="DF88" i="3" s="1"/>
  <c r="AT88" i="3"/>
  <c r="DE88" i="3" s="1"/>
  <c r="AS88" i="3"/>
  <c r="DD88" i="3" s="1"/>
  <c r="AV88" i="3"/>
  <c r="DG88" i="3" s="1"/>
  <c r="AW54" i="3" l="1"/>
  <c r="AW57" i="3"/>
  <c r="AW150" i="3"/>
  <c r="D4" i="14"/>
  <c r="DH87" i="3"/>
  <c r="L83" i="13" s="1"/>
  <c r="H248" i="14"/>
  <c r="DC140" i="3"/>
  <c r="DC118" i="3"/>
  <c r="H396" i="7" s="1"/>
  <c r="DC117" i="3"/>
  <c r="DC80" i="3"/>
  <c r="DC79" i="3"/>
  <c r="DC77" i="3"/>
  <c r="DC76" i="3"/>
  <c r="DC72" i="3"/>
  <c r="G85" i="13" s="1"/>
  <c r="DC52" i="3"/>
  <c r="G69" i="13" s="1"/>
  <c r="DC51" i="3"/>
  <c r="G68" i="13" s="1"/>
  <c r="DC50" i="3"/>
  <c r="G67" i="13" s="1"/>
  <c r="DC49" i="3"/>
  <c r="DC24" i="3"/>
  <c r="DC19" i="3"/>
  <c r="DC12" i="3"/>
  <c r="DC8" i="3"/>
  <c r="DC4" i="3"/>
  <c r="G29" i="13" s="1"/>
  <c r="G47" i="13" s="1"/>
  <c r="AV172" i="3"/>
  <c r="AV173" i="3" s="1"/>
  <c r="AV169" i="3"/>
  <c r="C192" i="13" s="1"/>
  <c r="AV129" i="3"/>
  <c r="AV128" i="3"/>
  <c r="AV127" i="3"/>
  <c r="AV125" i="3"/>
  <c r="AV118" i="3"/>
  <c r="G74" i="13" s="1"/>
  <c r="G152" i="13" s="1"/>
  <c r="AV73" i="3"/>
  <c r="AV160" i="3" s="1"/>
  <c r="C188" i="13" s="1"/>
  <c r="AV84" i="3"/>
  <c r="AV81" i="3"/>
  <c r="DG81" i="3" s="1"/>
  <c r="K84" i="13" s="1"/>
  <c r="AV69" i="3"/>
  <c r="O61" i="2" s="1"/>
  <c r="AV68" i="3"/>
  <c r="O60" i="2" s="1"/>
  <c r="AV67" i="3"/>
  <c r="AV35" i="3"/>
  <c r="AV34" i="3"/>
  <c r="G53" i="13" s="1"/>
  <c r="AV33" i="3"/>
  <c r="AV28" i="3"/>
  <c r="AV9" i="3"/>
  <c r="AV27" i="3"/>
  <c r="AV25" i="3"/>
  <c r="AV13" i="3"/>
  <c r="AV20" i="3"/>
  <c r="D7" i="14" l="1"/>
  <c r="AE4" i="14"/>
  <c r="G282" i="14"/>
  <c r="G151" i="13"/>
  <c r="O59" i="2"/>
  <c r="G281" i="14"/>
  <c r="G149" i="13"/>
  <c r="DG125" i="3"/>
  <c r="AV149" i="3"/>
  <c r="L254" i="14"/>
  <c r="AV44" i="3"/>
  <c r="G62" i="13" s="1"/>
  <c r="G95" i="13" s="1"/>
  <c r="G49" i="13"/>
  <c r="AV45" i="3"/>
  <c r="G63" i="13" s="1"/>
  <c r="G50" i="13"/>
  <c r="AV43" i="3"/>
  <c r="G61" i="13" s="1"/>
  <c r="G91" i="13" s="1"/>
  <c r="G48" i="13"/>
  <c r="G55" i="13"/>
  <c r="G60" i="13"/>
  <c r="G90" i="13" s="1"/>
  <c r="G94" i="13" s="1"/>
  <c r="DG68" i="3"/>
  <c r="K31" i="13" s="1"/>
  <c r="DG69" i="3"/>
  <c r="K32" i="13" s="1"/>
  <c r="AZ30" i="3"/>
  <c r="DG28" i="3"/>
  <c r="DG67" i="3"/>
  <c r="K30" i="13" s="1"/>
  <c r="AV130" i="3"/>
  <c r="G75" i="13" s="1"/>
  <c r="AW29" i="3"/>
  <c r="AV85" i="3"/>
  <c r="AV70" i="3"/>
  <c r="AV105" i="3" s="1"/>
  <c r="AV141" i="3"/>
  <c r="AV202" i="3"/>
  <c r="AV208" i="3" s="1"/>
  <c r="AV89" i="3"/>
  <c r="G76" i="13" l="1"/>
  <c r="G150" i="13" s="1"/>
  <c r="C17" i="14"/>
  <c r="AE7" i="14"/>
  <c r="D19" i="14"/>
  <c r="DG89" i="3"/>
  <c r="AZ91" i="3"/>
  <c r="AW90" i="3"/>
  <c r="DG149" i="3"/>
  <c r="G51" i="13"/>
  <c r="AV46" i="3"/>
  <c r="G64" i="13" s="1"/>
  <c r="AV119" i="3"/>
  <c r="O62" i="2"/>
  <c r="O125" i="2" s="1"/>
  <c r="AV71" i="3"/>
  <c r="AV205" i="3"/>
  <c r="AV210" i="3"/>
  <c r="D324" i="7"/>
  <c r="D325" i="7" s="1"/>
  <c r="M323" i="7"/>
  <c r="E321" i="7"/>
  <c r="G321" i="7" s="1"/>
  <c r="H321" i="7" s="1"/>
  <c r="I321" i="7" s="1"/>
  <c r="J321" i="7" s="1"/>
  <c r="K321" i="7" s="1"/>
  <c r="AV87" i="3" l="1"/>
  <c r="DG71" i="3"/>
  <c r="AV82" i="3"/>
  <c r="E324" i="7"/>
  <c r="N149" i="2"/>
  <c r="N67" i="2"/>
  <c r="N46" i="2"/>
  <c r="O48" i="2" s="1"/>
  <c r="N34" i="2"/>
  <c r="N36" i="2" s="1"/>
  <c r="N25" i="2"/>
  <c r="N27" i="2" s="1"/>
  <c r="N15" i="2"/>
  <c r="N21" i="2" s="1"/>
  <c r="N5" i="2"/>
  <c r="AV54" i="3" l="1"/>
  <c r="AV57" i="3"/>
  <c r="AV150" i="3"/>
  <c r="C4" i="14"/>
  <c r="DG87" i="3"/>
  <c r="K83" i="13" s="1"/>
  <c r="G248" i="14"/>
  <c r="O7" i="2"/>
  <c r="O6" i="2"/>
  <c r="N71" i="2"/>
  <c r="DJ76" i="3"/>
  <c r="N51" i="2"/>
  <c r="N6" i="2"/>
  <c r="N7" i="2"/>
  <c r="N30" i="2"/>
  <c r="O31" i="2" s="1"/>
  <c r="N39" i="2"/>
  <c r="O40" i="2" s="1"/>
  <c r="E325" i="7"/>
  <c r="N47" i="2"/>
  <c r="N48" i="2"/>
  <c r="N35" i="2"/>
  <c r="N16" i="2"/>
  <c r="N17" i="2"/>
  <c r="N26" i="2"/>
  <c r="AU172" i="3"/>
  <c r="AU173" i="3" s="1"/>
  <c r="AU169" i="3"/>
  <c r="AU129" i="3"/>
  <c r="AU128" i="3"/>
  <c r="AU127" i="3"/>
  <c r="AU125" i="3"/>
  <c r="AU149" i="3" s="1"/>
  <c r="AU118" i="3"/>
  <c r="F74" i="13" s="1"/>
  <c r="F152" i="13" s="1"/>
  <c r="AU73" i="3"/>
  <c r="AU35" i="3"/>
  <c r="AU34" i="3"/>
  <c r="F53" i="13" s="1"/>
  <c r="AU33" i="3"/>
  <c r="AU28" i="3"/>
  <c r="AU27" i="3"/>
  <c r="AU25" i="3"/>
  <c r="AU20" i="3"/>
  <c r="AU13" i="3"/>
  <c r="AU9" i="3"/>
  <c r="AU84" i="3"/>
  <c r="AU81" i="3"/>
  <c r="AU87" i="3"/>
  <c r="O52" i="2" l="1"/>
  <c r="C7" i="14"/>
  <c r="AD4" i="14"/>
  <c r="AU150" i="3"/>
  <c r="DF149" i="3"/>
  <c r="DF87" i="3"/>
  <c r="J83" i="13" s="1"/>
  <c r="F248" i="14"/>
  <c r="J254" i="14" s="1"/>
  <c r="K254" i="14"/>
  <c r="AU44" i="3"/>
  <c r="F62" i="13" s="1"/>
  <c r="F95" i="13" s="1"/>
  <c r="F49" i="13"/>
  <c r="AU45" i="3"/>
  <c r="F63" i="13" s="1"/>
  <c r="F50" i="13"/>
  <c r="AU43" i="3"/>
  <c r="F61" i="13" s="1"/>
  <c r="F91" i="13" s="1"/>
  <c r="F48" i="13"/>
  <c r="AV29" i="3"/>
  <c r="AY30" i="3"/>
  <c r="DF28" i="3"/>
  <c r="AU85" i="3"/>
  <c r="DF81" i="3"/>
  <c r="J84" i="13" s="1"/>
  <c r="AU130" i="3"/>
  <c r="F75" i="13" s="1"/>
  <c r="DF125" i="3"/>
  <c r="AU160" i="3"/>
  <c r="AU141" i="3"/>
  <c r="F76" i="13" s="1"/>
  <c r="F150" i="13" s="1"/>
  <c r="AU202" i="3"/>
  <c r="AU82" i="3"/>
  <c r="AU89" i="3"/>
  <c r="G324" i="7"/>
  <c r="DB140" i="3"/>
  <c r="DB118" i="3"/>
  <c r="G396" i="7" s="1"/>
  <c r="DB117" i="3"/>
  <c r="DB80" i="3"/>
  <c r="DB79" i="3"/>
  <c r="DB77" i="3"/>
  <c r="DB76" i="3"/>
  <c r="DB72" i="3"/>
  <c r="F85" i="13" s="1"/>
  <c r="DB52" i="3"/>
  <c r="F69" i="13" s="1"/>
  <c r="DB51" i="3"/>
  <c r="F68" i="13" s="1"/>
  <c r="DB50" i="3"/>
  <c r="F67" i="13" s="1"/>
  <c r="DB49" i="3"/>
  <c r="DB24" i="3"/>
  <c r="DB19" i="3"/>
  <c r="DB12" i="3"/>
  <c r="DB8" i="3"/>
  <c r="DB4" i="3"/>
  <c r="F29" i="13" s="1"/>
  <c r="F47" i="13" s="1"/>
  <c r="AD7" i="14" l="1"/>
  <c r="C19" i="14"/>
  <c r="F282" i="14"/>
  <c r="F151" i="13"/>
  <c r="DF89" i="3"/>
  <c r="AY91" i="3"/>
  <c r="AV90" i="3"/>
  <c r="F281" i="14"/>
  <c r="F149" i="13"/>
  <c r="AU46" i="3"/>
  <c r="F64" i="13" s="1"/>
  <c r="F51" i="13"/>
  <c r="F55" i="13"/>
  <c r="F60" i="13"/>
  <c r="F90" i="13" s="1"/>
  <c r="F94" i="13" s="1"/>
  <c r="AU205" i="3"/>
  <c r="AU208" i="3"/>
  <c r="AU210" i="3" s="1"/>
  <c r="G325" i="7"/>
  <c r="H324" i="7"/>
  <c r="H325" i="7" l="1"/>
  <c r="I324" i="7"/>
  <c r="D271" i="7"/>
  <c r="D139" i="7"/>
  <c r="I325" i="7" l="1"/>
  <c r="J324" i="7"/>
  <c r="K194" i="7"/>
  <c r="K198" i="7" s="1"/>
  <c r="K208" i="7" s="1"/>
  <c r="H202" i="7"/>
  <c r="H204" i="7" s="1"/>
  <c r="G202" i="7"/>
  <c r="G204" i="7" s="1"/>
  <c r="E202" i="7"/>
  <c r="E204" i="7" s="1"/>
  <c r="D202" i="7"/>
  <c r="D204" i="7" s="1"/>
  <c r="J194" i="7"/>
  <c r="J198" i="7" s="1"/>
  <c r="J208" i="7" s="1"/>
  <c r="I194" i="7"/>
  <c r="H194" i="7"/>
  <c r="H198" i="7" s="1"/>
  <c r="H208" i="7" s="1"/>
  <c r="G194" i="7"/>
  <c r="G198" i="7" s="1"/>
  <c r="G208" i="7" s="1"/>
  <c r="E194" i="7"/>
  <c r="D194" i="7"/>
  <c r="D198" i="7" s="1"/>
  <c r="D208" i="7" s="1"/>
  <c r="J325" i="7" l="1"/>
  <c r="K324" i="7"/>
  <c r="E198" i="7"/>
  <c r="E208" i="7" s="1"/>
  <c r="I198" i="7"/>
  <c r="I208" i="7" s="1"/>
  <c r="K325" i="7" l="1"/>
  <c r="L324" i="7"/>
  <c r="L325" i="7" s="1"/>
  <c r="E314" i="7" l="1"/>
  <c r="G314" i="7" s="1"/>
  <c r="H314" i="7" s="1"/>
  <c r="I314" i="7" s="1"/>
  <c r="E305" i="7" l="1"/>
  <c r="G305" i="7" s="1"/>
  <c r="H305" i="7" s="1"/>
  <c r="I305" i="7" s="1"/>
  <c r="E295" i="7"/>
  <c r="G295" i="7" s="1"/>
  <c r="H295" i="7" s="1"/>
  <c r="I295" i="7" s="1"/>
  <c r="D283" i="7" l="1"/>
  <c r="D284" i="7" s="1"/>
  <c r="E284" i="7" s="1"/>
  <c r="E282" i="7"/>
  <c r="E285" i="7" l="1"/>
  <c r="N191" i="7"/>
  <c r="O191" i="7"/>
  <c r="K191" i="7"/>
  <c r="L191" i="7"/>
  <c r="M191" i="7"/>
  <c r="D273" i="7" l="1"/>
  <c r="D276" i="7" s="1"/>
  <c r="D278" i="7" l="1"/>
  <c r="E288" i="7"/>
  <c r="E287" i="7"/>
  <c r="AT202" i="3" l="1"/>
  <c r="AT205" i="3" s="1"/>
  <c r="DA140" i="3"/>
  <c r="DA118" i="3"/>
  <c r="DA117" i="3"/>
  <c r="DA80" i="3"/>
  <c r="DA79" i="3"/>
  <c r="DA77" i="3"/>
  <c r="DA76" i="3"/>
  <c r="DA72" i="3"/>
  <c r="E85" i="13" s="1"/>
  <c r="DA52" i="3"/>
  <c r="E69" i="13" s="1"/>
  <c r="DA51" i="3"/>
  <c r="E68" i="13" s="1"/>
  <c r="DA50" i="3"/>
  <c r="E67" i="13" s="1"/>
  <c r="DA49" i="3"/>
  <c r="DA24" i="3"/>
  <c r="DA19" i="3"/>
  <c r="DA12" i="3"/>
  <c r="DA8" i="3"/>
  <c r="DA4" i="3"/>
  <c r="E29" i="13" s="1"/>
  <c r="E47" i="13" s="1"/>
  <c r="AT172" i="3"/>
  <c r="AT173" i="3" s="1"/>
  <c r="AT169" i="3"/>
  <c r="AT129" i="3"/>
  <c r="AT128" i="3"/>
  <c r="AT127" i="3"/>
  <c r="AT125" i="3"/>
  <c r="AT149" i="3" s="1"/>
  <c r="AT118" i="3"/>
  <c r="E74" i="13" s="1"/>
  <c r="E152" i="13" s="1"/>
  <c r="AT73" i="3"/>
  <c r="AT84" i="3"/>
  <c r="AT81" i="3"/>
  <c r="DE81" i="3" s="1"/>
  <c r="I84" i="13" s="1"/>
  <c r="AT69" i="3"/>
  <c r="AT68" i="3"/>
  <c r="DE68" i="3" s="1"/>
  <c r="I31" i="13" s="1"/>
  <c r="AT67" i="3"/>
  <c r="AT35" i="3"/>
  <c r="AT34" i="3"/>
  <c r="E53" i="13" s="1"/>
  <c r="AT33" i="3"/>
  <c r="AT28" i="3"/>
  <c r="AT27" i="3"/>
  <c r="AT25" i="3"/>
  <c r="E50" i="13" s="1"/>
  <c r="AT20" i="3"/>
  <c r="E49" i="13" s="1"/>
  <c r="AT13" i="3"/>
  <c r="E48" i="13" s="1"/>
  <c r="AT9" i="3"/>
  <c r="E282" i="14" l="1"/>
  <c r="E151" i="13"/>
  <c r="E281" i="14"/>
  <c r="E149" i="13"/>
  <c r="DE149" i="3"/>
  <c r="E51" i="13"/>
  <c r="E60" i="13"/>
  <c r="E90" i="13" s="1"/>
  <c r="E94" i="13" s="1"/>
  <c r="E55" i="13"/>
  <c r="DE69" i="3"/>
  <c r="I32" i="13" s="1"/>
  <c r="DE67" i="3"/>
  <c r="I30" i="13" s="1"/>
  <c r="AT70" i="3"/>
  <c r="AT105" i="3" s="1"/>
  <c r="DE125" i="3"/>
  <c r="AT130" i="3"/>
  <c r="E75" i="13" s="1"/>
  <c r="AT208" i="3"/>
  <c r="AU29" i="3"/>
  <c r="AX30" i="3"/>
  <c r="DE28" i="3"/>
  <c r="AT160" i="3"/>
  <c r="AT141" i="3"/>
  <c r="E76" i="13" s="1"/>
  <c r="E150" i="13" s="1"/>
  <c r="AT44" i="3"/>
  <c r="E62" i="13" s="1"/>
  <c r="E95" i="13" s="1"/>
  <c r="AT45" i="3"/>
  <c r="E63" i="13" s="1"/>
  <c r="AT43" i="3"/>
  <c r="E61" i="13" s="1"/>
  <c r="E91" i="13" s="1"/>
  <c r="AT85" i="3"/>
  <c r="AT89" i="3"/>
  <c r="DE89" i="3" l="1"/>
  <c r="AX91" i="3"/>
  <c r="AU90" i="3"/>
  <c r="AT71" i="3"/>
  <c r="DE71" i="3" s="1"/>
  <c r="AT210" i="3"/>
  <c r="AT46" i="3"/>
  <c r="E64" i="13" s="1"/>
  <c r="AT87" i="3" l="1"/>
  <c r="AT150" i="3" s="1"/>
  <c r="AT82" i="3"/>
  <c r="X113" i="9"/>
  <c r="AQ172" i="3"/>
  <c r="AP172" i="3"/>
  <c r="AR207" i="3"/>
  <c r="AR204" i="3"/>
  <c r="AR199" i="3"/>
  <c r="AS199" i="3"/>
  <c r="AR200" i="3"/>
  <c r="AR196" i="3"/>
  <c r="AR197" i="3" s="1"/>
  <c r="E248" i="14" l="1"/>
  <c r="I254" i="14" s="1"/>
  <c r="DE87" i="3"/>
  <c r="I83" i="13" s="1"/>
  <c r="AA113" i="9"/>
  <c r="AB113" i="9"/>
  <c r="AD113" i="9"/>
  <c r="Y113" i="9"/>
  <c r="AC113" i="9"/>
  <c r="Z113" i="9"/>
  <c r="AR172" i="3"/>
  <c r="AR173" i="3" s="1"/>
  <c r="M264" i="7"/>
  <c r="L264" i="7"/>
  <c r="K264" i="7"/>
  <c r="J264" i="7"/>
  <c r="I264" i="7"/>
  <c r="H264" i="7"/>
  <c r="G264" i="7"/>
  <c r="E264" i="7"/>
  <c r="D264" i="7"/>
  <c r="M265" i="7"/>
  <c r="L265" i="7"/>
  <c r="K265" i="7"/>
  <c r="J265" i="7"/>
  <c r="I265" i="7"/>
  <c r="H265" i="7"/>
  <c r="G265" i="7"/>
  <c r="E265" i="7"/>
  <c r="D265" i="7"/>
  <c r="F15" i="12" l="1"/>
  <c r="D15" i="12"/>
  <c r="C15" i="12"/>
  <c r="E15" i="12"/>
  <c r="G15" i="12"/>
  <c r="AE113" i="9"/>
  <c r="H15" i="12"/>
  <c r="AR202" i="3"/>
  <c r="AS140" i="3"/>
  <c r="DD140" i="3" l="1"/>
  <c r="AS195" i="3"/>
  <c r="AS197" i="3" s="1"/>
  <c r="AS202" i="3" s="1"/>
  <c r="AF113" i="9"/>
  <c r="AR205" i="3"/>
  <c r="AU184" i="3"/>
  <c r="AV184" i="3"/>
  <c r="AR208" i="3"/>
  <c r="AT184" i="3"/>
  <c r="AS184" i="3"/>
  <c r="AS172" i="3"/>
  <c r="AS173" i="3" s="1"/>
  <c r="AS117" i="3"/>
  <c r="AS72" i="3"/>
  <c r="AS191" i="3" s="1"/>
  <c r="I15" i="12" l="1"/>
  <c r="H281" i="14"/>
  <c r="H149" i="13"/>
  <c r="AT185" i="3"/>
  <c r="AV185" i="3"/>
  <c r="AW185" i="3"/>
  <c r="AU185" i="3"/>
  <c r="N140" i="2"/>
  <c r="N135" i="2" s="1"/>
  <c r="N136" i="2" s="1"/>
  <c r="DD72" i="3"/>
  <c r="H85" i="13" s="1"/>
  <c r="D245" i="14"/>
  <c r="H253" i="14" s="1"/>
  <c r="AG113" i="9"/>
  <c r="DD118" i="3"/>
  <c r="I396" i="7" s="1"/>
  <c r="DD117" i="3"/>
  <c r="AR210" i="3"/>
  <c r="AS208" i="3"/>
  <c r="AS210" i="3" s="1"/>
  <c r="AS205" i="3"/>
  <c r="AS125" i="3"/>
  <c r="AS149" i="3" s="1"/>
  <c r="AS169" i="3"/>
  <c r="AR169" i="3"/>
  <c r="H282" i="14" l="1"/>
  <c r="H151" i="13"/>
  <c r="DD149" i="3"/>
  <c r="AH113" i="9"/>
  <c r="DD125" i="3"/>
  <c r="AS130" i="3"/>
  <c r="D75" i="13" s="1"/>
  <c r="CZ52" i="3"/>
  <c r="D69" i="13" s="1"/>
  <c r="CZ51" i="3"/>
  <c r="D68" i="13" s="1"/>
  <c r="CZ50" i="3"/>
  <c r="D67" i="13" s="1"/>
  <c r="CZ49" i="3"/>
  <c r="CZ80" i="3"/>
  <c r="CZ79" i="3"/>
  <c r="CZ77" i="3"/>
  <c r="CZ76" i="3"/>
  <c r="CZ24" i="3"/>
  <c r="CZ19" i="3"/>
  <c r="CZ12" i="3"/>
  <c r="CZ8" i="3"/>
  <c r="CZ4" i="3"/>
  <c r="D29" i="13" s="1"/>
  <c r="D47" i="13" s="1"/>
  <c r="AS129" i="3"/>
  <c r="AS128" i="3"/>
  <c r="AS127" i="3"/>
  <c r="AS118" i="3"/>
  <c r="D74" i="13" s="1"/>
  <c r="D152" i="13" s="1"/>
  <c r="AS73" i="3"/>
  <c r="AS84" i="3"/>
  <c r="AS81" i="3"/>
  <c r="DD81" i="3" s="1"/>
  <c r="H84" i="13" s="1"/>
  <c r="AS69" i="3"/>
  <c r="AS68" i="3"/>
  <c r="DD68" i="3" s="1"/>
  <c r="H31" i="13" s="1"/>
  <c r="AS67" i="3"/>
  <c r="AS35" i="3"/>
  <c r="AS34" i="3"/>
  <c r="D53" i="13" s="1"/>
  <c r="AS33" i="3"/>
  <c r="AR17" i="3"/>
  <c r="AS17" i="3"/>
  <c r="AS28" i="3"/>
  <c r="AS27" i="3"/>
  <c r="AS25" i="3"/>
  <c r="D50" i="13" s="1"/>
  <c r="AS22" i="3"/>
  <c r="AS20" i="3"/>
  <c r="D49" i="13" s="1"/>
  <c r="AS13" i="3"/>
  <c r="D48" i="13" s="1"/>
  <c r="AS9" i="3"/>
  <c r="D51" i="13" l="1"/>
  <c r="D60" i="13"/>
  <c r="D90" i="13" s="1"/>
  <c r="D94" i="13" s="1"/>
  <c r="D55" i="13"/>
  <c r="AI113" i="9"/>
  <c r="DD67" i="3"/>
  <c r="H30" i="13" s="1"/>
  <c r="AS70" i="3"/>
  <c r="AS105" i="3" s="1"/>
  <c r="DD69" i="3"/>
  <c r="H32" i="13" s="1"/>
  <c r="AW30" i="3"/>
  <c r="DD28" i="3"/>
  <c r="AS160" i="3"/>
  <c r="AS141" i="3"/>
  <c r="D76" i="13" s="1"/>
  <c r="D150" i="13" s="1"/>
  <c r="AS26" i="3"/>
  <c r="AS89" i="3"/>
  <c r="AT29" i="3"/>
  <c r="AS85" i="3"/>
  <c r="AS43" i="3"/>
  <c r="D61" i="13" s="1"/>
  <c r="D91" i="13" s="1"/>
  <c r="AS14" i="3"/>
  <c r="AS44" i="3"/>
  <c r="D62" i="13" s="1"/>
  <c r="D95" i="13" s="1"/>
  <c r="AS21" i="3"/>
  <c r="AS45" i="3"/>
  <c r="D63" i="13" s="1"/>
  <c r="CY4" i="3"/>
  <c r="C29" i="13" s="1"/>
  <c r="C47" i="13" s="1"/>
  <c r="CY80" i="3"/>
  <c r="CY79" i="3"/>
  <c r="CY77" i="3"/>
  <c r="CY76" i="3"/>
  <c r="CY72" i="3"/>
  <c r="C85" i="13" s="1"/>
  <c r="CY52" i="3"/>
  <c r="C69" i="13" s="1"/>
  <c r="CY51" i="3"/>
  <c r="C68" i="13" s="1"/>
  <c r="CY50" i="3"/>
  <c r="C67" i="13" s="1"/>
  <c r="CY49" i="3"/>
  <c r="CY24" i="3"/>
  <c r="CY19" i="3"/>
  <c r="CY12" i="3"/>
  <c r="CY8" i="3"/>
  <c r="DD89" i="3" l="1"/>
  <c r="AW91" i="3"/>
  <c r="AT90" i="3"/>
  <c r="AS71" i="3"/>
  <c r="DD71" i="3" s="1"/>
  <c r="C55" i="13"/>
  <c r="C60" i="13"/>
  <c r="C90" i="13" s="1"/>
  <c r="C94" i="13" s="1"/>
  <c r="AS46" i="3"/>
  <c r="D64" i="13" s="1"/>
  <c r="CW117" i="3"/>
  <c r="CX117" i="3"/>
  <c r="CJ121" i="3"/>
  <c r="CJ122" i="3" s="1"/>
  <c r="AS82" i="3" l="1"/>
  <c r="AS87" i="3"/>
  <c r="AS150" i="3" s="1"/>
  <c r="AR73" i="3"/>
  <c r="D248" i="14" l="1"/>
  <c r="H254" i="14" s="1"/>
  <c r="DD87" i="3"/>
  <c r="H83" i="13" s="1"/>
  <c r="AR160" i="3"/>
  <c r="AR141" i="3"/>
  <c r="C76" i="13" s="1"/>
  <c r="C150" i="13" s="1"/>
  <c r="AR129" i="3"/>
  <c r="AR128" i="3"/>
  <c r="AR127" i="3"/>
  <c r="AR125" i="3"/>
  <c r="AR149" i="3" s="1"/>
  <c r="AR104" i="3"/>
  <c r="AR84" i="3"/>
  <c r="AR81" i="3"/>
  <c r="DC81" i="3" s="1"/>
  <c r="G84" i="13" s="1"/>
  <c r="AR35" i="3"/>
  <c r="AR34" i="3"/>
  <c r="C53" i="13" s="1"/>
  <c r="AR33" i="3"/>
  <c r="AR9" i="3"/>
  <c r="AR28" i="3"/>
  <c r="DC28" i="3" s="1"/>
  <c r="AR27" i="3"/>
  <c r="AR25" i="3"/>
  <c r="C50" i="13" s="1"/>
  <c r="AR13" i="3"/>
  <c r="C48" i="13" s="1"/>
  <c r="AR22" i="3"/>
  <c r="AR20" i="3"/>
  <c r="C49" i="13" s="1"/>
  <c r="AR69" i="3"/>
  <c r="AR68" i="3"/>
  <c r="AR67" i="3"/>
  <c r="DC149" i="3" l="1"/>
  <c r="C51" i="13"/>
  <c r="AR88" i="3"/>
  <c r="DC88" i="3" s="1"/>
  <c r="AR70" i="3"/>
  <c r="AR105" i="3" s="1"/>
  <c r="DC125" i="3"/>
  <c r="AR130" i="3"/>
  <c r="C75" i="13" s="1"/>
  <c r="N59" i="2"/>
  <c r="DC67" i="3"/>
  <c r="G30" i="13" s="1"/>
  <c r="N61" i="2"/>
  <c r="DC69" i="3"/>
  <c r="G32" i="13" s="1"/>
  <c r="N60" i="2"/>
  <c r="DC68" i="3"/>
  <c r="G31" i="13" s="1"/>
  <c r="DC104" i="3"/>
  <c r="AS29" i="3"/>
  <c r="AV30" i="3"/>
  <c r="AR118" i="3"/>
  <c r="C74" i="13" s="1"/>
  <c r="C152" i="13" s="1"/>
  <c r="AR44" i="3"/>
  <c r="C62" i="13" s="1"/>
  <c r="C95" i="13" s="1"/>
  <c r="AR43" i="3"/>
  <c r="C61" i="13" s="1"/>
  <c r="C91" i="13" s="1"/>
  <c r="AR45" i="3"/>
  <c r="C63" i="13" s="1"/>
  <c r="AR89" i="3"/>
  <c r="AR85" i="3"/>
  <c r="C1064" i="4"/>
  <c r="DC89" i="3" l="1"/>
  <c r="AV91" i="3"/>
  <c r="AS90" i="3"/>
  <c r="N62" i="2"/>
  <c r="N142" i="2" s="1"/>
  <c r="G33" i="13"/>
  <c r="AR71" i="3"/>
  <c r="DC71" i="3" s="1"/>
  <c r="H394" i="7"/>
  <c r="H395" i="7" s="1"/>
  <c r="AR46" i="3"/>
  <c r="C64" i="13" s="1"/>
  <c r="C257" i="7"/>
  <c r="C256" i="7"/>
  <c r="C255" i="7"/>
  <c r="O20" i="2"/>
  <c r="E248" i="7"/>
  <c r="G248" i="7" s="1"/>
  <c r="H248" i="7" s="1"/>
  <c r="I248" i="7" s="1"/>
  <c r="J248" i="7" s="1"/>
  <c r="K248" i="7" s="1"/>
  <c r="L248" i="7" s="1"/>
  <c r="M248" i="7" s="1"/>
  <c r="N248" i="7" s="1"/>
  <c r="O248" i="7" s="1"/>
  <c r="P248" i="7" s="1"/>
  <c r="Q248" i="7" s="1"/>
  <c r="R248" i="7" s="1"/>
  <c r="S248" i="7" s="1"/>
  <c r="T248" i="7" s="1"/>
  <c r="U248" i="7" s="1"/>
  <c r="V248" i="7" s="1"/>
  <c r="N63" i="2" l="1"/>
  <c r="N125" i="2"/>
  <c r="P20" i="2"/>
  <c r="O21" i="2"/>
  <c r="O22" i="2" s="1"/>
  <c r="AR82" i="3"/>
  <c r="AR87" i="3"/>
  <c r="AR150" i="3" s="1"/>
  <c r="E229" i="7"/>
  <c r="D229" i="7"/>
  <c r="E227" i="7"/>
  <c r="E224" i="7" s="1"/>
  <c r="E222" i="7" s="1"/>
  <c r="E231" i="7"/>
  <c r="E233" i="7" s="1"/>
  <c r="E235" i="7"/>
  <c r="E234" i="7"/>
  <c r="E238" i="7" s="1"/>
  <c r="D236" i="7"/>
  <c r="D238" i="7"/>
  <c r="D224" i="7"/>
  <c r="D222" i="7" s="1"/>
  <c r="D233" i="7"/>
  <c r="N99" i="2" l="1"/>
  <c r="N92" i="2"/>
  <c r="N85" i="2"/>
  <c r="N143" i="2" s="1"/>
  <c r="DC87" i="3"/>
  <c r="G83" i="13" s="1"/>
  <c r="C248" i="14"/>
  <c r="G254" i="14" s="1"/>
  <c r="Q20" i="2"/>
  <c r="P21" i="2"/>
  <c r="P22" i="2" s="1"/>
  <c r="E236" i="7"/>
  <c r="E239" i="7"/>
  <c r="D239" i="7"/>
  <c r="R20" i="2" l="1"/>
  <c r="Q21" i="2"/>
  <c r="Q22" i="2" s="1"/>
  <c r="D240" i="7"/>
  <c r="D242" i="7" s="1"/>
  <c r="D243" i="7" s="1"/>
  <c r="E240" i="7"/>
  <c r="E242" i="7" s="1"/>
  <c r="E243" i="7" s="1"/>
  <c r="S20" i="2" l="1"/>
  <c r="R21" i="2"/>
  <c r="R22" i="2" s="1"/>
  <c r="D245" i="7"/>
  <c r="E245" i="7"/>
  <c r="T20" i="2" l="1"/>
  <c r="S21" i="2"/>
  <c r="S22" i="2" s="1"/>
  <c r="AQ182" i="3"/>
  <c r="M149" i="2"/>
  <c r="M137" i="2"/>
  <c r="T21" i="2" l="1"/>
  <c r="T22" i="2" s="1"/>
  <c r="U20" i="2"/>
  <c r="DJ80" i="3"/>
  <c r="AQ202" i="3"/>
  <c r="M51" i="2"/>
  <c r="M48" i="2"/>
  <c r="M47" i="2"/>
  <c r="M39" i="2"/>
  <c r="N40" i="2" s="1"/>
  <c r="M30" i="2"/>
  <c r="N31" i="2" s="1"/>
  <c r="M21" i="2"/>
  <c r="N22" i="2" s="1"/>
  <c r="M17" i="2"/>
  <c r="M16" i="2"/>
  <c r="M7" i="2"/>
  <c r="M6" i="2"/>
  <c r="M127" i="2"/>
  <c r="R6" i="1" s="1"/>
  <c r="N52" i="2" l="1"/>
  <c r="U21" i="2"/>
  <c r="U22" i="2" s="1"/>
  <c r="V20" i="2"/>
  <c r="AQ205" i="3"/>
  <c r="AQ208" i="3"/>
  <c r="M148" i="2"/>
  <c r="M133" i="2"/>
  <c r="AQ179" i="3"/>
  <c r="AQ169" i="3"/>
  <c r="AQ129" i="3"/>
  <c r="AQ128" i="3"/>
  <c r="AQ127" i="3"/>
  <c r="AQ125" i="3"/>
  <c r="AQ149" i="3" s="1"/>
  <c r="AQ104" i="3"/>
  <c r="AQ73" i="3"/>
  <c r="AQ84" i="3"/>
  <c r="AQ81" i="3"/>
  <c r="AQ69" i="3"/>
  <c r="AQ68" i="3"/>
  <c r="AQ67" i="3"/>
  <c r="CX140" i="3"/>
  <c r="CX80" i="3"/>
  <c r="CX79" i="3"/>
  <c r="CX77" i="3"/>
  <c r="CX76" i="3"/>
  <c r="CX72" i="3"/>
  <c r="CX52" i="3"/>
  <c r="CX51" i="3"/>
  <c r="CX50" i="3"/>
  <c r="CX49" i="3"/>
  <c r="CX24" i="3"/>
  <c r="CX19" i="3"/>
  <c r="CX12" i="3"/>
  <c r="CX8" i="3"/>
  <c r="CX4" i="3"/>
  <c r="AQ35" i="3"/>
  <c r="AQ34" i="3"/>
  <c r="AQ33" i="3"/>
  <c r="AQ9" i="3"/>
  <c r="AQ28" i="3"/>
  <c r="AQ27" i="3"/>
  <c r="AQ25" i="3"/>
  <c r="AQ22" i="3"/>
  <c r="AQ20" i="3"/>
  <c r="AQ13" i="3"/>
  <c r="DB149" i="3" l="1"/>
  <c r="W20" i="2"/>
  <c r="V21" i="2"/>
  <c r="V22" i="2" s="1"/>
  <c r="DB125" i="3"/>
  <c r="AQ130" i="3"/>
  <c r="AQ88" i="3"/>
  <c r="DB88" i="3" s="1"/>
  <c r="AQ70" i="3"/>
  <c r="AQ105" i="3" s="1"/>
  <c r="AQ160" i="3"/>
  <c r="AQ141" i="3"/>
  <c r="DB68" i="3"/>
  <c r="F31" i="13" s="1"/>
  <c r="AU30" i="3"/>
  <c r="DB28" i="3"/>
  <c r="DB67" i="3"/>
  <c r="F30" i="13" s="1"/>
  <c r="DB69" i="3"/>
  <c r="F32" i="13" s="1"/>
  <c r="AQ85" i="3"/>
  <c r="DB81" i="3"/>
  <c r="F84" i="13" s="1"/>
  <c r="AQ118" i="3"/>
  <c r="DB104" i="3"/>
  <c r="AQ43" i="3"/>
  <c r="AQ44" i="3"/>
  <c r="AQ45" i="3"/>
  <c r="AQ210" i="3"/>
  <c r="AR29" i="3"/>
  <c r="AQ89" i="3"/>
  <c r="AP182" i="3"/>
  <c r="AO182" i="3"/>
  <c r="AP179" i="3"/>
  <c r="AO179" i="3"/>
  <c r="DB89" i="3" l="1"/>
  <c r="AU91" i="3"/>
  <c r="AR90" i="3"/>
  <c r="AQ71" i="3"/>
  <c r="DB71" i="3" s="1"/>
  <c r="F33" i="13"/>
  <c r="T70" i="2"/>
  <c r="U70" i="2" s="1"/>
  <c r="X20" i="2"/>
  <c r="W21" i="2"/>
  <c r="W22" i="2" s="1"/>
  <c r="G394" i="7"/>
  <c r="G395" i="7" s="1"/>
  <c r="AQ46" i="3"/>
  <c r="CW140" i="3"/>
  <c r="AQ87" i="3" l="1"/>
  <c r="AQ150" i="3" s="1"/>
  <c r="AQ82" i="3"/>
  <c r="Y20" i="2"/>
  <c r="X21" i="2"/>
  <c r="X22" i="2" s="1"/>
  <c r="V70" i="2"/>
  <c r="U137" i="2"/>
  <c r="AP202" i="3"/>
  <c r="Y21" i="2" l="1"/>
  <c r="Y22" i="2" s="1"/>
  <c r="Z20" i="2"/>
  <c r="DB87" i="3"/>
  <c r="F83" i="13" s="1"/>
  <c r="W70" i="2"/>
  <c r="V137" i="2"/>
  <c r="AP205" i="3"/>
  <c r="AP208" i="3"/>
  <c r="AL72" i="3"/>
  <c r="CW80" i="3"/>
  <c r="CW79" i="3"/>
  <c r="CW77" i="3"/>
  <c r="CW76" i="3"/>
  <c r="CW52" i="3"/>
  <c r="CW51" i="3"/>
  <c r="CW50" i="3"/>
  <c r="CW49" i="3"/>
  <c r="CW24" i="3"/>
  <c r="CW19" i="3"/>
  <c r="CW12" i="3"/>
  <c r="CW8" i="3"/>
  <c r="CW4" i="3"/>
  <c r="CV24" i="3"/>
  <c r="CV19" i="3"/>
  <c r="CV12" i="3"/>
  <c r="CV8" i="3"/>
  <c r="AP169" i="3"/>
  <c r="AP129" i="3"/>
  <c r="AP128" i="3"/>
  <c r="AP127" i="3"/>
  <c r="AP125" i="3"/>
  <c r="AP149" i="3" s="1"/>
  <c r="AP104" i="3"/>
  <c r="AP73" i="3"/>
  <c r="AP84" i="3"/>
  <c r="AP81" i="3"/>
  <c r="DA81" i="3" s="1"/>
  <c r="E84" i="13" s="1"/>
  <c r="AP69" i="3"/>
  <c r="AP68" i="3"/>
  <c r="AP67" i="3"/>
  <c r="AP35" i="3"/>
  <c r="AP34" i="3"/>
  <c r="AP33" i="3"/>
  <c r="AP28" i="3"/>
  <c r="AP27" i="3"/>
  <c r="AP25" i="3"/>
  <c r="AP22" i="3"/>
  <c r="AP20" i="3"/>
  <c r="AP13" i="3"/>
  <c r="AP9" i="3"/>
  <c r="AA20" i="2" l="1"/>
  <c r="Z21" i="2"/>
  <c r="Z22" i="2" s="1"/>
  <c r="DA149" i="3"/>
  <c r="W137" i="2"/>
  <c r="X70" i="2"/>
  <c r="AP70" i="3"/>
  <c r="AP105" i="3" s="1"/>
  <c r="DA125" i="3"/>
  <c r="AP130" i="3"/>
  <c r="AP160" i="3"/>
  <c r="AP141" i="3"/>
  <c r="DA104" i="3"/>
  <c r="AP88" i="3"/>
  <c r="DA88" i="3" s="1"/>
  <c r="AP45" i="3"/>
  <c r="AP43" i="3"/>
  <c r="AP44" i="3"/>
  <c r="CW72" i="3"/>
  <c r="AT30" i="3"/>
  <c r="DA28" i="3"/>
  <c r="DA67" i="3"/>
  <c r="E30" i="13" s="1"/>
  <c r="DA68" i="3"/>
  <c r="E31" i="13" s="1"/>
  <c r="DA69" i="3"/>
  <c r="E32" i="13" s="1"/>
  <c r="AP118" i="3"/>
  <c r="AP85" i="3"/>
  <c r="AQ29" i="3"/>
  <c r="AP210" i="3"/>
  <c r="AP89" i="3"/>
  <c r="AN204" i="3"/>
  <c r="AO199" i="3"/>
  <c r="AN196" i="3"/>
  <c r="AB20" i="2" l="1"/>
  <c r="AA21" i="2"/>
  <c r="AA22" i="2" s="1"/>
  <c r="DA89" i="3"/>
  <c r="AT91" i="3"/>
  <c r="AQ90" i="3"/>
  <c r="AP71" i="3"/>
  <c r="AP82" i="3" s="1"/>
  <c r="E33" i="13"/>
  <c r="Y70" i="2"/>
  <c r="X137" i="2"/>
  <c r="AP46" i="3"/>
  <c r="AN159" i="3"/>
  <c r="R45" i="1" s="1"/>
  <c r="AO129" i="3"/>
  <c r="AO128" i="3"/>
  <c r="AO127" i="3"/>
  <c r="CV52" i="3"/>
  <c r="CV51" i="3"/>
  <c r="CV50" i="3"/>
  <c r="CV49" i="3"/>
  <c r="CU51" i="3"/>
  <c r="CU50" i="3"/>
  <c r="CU49" i="3"/>
  <c r="AO140" i="3"/>
  <c r="AO195" i="3" s="1"/>
  <c r="AO197" i="3" s="1"/>
  <c r="AO133" i="3"/>
  <c r="AO184" i="3" s="1"/>
  <c r="AO117" i="3"/>
  <c r="AO72" i="3"/>
  <c r="AO191" i="3" s="1"/>
  <c r="AM145" i="3"/>
  <c r="AL145" i="3"/>
  <c r="AK145" i="3"/>
  <c r="AJ145" i="3"/>
  <c r="AO69" i="3"/>
  <c r="AO68" i="3"/>
  <c r="AO67" i="3"/>
  <c r="AO35" i="3"/>
  <c r="AO34" i="3"/>
  <c r="AO25" i="3"/>
  <c r="AO20" i="3"/>
  <c r="AO13" i="3"/>
  <c r="AO9" i="3"/>
  <c r="Y137" i="2" l="1"/>
  <c r="Z70" i="2"/>
  <c r="R53" i="1"/>
  <c r="R48" i="1"/>
  <c r="R46" i="1"/>
  <c r="R373" i="1"/>
  <c r="R374" i="1" s="1"/>
  <c r="R316" i="1"/>
  <c r="R318" i="1" s="1"/>
  <c r="R124" i="1"/>
  <c r="AC20" i="2"/>
  <c r="AB21" i="2"/>
  <c r="AB22" i="2" s="1"/>
  <c r="AP87" i="3"/>
  <c r="AP150" i="3" s="1"/>
  <c r="DA71" i="3"/>
  <c r="CZ118" i="3"/>
  <c r="E396" i="7" s="1"/>
  <c r="AO43" i="3"/>
  <c r="AO44" i="3"/>
  <c r="AO45" i="3"/>
  <c r="AR184" i="3"/>
  <c r="AO172" i="3"/>
  <c r="CZ69" i="3"/>
  <c r="D32" i="13" s="1"/>
  <c r="AO202" i="3"/>
  <c r="CZ140" i="3"/>
  <c r="CZ72" i="3"/>
  <c r="D85" i="13" s="1"/>
  <c r="CZ67" i="3"/>
  <c r="D30" i="13" s="1"/>
  <c r="CZ117" i="3"/>
  <c r="CZ68" i="3"/>
  <c r="D31" i="13" s="1"/>
  <c r="AN117" i="3"/>
  <c r="CV117" i="3"/>
  <c r="AQ163" i="3"/>
  <c r="CV133" i="3"/>
  <c r="AO169" i="3"/>
  <c r="AN140" i="3"/>
  <c r="AN195" i="3" s="1"/>
  <c r="AN197" i="3" s="1"/>
  <c r="AO104" i="3"/>
  <c r="AO70" i="3" s="1"/>
  <c r="AO105" i="3" s="1"/>
  <c r="AO145" i="3"/>
  <c r="AO125" i="3"/>
  <c r="AO149" i="3" s="1"/>
  <c r="AN161" i="3"/>
  <c r="CV140" i="3"/>
  <c r="R375" i="1" l="1"/>
  <c r="R366" i="1"/>
  <c r="R92" i="1"/>
  <c r="R54" i="1"/>
  <c r="Z137" i="2"/>
  <c r="AA70" i="2"/>
  <c r="AD20" i="2"/>
  <c r="AD21" i="2" s="1"/>
  <c r="AC21" i="2"/>
  <c r="AC22" i="2" s="1"/>
  <c r="D282" i="14"/>
  <c r="D151" i="13"/>
  <c r="DA87" i="3"/>
  <c r="E83" i="13" s="1"/>
  <c r="D281" i="14"/>
  <c r="D149" i="13"/>
  <c r="AS185" i="3"/>
  <c r="AO71" i="3"/>
  <c r="CZ71" i="3" s="1"/>
  <c r="CZ149" i="3"/>
  <c r="M140" i="2"/>
  <c r="M135" i="2" s="1"/>
  <c r="M136" i="2" s="1"/>
  <c r="CZ125" i="3"/>
  <c r="AO130" i="3"/>
  <c r="CZ104" i="3"/>
  <c r="AO88" i="3"/>
  <c r="CZ88" i="3" s="1"/>
  <c r="AN172" i="3"/>
  <c r="AO46" i="3"/>
  <c r="AO205" i="3"/>
  <c r="AO208" i="3"/>
  <c r="AO210" i="3" s="1"/>
  <c r="CY117" i="3"/>
  <c r="CY118" i="3"/>
  <c r="D396" i="7" s="1"/>
  <c r="AO118" i="3"/>
  <c r="CY140" i="3"/>
  <c r="AQ184" i="3"/>
  <c r="AR185" i="3" s="1"/>
  <c r="AN125" i="3"/>
  <c r="AN149" i="3" s="1"/>
  <c r="AP184" i="3"/>
  <c r="AN145" i="3"/>
  <c r="AO146" i="3" s="1"/>
  <c r="CU140" i="3"/>
  <c r="AN169" i="3"/>
  <c r="AQ170" i="3" s="1"/>
  <c r="AN182" i="3"/>
  <c r="AN184" i="3" s="1"/>
  <c r="R101" i="1" l="1"/>
  <c r="R102" i="1" s="1"/>
  <c r="R105" i="1" s="1"/>
  <c r="AD22" i="2"/>
  <c r="AA137" i="2"/>
  <c r="AB70" i="2"/>
  <c r="R376" i="1"/>
  <c r="R40" i="1"/>
  <c r="S376" i="1"/>
  <c r="C282" i="14"/>
  <c r="C151" i="13"/>
  <c r="C281" i="14"/>
  <c r="C149" i="13"/>
  <c r="CY149" i="3"/>
  <c r="D33" i="13"/>
  <c r="T67" i="2"/>
  <c r="U67" i="2" s="1"/>
  <c r="V67" i="2" s="1"/>
  <c r="W67" i="2" s="1"/>
  <c r="X67" i="2" s="1"/>
  <c r="S27" i="6"/>
  <c r="CY125" i="3"/>
  <c r="AN130" i="3"/>
  <c r="E394" i="7"/>
  <c r="E395" i="7" s="1"/>
  <c r="AO22" i="3"/>
  <c r="AO27" i="3"/>
  <c r="AN104" i="3"/>
  <c r="AN110" i="3" s="1"/>
  <c r="Y67" i="2" l="1"/>
  <c r="Z67" i="2" s="1"/>
  <c r="Z85" i="2" s="1"/>
  <c r="X85" i="2"/>
  <c r="AB137" i="2"/>
  <c r="AC70" i="2"/>
  <c r="G17" i="12"/>
  <c r="AE182" i="9"/>
  <c r="T27" i="6"/>
  <c r="AN88" i="3"/>
  <c r="CY88" i="3" s="1"/>
  <c r="AN118" i="3"/>
  <c r="CY104" i="3"/>
  <c r="AM104" i="3"/>
  <c r="AM88" i="3" s="1"/>
  <c r="AL104" i="3"/>
  <c r="AL88" i="3" s="1"/>
  <c r="AK104" i="3"/>
  <c r="AK88" i="3" s="1"/>
  <c r="AJ104" i="3"/>
  <c r="AJ88" i="3" s="1"/>
  <c r="AI104" i="3"/>
  <c r="AI88" i="3" s="1"/>
  <c r="AH104" i="3"/>
  <c r="AH88" i="3" s="1"/>
  <c r="AG104" i="3"/>
  <c r="AG88" i="3" s="1"/>
  <c r="AF104" i="3"/>
  <c r="AF88" i="3" s="1"/>
  <c r="AE104" i="3"/>
  <c r="AE88" i="3" s="1"/>
  <c r="AD104" i="3"/>
  <c r="AD88" i="3" s="1"/>
  <c r="AC104" i="3"/>
  <c r="AC88" i="3" s="1"/>
  <c r="AB104" i="3"/>
  <c r="AB88" i="3" s="1"/>
  <c r="AA104" i="3"/>
  <c r="Z104" i="3"/>
  <c r="Z88" i="3" s="1"/>
  <c r="AA67" i="2" l="1"/>
  <c r="AA85" i="2" s="1"/>
  <c r="AC137" i="2"/>
  <c r="AD70" i="2"/>
  <c r="AD137" i="2" s="1"/>
  <c r="Z140" i="2"/>
  <c r="AF182" i="9"/>
  <c r="H17" i="12"/>
  <c r="AA70" i="3"/>
  <c r="AA105" i="3" s="1"/>
  <c r="AA88" i="3"/>
  <c r="C33" i="13"/>
  <c r="U27" i="6"/>
  <c r="AF110" i="3"/>
  <c r="AC110" i="3"/>
  <c r="AG110" i="3"/>
  <c r="CV104" i="3"/>
  <c r="AB110" i="3"/>
  <c r="AB70" i="3"/>
  <c r="AB105" i="3" s="1"/>
  <c r="AJ112" i="3"/>
  <c r="Z112" i="3"/>
  <c r="Z70" i="3"/>
  <c r="AD112" i="3"/>
  <c r="AD70" i="3"/>
  <c r="CX104" i="3"/>
  <c r="D394" i="7"/>
  <c r="D395" i="7" s="1"/>
  <c r="AL112" i="3"/>
  <c r="CW104" i="3"/>
  <c r="AK110" i="3"/>
  <c r="CU104" i="3"/>
  <c r="CR104" i="3"/>
  <c r="CN104" i="3"/>
  <c r="AE112" i="3"/>
  <c r="CL104" i="3"/>
  <c r="AM112" i="3"/>
  <c r="CT104" i="3"/>
  <c r="AE110" i="3"/>
  <c r="AI112" i="3"/>
  <c r="CP104" i="3"/>
  <c r="AI110" i="3"/>
  <c r="AN112" i="3"/>
  <c r="AM110" i="3"/>
  <c r="AD110" i="3"/>
  <c r="AL110" i="3"/>
  <c r="CM104" i="3"/>
  <c r="CQ104" i="3"/>
  <c r="Z110" i="3"/>
  <c r="CK104" i="3"/>
  <c r="CO104" i="3"/>
  <c r="CS104" i="3"/>
  <c r="AB112" i="3"/>
  <c r="AF112" i="3"/>
  <c r="AC112" i="3"/>
  <c r="AK112" i="3"/>
  <c r="AJ110" i="3"/>
  <c r="AG112" i="3"/>
  <c r="AN27" i="3"/>
  <c r="AM27" i="3"/>
  <c r="AL27" i="3"/>
  <c r="AK27" i="3"/>
  <c r="AN22" i="3"/>
  <c r="AM22" i="3"/>
  <c r="AL22" i="3"/>
  <c r="AK22" i="3"/>
  <c r="AB67" i="2" l="1"/>
  <c r="AC67" i="2" s="1"/>
  <c r="AA140" i="2"/>
  <c r="AA86" i="2"/>
  <c r="AG182" i="9"/>
  <c r="I17" i="12"/>
  <c r="AA71" i="3"/>
  <c r="Z71" i="3"/>
  <c r="Z105" i="3"/>
  <c r="AD71" i="3"/>
  <c r="AD105" i="3"/>
  <c r="CQ110" i="3"/>
  <c r="CM110" i="3"/>
  <c r="V27" i="6"/>
  <c r="AH182" i="9" s="1"/>
  <c r="CN110" i="3"/>
  <c r="CR110" i="3"/>
  <c r="AB71" i="3"/>
  <c r="CU110" i="3"/>
  <c r="CP110" i="3"/>
  <c r="CT110" i="3"/>
  <c r="CK110" i="3"/>
  <c r="AN202" i="3"/>
  <c r="AN179" i="3"/>
  <c r="CU133" i="3"/>
  <c r="CT133" i="3"/>
  <c r="CU111" i="3"/>
  <c r="CT111" i="3"/>
  <c r="CR111" i="3"/>
  <c r="CQ111" i="3"/>
  <c r="CP111" i="3"/>
  <c r="CN111" i="3"/>
  <c r="CU80" i="3"/>
  <c r="CU79" i="3"/>
  <c r="CU77" i="3"/>
  <c r="CU76" i="3"/>
  <c r="CU72" i="3"/>
  <c r="CU52" i="3"/>
  <c r="CU24" i="3"/>
  <c r="CU19" i="3"/>
  <c r="CU12" i="3"/>
  <c r="CU8" i="3"/>
  <c r="CU4" i="3"/>
  <c r="AN138" i="3"/>
  <c r="AN129" i="3"/>
  <c r="AN128" i="3"/>
  <c r="AN127" i="3"/>
  <c r="AN73" i="3"/>
  <c r="AN141" i="3" s="1"/>
  <c r="AN84" i="3"/>
  <c r="AN81" i="3"/>
  <c r="CY81" i="3" s="1"/>
  <c r="C84" i="13" s="1"/>
  <c r="AN69" i="3"/>
  <c r="AN68" i="3"/>
  <c r="CY68" i="3" s="1"/>
  <c r="C31" i="13" s="1"/>
  <c r="AN67" i="3"/>
  <c r="AN9" i="3"/>
  <c r="AN28" i="3"/>
  <c r="AN20" i="3"/>
  <c r="AN25" i="3"/>
  <c r="AN13" i="3"/>
  <c r="AB85" i="2" l="1"/>
  <c r="AB86" i="2" s="1"/>
  <c r="AD67" i="2"/>
  <c r="AC85" i="2"/>
  <c r="W27" i="6"/>
  <c r="AI182" i="9" s="1"/>
  <c r="CY69" i="3"/>
  <c r="C32" i="13" s="1"/>
  <c r="CY67" i="3"/>
  <c r="C30" i="13" s="1"/>
  <c r="AN70" i="3"/>
  <c r="AN105" i="3" s="1"/>
  <c r="AN43" i="3"/>
  <c r="AN45" i="3"/>
  <c r="AN44" i="3"/>
  <c r="CY28" i="3"/>
  <c r="AR30" i="3"/>
  <c r="AN89" i="3"/>
  <c r="M59" i="2"/>
  <c r="M60" i="2"/>
  <c r="K250" i="7" s="1"/>
  <c r="M61" i="2"/>
  <c r="AN134" i="3"/>
  <c r="AN160" i="3"/>
  <c r="AN32" i="3"/>
  <c r="AN205" i="3"/>
  <c r="AN208" i="3"/>
  <c r="AN157" i="3"/>
  <c r="AN85" i="3"/>
  <c r="AO84" i="3"/>
  <c r="AO81" i="3"/>
  <c r="CZ81" i="3" s="1"/>
  <c r="D84" i="13" s="1"/>
  <c r="CV80" i="3"/>
  <c r="CV79" i="3"/>
  <c r="CV77" i="3"/>
  <c r="CV76" i="3"/>
  <c r="CV4" i="3"/>
  <c r="L51" i="2"/>
  <c r="L48" i="2"/>
  <c r="L47" i="2"/>
  <c r="L39" i="2"/>
  <c r="M40" i="2" s="1"/>
  <c r="L30" i="2"/>
  <c r="M31" i="2" s="1"/>
  <c r="L27" i="2"/>
  <c r="L26" i="2"/>
  <c r="L21" i="2"/>
  <c r="M22" i="2" s="1"/>
  <c r="L7" i="2"/>
  <c r="L6" i="2"/>
  <c r="K6" i="2"/>
  <c r="AB140" i="2" l="1"/>
  <c r="K251" i="7"/>
  <c r="M52" i="2"/>
  <c r="AC86" i="2"/>
  <c r="AC140" i="2"/>
  <c r="AD85" i="2"/>
  <c r="AR91" i="3"/>
  <c r="M62" i="2"/>
  <c r="M125" i="2" s="1"/>
  <c r="AN71" i="3"/>
  <c r="CY71" i="3" s="1"/>
  <c r="AN46" i="3"/>
  <c r="AO33" i="3"/>
  <c r="AN163" i="3"/>
  <c r="AN136" i="3"/>
  <c r="AN137" i="3" s="1"/>
  <c r="CY89" i="3"/>
  <c r="M105" i="2"/>
  <c r="K249" i="7"/>
  <c r="AO82" i="3"/>
  <c r="M138" i="2"/>
  <c r="AO85" i="3"/>
  <c r="AN210" i="3"/>
  <c r="AN33" i="3"/>
  <c r="AN35" i="3"/>
  <c r="AO28" i="3"/>
  <c r="AM182" i="3"/>
  <c r="AM184" i="3" s="1"/>
  <c r="AL184" i="3"/>
  <c r="AM197" i="3"/>
  <c r="AM202" i="3" s="1"/>
  <c r="AM179" i="3"/>
  <c r="AM177" i="3"/>
  <c r="AM172" i="3"/>
  <c r="AM138" i="3"/>
  <c r="AM129" i="3"/>
  <c r="AM128" i="3"/>
  <c r="AM127" i="3"/>
  <c r="AM125" i="3"/>
  <c r="AM84" i="3"/>
  <c r="AM81" i="3"/>
  <c r="AM69" i="3"/>
  <c r="AM68" i="3"/>
  <c r="CX68" i="3" s="1"/>
  <c r="AM67" i="3"/>
  <c r="AM35" i="3"/>
  <c r="AM34" i="3"/>
  <c r="AM33" i="3"/>
  <c r="AM28" i="3"/>
  <c r="AM25" i="3"/>
  <c r="AM20" i="3"/>
  <c r="AM13" i="3"/>
  <c r="AM9" i="3"/>
  <c r="AM73" i="3"/>
  <c r="AM134" i="3" s="1"/>
  <c r="CT80" i="3"/>
  <c r="CT79" i="3"/>
  <c r="CT77" i="3"/>
  <c r="CT76" i="3"/>
  <c r="CT72" i="3"/>
  <c r="CT52" i="3"/>
  <c r="CT51" i="3"/>
  <c r="CT50" i="3"/>
  <c r="CT49" i="3"/>
  <c r="CT24" i="3"/>
  <c r="CT19" i="3"/>
  <c r="CT12" i="3"/>
  <c r="CT8" i="3"/>
  <c r="CT4" i="3"/>
  <c r="AL172" i="3"/>
  <c r="AK172" i="3"/>
  <c r="AJ172" i="3"/>
  <c r="AL197" i="3"/>
  <c r="AL177" i="3"/>
  <c r="AL179" i="3"/>
  <c r="K252" i="7" l="1"/>
  <c r="AD86" i="2"/>
  <c r="AD140" i="2"/>
  <c r="M63" i="2"/>
  <c r="CX125" i="3"/>
  <c r="AM149" i="3"/>
  <c r="AM43" i="3"/>
  <c r="AN82" i="3"/>
  <c r="AN87" i="3"/>
  <c r="CX69" i="3"/>
  <c r="CX67" i="3"/>
  <c r="AM70" i="3"/>
  <c r="AM105" i="3" s="1"/>
  <c r="CZ28" i="3"/>
  <c r="AS30" i="3"/>
  <c r="AM44" i="3"/>
  <c r="AM45" i="3"/>
  <c r="AM85" i="3"/>
  <c r="CX81" i="3"/>
  <c r="CX28" i="3"/>
  <c r="AQ30" i="3"/>
  <c r="AL202" i="3"/>
  <c r="AP29" i="3"/>
  <c r="AO29" i="3"/>
  <c r="AN29" i="3"/>
  <c r="AM126" i="3"/>
  <c r="AM130" i="3"/>
  <c r="AM205" i="3"/>
  <c r="AM89" i="3"/>
  <c r="AM208" i="3"/>
  <c r="AM157" i="3"/>
  <c r="AH133" i="3"/>
  <c r="AL138" i="3"/>
  <c r="AL129" i="3"/>
  <c r="AL128" i="3"/>
  <c r="AL127" i="3"/>
  <c r="AL125" i="3"/>
  <c r="AL73" i="3"/>
  <c r="AL134" i="3" s="1"/>
  <c r="AL84" i="3"/>
  <c r="AL81" i="3"/>
  <c r="CW81" i="3" s="1"/>
  <c r="CS80" i="3"/>
  <c r="CS79" i="3"/>
  <c r="CS77" i="3"/>
  <c r="CS76" i="3"/>
  <c r="CS72" i="3"/>
  <c r="CS52" i="3"/>
  <c r="CS51" i="3"/>
  <c r="CS50" i="3"/>
  <c r="CS49" i="3"/>
  <c r="CS24" i="3"/>
  <c r="CS19" i="3"/>
  <c r="CS12" i="3"/>
  <c r="CS8" i="3"/>
  <c r="CS4" i="3"/>
  <c r="AL69" i="3"/>
  <c r="AL68" i="3"/>
  <c r="AL67" i="3"/>
  <c r="AL35" i="3"/>
  <c r="AL34" i="3"/>
  <c r="AL33" i="3"/>
  <c r="AL9" i="3"/>
  <c r="AL28" i="3"/>
  <c r="AL13" i="3"/>
  <c r="AL20" i="3"/>
  <c r="AL25" i="3"/>
  <c r="M99" i="2" l="1"/>
  <c r="N100" i="2" s="1"/>
  <c r="M92" i="2"/>
  <c r="M85" i="2"/>
  <c r="N64" i="2"/>
  <c r="CX89" i="3"/>
  <c r="AQ91" i="3"/>
  <c r="AN90" i="3"/>
  <c r="AM71" i="3"/>
  <c r="AM82" i="3" s="1"/>
  <c r="CW125" i="3"/>
  <c r="AL149" i="3"/>
  <c r="CY87" i="3"/>
  <c r="C83" i="13" s="1"/>
  <c r="AN150" i="3"/>
  <c r="AL45" i="3"/>
  <c r="AL44" i="3"/>
  <c r="AL43" i="3"/>
  <c r="AL70" i="3"/>
  <c r="AL71" i="3" s="1"/>
  <c r="AL208" i="3"/>
  <c r="AL210" i="3" s="1"/>
  <c r="AM46" i="3"/>
  <c r="AL205" i="3"/>
  <c r="CW69" i="3"/>
  <c r="CW67" i="3"/>
  <c r="CW28" i="3"/>
  <c r="AP30" i="3"/>
  <c r="CW68" i="3"/>
  <c r="AO89" i="3"/>
  <c r="AO87" i="3"/>
  <c r="CV72" i="3"/>
  <c r="AO73" i="3"/>
  <c r="AO141" i="3" s="1"/>
  <c r="AM29" i="3"/>
  <c r="AL85" i="3"/>
  <c r="AK184" i="3"/>
  <c r="AL131" i="3"/>
  <c r="AM210" i="3"/>
  <c r="AM136" i="3"/>
  <c r="AL89" i="3"/>
  <c r="AM90" i="3" s="1"/>
  <c r="AL130" i="3"/>
  <c r="AL157" i="3"/>
  <c r="CZ89" i="3" l="1"/>
  <c r="AO90" i="3"/>
  <c r="AS91" i="3"/>
  <c r="AP90" i="3"/>
  <c r="CW89" i="3"/>
  <c r="AP91" i="3"/>
  <c r="AL105" i="3"/>
  <c r="AM87" i="3"/>
  <c r="CX87" i="3" s="1"/>
  <c r="CX71" i="3"/>
  <c r="CZ87" i="3"/>
  <c r="D83" i="13" s="1"/>
  <c r="AO150" i="3"/>
  <c r="AL46" i="3"/>
  <c r="AM137" i="3"/>
  <c r="CW71" i="3"/>
  <c r="AO160" i="3"/>
  <c r="AO156" i="3"/>
  <c r="AO136" i="3"/>
  <c r="AL136" i="3"/>
  <c r="AL137" i="3" s="1"/>
  <c r="AL87" i="3"/>
  <c r="AL82" i="3"/>
  <c r="AO161" i="3" l="1"/>
  <c r="AO157" i="3"/>
  <c r="AO163" i="3" s="1"/>
  <c r="CW87" i="3"/>
  <c r="AK197" i="3"/>
  <c r="AK202" i="3" s="1"/>
  <c r="AK179" i="3"/>
  <c r="AJ179" i="3"/>
  <c r="AF83" i="3"/>
  <c r="AJ83" i="3"/>
  <c r="AK138" i="3"/>
  <c r="AK129" i="3"/>
  <c r="AK128" i="3"/>
  <c r="AK127" i="3"/>
  <c r="AK125" i="3"/>
  <c r="AK73" i="3"/>
  <c r="AK157" i="3" s="1"/>
  <c r="AK84" i="3"/>
  <c r="AK81" i="3"/>
  <c r="CR133" i="3"/>
  <c r="CR80" i="3"/>
  <c r="CR79" i="3"/>
  <c r="CR77" i="3"/>
  <c r="CR76" i="3"/>
  <c r="CR72" i="3"/>
  <c r="CR52" i="3"/>
  <c r="CR51" i="3"/>
  <c r="CR50" i="3"/>
  <c r="CR49" i="3"/>
  <c r="CR24" i="3"/>
  <c r="CR19" i="3"/>
  <c r="CR12" i="3"/>
  <c r="CR8" i="3"/>
  <c r="CR4" i="3"/>
  <c r="AK9" i="3"/>
  <c r="AK13" i="3"/>
  <c r="AK20" i="3"/>
  <c r="AK25" i="3"/>
  <c r="AK28" i="3"/>
  <c r="AK35" i="3"/>
  <c r="AK34" i="3"/>
  <c r="AK33" i="3"/>
  <c r="AK69" i="3"/>
  <c r="AK68" i="3"/>
  <c r="CV68" i="3" s="1"/>
  <c r="AK67" i="3"/>
  <c r="CV125" i="3" l="1"/>
  <c r="AK149" i="3"/>
  <c r="AK43" i="3"/>
  <c r="CV67" i="3"/>
  <c r="AK70" i="3"/>
  <c r="AK71" i="3" s="1"/>
  <c r="CV71" i="3" s="1"/>
  <c r="CV69" i="3"/>
  <c r="AK44" i="3"/>
  <c r="AK45" i="3"/>
  <c r="AO30" i="3"/>
  <c r="CV28" i="3"/>
  <c r="AL29" i="3"/>
  <c r="AK85" i="3"/>
  <c r="CV81" i="3"/>
  <c r="AK89" i="3"/>
  <c r="AK205" i="3"/>
  <c r="AK208" i="3"/>
  <c r="AK130" i="3"/>
  <c r="AK134" i="3"/>
  <c r="AK136" i="3" l="1"/>
  <c r="AK137" i="3" s="1"/>
  <c r="AO91" i="3"/>
  <c r="AL90" i="3"/>
  <c r="AK105" i="3"/>
  <c r="AK46" i="3"/>
  <c r="CV89" i="3"/>
  <c r="AK87" i="3"/>
  <c r="CV87" i="3" s="1"/>
  <c r="AK82" i="3"/>
  <c r="AK210" i="3"/>
  <c r="C916" i="4"/>
  <c r="F827" i="4" l="1"/>
  <c r="E827" i="4"/>
  <c r="E829" i="4"/>
  <c r="AJ197" i="3" l="1"/>
  <c r="AJ182" i="3"/>
  <c r="AJ202" i="3" l="1"/>
  <c r="CQ50" i="3"/>
  <c r="CQ49" i="3"/>
  <c r="AJ205" i="3" l="1"/>
  <c r="AJ208" i="3"/>
  <c r="AJ210" i="3" l="1"/>
  <c r="D830" i="4" l="1"/>
  <c r="C829" i="4"/>
  <c r="D829" i="4" s="1"/>
  <c r="D828" i="4"/>
  <c r="AJ138" i="3"/>
  <c r="AJ129" i="3"/>
  <c r="AJ128" i="3"/>
  <c r="AJ127" i="3"/>
  <c r="AJ125" i="3"/>
  <c r="CQ133" i="3"/>
  <c r="CQ80" i="3"/>
  <c r="CQ79" i="3"/>
  <c r="CQ77" i="3"/>
  <c r="CQ76" i="3"/>
  <c r="CQ72" i="3"/>
  <c r="CQ52" i="3"/>
  <c r="CQ51" i="3"/>
  <c r="CQ24" i="3"/>
  <c r="CQ19" i="3"/>
  <c r="CQ12" i="3"/>
  <c r="CQ8" i="3"/>
  <c r="CQ4" i="3"/>
  <c r="AJ73" i="3"/>
  <c r="AJ134" i="3" s="1"/>
  <c r="AJ84" i="3"/>
  <c r="AJ81" i="3"/>
  <c r="CU81" i="3" s="1"/>
  <c r="AJ69" i="3"/>
  <c r="AJ68" i="3"/>
  <c r="AJ67" i="3"/>
  <c r="AJ9" i="3"/>
  <c r="AJ35" i="3"/>
  <c r="AI34" i="3"/>
  <c r="AJ34" i="3"/>
  <c r="AJ28" i="3"/>
  <c r="AN30" i="3" s="1"/>
  <c r="AJ13" i="3"/>
  <c r="AJ20" i="3"/>
  <c r="AJ25" i="3"/>
  <c r="AJ44" i="3" l="1"/>
  <c r="AJ45" i="3"/>
  <c r="AJ43" i="3"/>
  <c r="AJ70" i="3"/>
  <c r="K62" i="2" s="1"/>
  <c r="K125" i="2" s="1"/>
  <c r="CU69" i="3"/>
  <c r="AK29" i="3"/>
  <c r="CU28" i="3"/>
  <c r="CU125" i="3"/>
  <c r="CU67" i="3"/>
  <c r="CU68" i="3"/>
  <c r="AJ89" i="3"/>
  <c r="K61" i="2"/>
  <c r="L61" i="2"/>
  <c r="CQ67" i="3"/>
  <c r="L59" i="2"/>
  <c r="CQ68" i="3"/>
  <c r="L60" i="2"/>
  <c r="J250" i="7" s="1"/>
  <c r="G830" i="4"/>
  <c r="AJ85" i="3"/>
  <c r="CU85" i="3" s="1"/>
  <c r="AJ130" i="3"/>
  <c r="G828" i="4"/>
  <c r="AJ157" i="3"/>
  <c r="G829" i="4"/>
  <c r="B23" i="10"/>
  <c r="B22" i="10"/>
  <c r="B20" i="10"/>
  <c r="B8" i="10"/>
  <c r="B7" i="10"/>
  <c r="B6" i="10"/>
  <c r="B5" i="10"/>
  <c r="C4" i="10"/>
  <c r="B4" i="10"/>
  <c r="K3" i="10"/>
  <c r="J3" i="10"/>
  <c r="I3" i="10"/>
  <c r="H3" i="10"/>
  <c r="G3" i="10"/>
  <c r="F3" i="10"/>
  <c r="E3" i="10"/>
  <c r="D3" i="10"/>
  <c r="C3" i="10"/>
  <c r="B3" i="10"/>
  <c r="J251" i="7" l="1"/>
  <c r="I251" i="7"/>
  <c r="AJ136" i="3"/>
  <c r="AJ137" i="3" s="1"/>
  <c r="AN91" i="3"/>
  <c r="AK90" i="3"/>
  <c r="AJ105" i="3"/>
  <c r="AJ46" i="3"/>
  <c r="AJ71" i="3"/>
  <c r="CU71" i="3" s="1"/>
  <c r="L62" i="2"/>
  <c r="L125" i="2" s="1"/>
  <c r="L105" i="2"/>
  <c r="J249" i="7"/>
  <c r="CU89" i="3"/>
  <c r="E212" i="7"/>
  <c r="F212" i="7" s="1"/>
  <c r="G212" i="7" s="1"/>
  <c r="K127" i="2"/>
  <c r="K148" i="2" s="1"/>
  <c r="DJ79" i="3"/>
  <c r="M74" i="2"/>
  <c r="L74" i="2"/>
  <c r="I74" i="2"/>
  <c r="H74" i="2"/>
  <c r="K74" i="2"/>
  <c r="C113" i="6"/>
  <c r="C108" i="6"/>
  <c r="C110" i="6" s="1"/>
  <c r="N137" i="2"/>
  <c r="AF69" i="3"/>
  <c r="AG69" i="3"/>
  <c r="AG68" i="3"/>
  <c r="CR68" i="3" s="1"/>
  <c r="AG67" i="3"/>
  <c r="AH69" i="3"/>
  <c r="AH68" i="3"/>
  <c r="AH67" i="3"/>
  <c r="AI69" i="3"/>
  <c r="AI68" i="3"/>
  <c r="AI67" i="3"/>
  <c r="K21" i="2"/>
  <c r="K30" i="2"/>
  <c r="P38" i="2"/>
  <c r="K39" i="2"/>
  <c r="L40" i="2" s="1"/>
  <c r="C6" i="10"/>
  <c r="P28" i="5"/>
  <c r="BS60" i="3"/>
  <c r="I28" i="5"/>
  <c r="D9" i="10"/>
  <c r="J28" i="5"/>
  <c r="E9" i="10"/>
  <c r="K28" i="5"/>
  <c r="L28" i="5"/>
  <c r="M28" i="5"/>
  <c r="N28" i="5"/>
  <c r="O28" i="5"/>
  <c r="H5" i="6"/>
  <c r="I27" i="6"/>
  <c r="E684" i="4"/>
  <c r="AI81" i="3"/>
  <c r="CT81" i="3" s="1"/>
  <c r="AI84" i="3"/>
  <c r="AI28" i="3"/>
  <c r="U27" i="9"/>
  <c r="K135" i="2"/>
  <c r="K136" i="2" s="1"/>
  <c r="K51" i="2"/>
  <c r="K48" i="2"/>
  <c r="K47" i="2"/>
  <c r="J39" i="2"/>
  <c r="K7" i="2"/>
  <c r="J8" i="2"/>
  <c r="K8" i="2" s="1"/>
  <c r="L8" i="2" s="1"/>
  <c r="M8" i="2" s="1"/>
  <c r="J21" i="2"/>
  <c r="J30" i="2"/>
  <c r="AI182" i="3"/>
  <c r="AH182" i="3"/>
  <c r="AG182" i="3"/>
  <c r="AG184" i="3" s="1"/>
  <c r="J149" i="2"/>
  <c r="AI197" i="3"/>
  <c r="AI176" i="3"/>
  <c r="AI179" i="3"/>
  <c r="AI129" i="3"/>
  <c r="AI128" i="3"/>
  <c r="AI127" i="3"/>
  <c r="AI13" i="3"/>
  <c r="AI172" i="3"/>
  <c r="AI138" i="3"/>
  <c r="CT138" i="3" s="1"/>
  <c r="AI125" i="3"/>
  <c r="CP133" i="3"/>
  <c r="CP80" i="3"/>
  <c r="CP79" i="3"/>
  <c r="CP77" i="3"/>
  <c r="CP76" i="3"/>
  <c r="CP72" i="3"/>
  <c r="CP52" i="3"/>
  <c r="CP51" i="3"/>
  <c r="CP50" i="3"/>
  <c r="CP49" i="3"/>
  <c r="CP24" i="3"/>
  <c r="CP19" i="3"/>
  <c r="CP12" i="3"/>
  <c r="CP8" i="3"/>
  <c r="CP4" i="3"/>
  <c r="AI73" i="3"/>
  <c r="AI157" i="3" s="1"/>
  <c r="AI9" i="3"/>
  <c r="AI25" i="3"/>
  <c r="AI20" i="3"/>
  <c r="D189" i="7"/>
  <c r="D196" i="7" s="1"/>
  <c r="D201" i="7" s="1"/>
  <c r="D206" i="7" s="1"/>
  <c r="E179" i="7"/>
  <c r="G179" i="7" s="1"/>
  <c r="H179" i="7" s="1"/>
  <c r="I179" i="7" s="1"/>
  <c r="J179" i="7" s="1"/>
  <c r="K179" i="7" s="1"/>
  <c r="L179" i="7" s="1"/>
  <c r="M179" i="7" s="1"/>
  <c r="N179" i="7" s="1"/>
  <c r="O179" i="7" s="1"/>
  <c r="J191" i="7"/>
  <c r="I191" i="7"/>
  <c r="H191" i="7"/>
  <c r="G191" i="7"/>
  <c r="E191" i="7"/>
  <c r="D191" i="7"/>
  <c r="E180" i="7"/>
  <c r="E182" i="7" s="1"/>
  <c r="D180" i="7"/>
  <c r="D182" i="7" s="1"/>
  <c r="E185" i="7"/>
  <c r="D185" i="7"/>
  <c r="D197" i="7" s="1"/>
  <c r="D207" i="7" s="1"/>
  <c r="D209" i="7" s="1"/>
  <c r="C182" i="7"/>
  <c r="C192" i="7" s="1"/>
  <c r="C199" i="7" s="1"/>
  <c r="C204" i="7" s="1"/>
  <c r="C209" i="7" s="1"/>
  <c r="C181" i="7"/>
  <c r="C180" i="7"/>
  <c r="E184" i="7"/>
  <c r="E189" i="7" s="1"/>
  <c r="E196" i="7" s="1"/>
  <c r="E201" i="7" s="1"/>
  <c r="E206" i="7" s="1"/>
  <c r="C166" i="7"/>
  <c r="C176" i="7" s="1"/>
  <c r="C165" i="7"/>
  <c r="C175" i="7" s="1"/>
  <c r="C164" i="7"/>
  <c r="C163" i="7"/>
  <c r="C174" i="7" s="1"/>
  <c r="C161" i="7"/>
  <c r="C172" i="7" s="1"/>
  <c r="C160" i="7"/>
  <c r="C171" i="7" s="1"/>
  <c r="C159" i="7"/>
  <c r="C170" i="7" s="1"/>
  <c r="C158" i="7"/>
  <c r="C169" i="7" s="1"/>
  <c r="D168" i="7"/>
  <c r="E146" i="7"/>
  <c r="C102" i="6"/>
  <c r="CO80" i="3"/>
  <c r="CO79" i="3"/>
  <c r="CO77" i="3"/>
  <c r="CO76" i="3"/>
  <c r="I631" i="4"/>
  <c r="J628" i="4"/>
  <c r="J629" i="4"/>
  <c r="D131" i="6"/>
  <c r="E131" i="6" s="1"/>
  <c r="D109" i="7"/>
  <c r="C102" i="7"/>
  <c r="C113" i="7" s="1"/>
  <c r="C101" i="7"/>
  <c r="C112" i="7" s="1"/>
  <c r="C100" i="7"/>
  <c r="C111" i="7" s="1"/>
  <c r="E102" i="7"/>
  <c r="D102" i="7"/>
  <c r="J17" i="2"/>
  <c r="I17" i="2"/>
  <c r="H17" i="2"/>
  <c r="G17" i="2"/>
  <c r="J36" i="2"/>
  <c r="I36" i="2"/>
  <c r="H36" i="2"/>
  <c r="G36" i="2"/>
  <c r="J27" i="2"/>
  <c r="I27" i="2"/>
  <c r="H27" i="2"/>
  <c r="G27" i="2"/>
  <c r="AD177" i="3"/>
  <c r="AH179" i="3"/>
  <c r="AH177" i="3"/>
  <c r="I149" i="2"/>
  <c r="H149" i="2"/>
  <c r="G149" i="2"/>
  <c r="F149" i="2"/>
  <c r="AG18" i="3"/>
  <c r="AG11" i="3"/>
  <c r="AH111" i="3"/>
  <c r="AH35" i="3"/>
  <c r="AH34" i="3"/>
  <c r="AH33" i="3"/>
  <c r="CO24" i="3"/>
  <c r="CO19" i="3"/>
  <c r="CO12" i="3"/>
  <c r="CO8" i="3"/>
  <c r="AH9" i="3"/>
  <c r="AH84" i="3"/>
  <c r="AH81" i="3"/>
  <c r="CS81" i="3" s="1"/>
  <c r="AH129" i="3"/>
  <c r="AH128" i="3"/>
  <c r="AH127" i="3"/>
  <c r="AH73" i="3"/>
  <c r="AH157" i="3" s="1"/>
  <c r="AH28" i="3"/>
  <c r="AH20" i="3"/>
  <c r="AH13" i="3"/>
  <c r="CO4" i="3"/>
  <c r="CO52" i="3"/>
  <c r="CO51" i="3"/>
  <c r="CO50" i="3"/>
  <c r="CO49" i="3"/>
  <c r="CO72" i="3"/>
  <c r="AH25" i="3"/>
  <c r="Q9" i="9"/>
  <c r="AG35" i="3"/>
  <c r="AF35" i="3"/>
  <c r="AE35" i="3"/>
  <c r="AD35" i="3"/>
  <c r="AC35" i="3"/>
  <c r="AB35" i="3"/>
  <c r="AA35" i="3"/>
  <c r="Z35" i="3"/>
  <c r="Y35" i="3"/>
  <c r="X35" i="3"/>
  <c r="AG172" i="3"/>
  <c r="AF172" i="3"/>
  <c r="AE172" i="3"/>
  <c r="AD172" i="3"/>
  <c r="AC172" i="3"/>
  <c r="AB172" i="3"/>
  <c r="Z172" i="3"/>
  <c r="Y172" i="3"/>
  <c r="X172" i="3"/>
  <c r="AF177" i="3"/>
  <c r="AC177" i="3"/>
  <c r="AG177" i="3"/>
  <c r="CM76" i="3"/>
  <c r="CN76" i="3"/>
  <c r="CM77" i="3"/>
  <c r="CN77" i="3"/>
  <c r="CN133" i="3"/>
  <c r="CN52" i="3"/>
  <c r="CN51" i="3"/>
  <c r="CN50" i="3"/>
  <c r="AG20" i="3"/>
  <c r="AG13" i="3"/>
  <c r="CN72" i="3"/>
  <c r="AG197" i="3"/>
  <c r="AG179" i="3"/>
  <c r="AG124" i="3"/>
  <c r="AG123" i="3"/>
  <c r="AG122" i="3"/>
  <c r="AG138" i="3"/>
  <c r="CR138" i="3" s="1"/>
  <c r="AG125" i="3"/>
  <c r="AG73" i="3"/>
  <c r="AG157" i="3" s="1"/>
  <c r="CN80" i="3"/>
  <c r="CN79" i="3"/>
  <c r="CN49" i="3"/>
  <c r="CN24" i="3"/>
  <c r="CN19" i="3"/>
  <c r="CN12" i="3"/>
  <c r="CN8" i="3"/>
  <c r="CN4" i="3"/>
  <c r="CM4" i="3"/>
  <c r="AG84" i="3"/>
  <c r="AG81" i="3"/>
  <c r="AC69" i="3"/>
  <c r="AG34" i="3"/>
  <c r="AG33" i="3"/>
  <c r="AG28" i="3"/>
  <c r="AF28" i="3"/>
  <c r="AG25" i="3"/>
  <c r="AG9" i="3"/>
  <c r="AC197" i="3"/>
  <c r="AC202" i="3" s="1"/>
  <c r="AC205" i="3" s="1"/>
  <c r="AC73" i="3"/>
  <c r="AC67" i="3"/>
  <c r="AC68" i="3"/>
  <c r="J60" i="2" s="1"/>
  <c r="F9" i="6"/>
  <c r="R9" i="9" s="1"/>
  <c r="AE67" i="3"/>
  <c r="J69" i="2"/>
  <c r="J127" i="2"/>
  <c r="G28" i="5"/>
  <c r="Q10" i="9"/>
  <c r="E87" i="7"/>
  <c r="E109" i="7" s="1"/>
  <c r="L12" i="2"/>
  <c r="J6" i="2"/>
  <c r="I6" i="2"/>
  <c r="H6" i="2"/>
  <c r="G6" i="2"/>
  <c r="AF122" i="3"/>
  <c r="AF123" i="3"/>
  <c r="AF124" i="3"/>
  <c r="AE81" i="3"/>
  <c r="AE85" i="3" s="1"/>
  <c r="AF81" i="3"/>
  <c r="AF179" i="3"/>
  <c r="AF125" i="3"/>
  <c r="AF73" i="3"/>
  <c r="AF157" i="3" s="1"/>
  <c r="AB81" i="3"/>
  <c r="AF138" i="3"/>
  <c r="CQ138" i="3" s="1"/>
  <c r="AB138" i="3"/>
  <c r="CM52" i="3"/>
  <c r="CM51" i="3"/>
  <c r="CM50" i="3"/>
  <c r="AF9" i="3"/>
  <c r="AF13" i="3"/>
  <c r="AF20" i="3"/>
  <c r="AF25" i="3"/>
  <c r="AF34" i="3"/>
  <c r="AF33" i="3"/>
  <c r="CM80" i="3"/>
  <c r="CL80" i="3"/>
  <c r="CL4" i="3"/>
  <c r="CL76" i="3"/>
  <c r="CL77" i="3"/>
  <c r="CL79" i="3"/>
  <c r="CM79" i="3"/>
  <c r="AA81" i="3"/>
  <c r="AA89" i="3" s="1"/>
  <c r="Z87" i="3"/>
  <c r="Y72" i="3"/>
  <c r="Y69" i="3"/>
  <c r="Y68" i="3"/>
  <c r="Y67" i="3"/>
  <c r="X72" i="3"/>
  <c r="X104" i="3" s="1"/>
  <c r="X88" i="3" s="1"/>
  <c r="X69" i="3"/>
  <c r="X68" i="3"/>
  <c r="X100" i="3" s="1"/>
  <c r="X67" i="3"/>
  <c r="W67" i="3"/>
  <c r="W68" i="3"/>
  <c r="W100" i="3" s="1"/>
  <c r="W69" i="3"/>
  <c r="CH69" i="3" s="1"/>
  <c r="V72" i="3"/>
  <c r="V69" i="3"/>
  <c r="V101" i="3" s="1"/>
  <c r="V68" i="3"/>
  <c r="CG68" i="3" s="1"/>
  <c r="V67" i="3"/>
  <c r="U72" i="3"/>
  <c r="U69" i="3"/>
  <c r="U68" i="3"/>
  <c r="U67" i="3"/>
  <c r="T72" i="3"/>
  <c r="T69" i="3"/>
  <c r="T101" i="3" s="1"/>
  <c r="T68" i="3"/>
  <c r="T67" i="3"/>
  <c r="CM72" i="3"/>
  <c r="CM68" i="3"/>
  <c r="CM67" i="3"/>
  <c r="AF197" i="3"/>
  <c r="AE28" i="3"/>
  <c r="CM133" i="3"/>
  <c r="CM111" i="3"/>
  <c r="AB73" i="3"/>
  <c r="AB157" i="3" s="1"/>
  <c r="CM49" i="3"/>
  <c r="AB28" i="3"/>
  <c r="CM24" i="3"/>
  <c r="CM19" i="3"/>
  <c r="CM12" i="3"/>
  <c r="CM8" i="3"/>
  <c r="AF84" i="3"/>
  <c r="AB197" i="3"/>
  <c r="AB202" i="3" s="1"/>
  <c r="AB205" i="3" s="1"/>
  <c r="T27" i="9"/>
  <c r="T33" i="9"/>
  <c r="J135" i="2"/>
  <c r="J137" i="2"/>
  <c r="J51" i="2"/>
  <c r="J48" i="2"/>
  <c r="J47" i="2"/>
  <c r="I39" i="2"/>
  <c r="J35" i="2"/>
  <c r="I30" i="2"/>
  <c r="I21" i="2"/>
  <c r="J7" i="2"/>
  <c r="D131" i="7"/>
  <c r="D128" i="7"/>
  <c r="D121" i="7"/>
  <c r="D126" i="7"/>
  <c r="AA133" i="3"/>
  <c r="AA138" i="3" s="1"/>
  <c r="AA111" i="3"/>
  <c r="AA124" i="3"/>
  <c r="AE124" i="3"/>
  <c r="AA123" i="3"/>
  <c r="AE123" i="3"/>
  <c r="AA122" i="3"/>
  <c r="AE122" i="3"/>
  <c r="AE197" i="3"/>
  <c r="AE202" i="3" s="1"/>
  <c r="AE125" i="3"/>
  <c r="AE179" i="3"/>
  <c r="AE138" i="3"/>
  <c r="AE73" i="3"/>
  <c r="AE157" i="3" s="1"/>
  <c r="CL72" i="3"/>
  <c r="CL69" i="3"/>
  <c r="CL68" i="3"/>
  <c r="CL52" i="3"/>
  <c r="CL51" i="3"/>
  <c r="CL50" i="3"/>
  <c r="CL49" i="3"/>
  <c r="CL24" i="3"/>
  <c r="CL19" i="3"/>
  <c r="CL12" i="3"/>
  <c r="CL8" i="3"/>
  <c r="AE84" i="3"/>
  <c r="AE34" i="3"/>
  <c r="AE33" i="3"/>
  <c r="AE25" i="3"/>
  <c r="AE20" i="3"/>
  <c r="AE13" i="3"/>
  <c r="AE9" i="3"/>
  <c r="CK111" i="3"/>
  <c r="CJ111" i="3"/>
  <c r="CI111" i="3"/>
  <c r="CK133" i="3"/>
  <c r="CK79" i="3"/>
  <c r="CK77" i="3"/>
  <c r="CK76" i="3"/>
  <c r="CK72" i="3"/>
  <c r="CK52" i="3"/>
  <c r="CK51" i="3"/>
  <c r="CK50" i="3"/>
  <c r="CK49" i="3"/>
  <c r="CK24" i="3"/>
  <c r="CK19" i="3"/>
  <c r="CK12" i="3"/>
  <c r="CK8" i="3"/>
  <c r="CK4" i="3"/>
  <c r="AD9" i="3"/>
  <c r="AD197" i="3"/>
  <c r="AD202" i="3" s="1"/>
  <c r="AD205" i="3" s="1"/>
  <c r="AD179" i="3"/>
  <c r="AD84" i="3"/>
  <c r="AD81" i="3"/>
  <c r="AD138" i="3"/>
  <c r="AD73" i="3"/>
  <c r="AD157" i="3" s="1"/>
  <c r="AD125" i="3"/>
  <c r="AD124" i="3"/>
  <c r="Z123" i="3"/>
  <c r="Z122" i="3"/>
  <c r="AD123" i="3"/>
  <c r="AD122" i="3"/>
  <c r="AD34" i="3"/>
  <c r="AD33" i="3"/>
  <c r="AD28" i="3"/>
  <c r="AD25" i="3"/>
  <c r="AD20" i="3"/>
  <c r="AD13" i="3"/>
  <c r="CK67" i="3"/>
  <c r="AC179" i="3"/>
  <c r="AB179" i="3"/>
  <c r="AA179" i="3"/>
  <c r="Z179" i="3"/>
  <c r="Y179" i="3"/>
  <c r="X179" i="3"/>
  <c r="CJ49" i="3"/>
  <c r="CE77" i="3"/>
  <c r="AB84" i="3"/>
  <c r="AC84" i="3"/>
  <c r="AB124" i="3"/>
  <c r="X123" i="3"/>
  <c r="AB123" i="3"/>
  <c r="X122" i="3"/>
  <c r="AB122" i="3"/>
  <c r="Y123" i="3"/>
  <c r="Y122" i="3"/>
  <c r="AC124" i="3"/>
  <c r="AC123" i="3"/>
  <c r="AC122" i="3"/>
  <c r="B124" i="3"/>
  <c r="B129" i="3" s="1"/>
  <c r="B123" i="3"/>
  <c r="B128" i="3" s="1"/>
  <c r="B122" i="3"/>
  <c r="B127" i="3" s="1"/>
  <c r="AB33" i="3"/>
  <c r="AA33" i="3"/>
  <c r="Z33" i="3"/>
  <c r="Y33" i="3"/>
  <c r="X33" i="3"/>
  <c r="W33" i="3"/>
  <c r="V33" i="3"/>
  <c r="U33" i="3"/>
  <c r="T33" i="3"/>
  <c r="AC33" i="3"/>
  <c r="AC9" i="3"/>
  <c r="AC138" i="3"/>
  <c r="AC125" i="3"/>
  <c r="CJ133" i="3"/>
  <c r="CJ79" i="3"/>
  <c r="CJ77" i="3"/>
  <c r="CJ76" i="3"/>
  <c r="CJ52" i="3"/>
  <c r="CJ51" i="3"/>
  <c r="CJ50" i="3"/>
  <c r="CJ24" i="3"/>
  <c r="CJ19" i="3"/>
  <c r="CJ12" i="3"/>
  <c r="CJ8" i="3"/>
  <c r="CJ4" i="3"/>
  <c r="AC81" i="3"/>
  <c r="AC34" i="3"/>
  <c r="AC28" i="3"/>
  <c r="AC25" i="3"/>
  <c r="AC20" i="3"/>
  <c r="AC13" i="3"/>
  <c r="CI79" i="3"/>
  <c r="CI77" i="3"/>
  <c r="CI76" i="3"/>
  <c r="AB34" i="3"/>
  <c r="CI24" i="3"/>
  <c r="CI19" i="3"/>
  <c r="CI12" i="3"/>
  <c r="CI8" i="3"/>
  <c r="CI4" i="3"/>
  <c r="X81" i="3"/>
  <c r="J60" i="7" s="1"/>
  <c r="Y81" i="3"/>
  <c r="Z81" i="3"/>
  <c r="L60" i="7" s="1"/>
  <c r="CI49" i="3"/>
  <c r="CI52" i="3"/>
  <c r="CI51" i="3"/>
  <c r="CI50" i="3"/>
  <c r="AB125" i="3"/>
  <c r="AB9" i="3"/>
  <c r="AB25" i="3"/>
  <c r="AB20" i="3"/>
  <c r="AB13" i="3"/>
  <c r="CI133" i="3"/>
  <c r="CK68" i="3"/>
  <c r="CK69" i="3"/>
  <c r="S11" i="9"/>
  <c r="R11" i="9"/>
  <c r="Q11" i="9"/>
  <c r="C107" i="7"/>
  <c r="C117" i="7" s="1"/>
  <c r="C106" i="7"/>
  <c r="C116" i="7" s="1"/>
  <c r="C105" i="7"/>
  <c r="C104" i="7"/>
  <c r="C115" i="7" s="1"/>
  <c r="C99" i="7"/>
  <c r="C110" i="7" s="1"/>
  <c r="E107" i="7"/>
  <c r="D107" i="7"/>
  <c r="E105" i="7"/>
  <c r="D105" i="7"/>
  <c r="I137" i="2"/>
  <c r="I135" i="2"/>
  <c r="I136" i="2" s="1"/>
  <c r="H135" i="2"/>
  <c r="G135" i="2"/>
  <c r="F135" i="2"/>
  <c r="E92" i="4"/>
  <c r="I127" i="2"/>
  <c r="I133" i="2" s="1"/>
  <c r="I51" i="2"/>
  <c r="I48" i="2"/>
  <c r="I47" i="2"/>
  <c r="I7" i="2"/>
  <c r="S27" i="9"/>
  <c r="D13" i="5"/>
  <c r="CH79" i="3"/>
  <c r="CH77" i="3"/>
  <c r="CG77" i="3"/>
  <c r="CF77" i="3"/>
  <c r="CH76" i="3"/>
  <c r="CG76" i="3"/>
  <c r="CF76" i="3"/>
  <c r="CE76" i="3"/>
  <c r="Z138" i="3"/>
  <c r="AA34" i="3"/>
  <c r="T197" i="3"/>
  <c r="T202" i="3" s="1"/>
  <c r="T208" i="3" s="1"/>
  <c r="X197" i="3"/>
  <c r="X202" i="3" s="1"/>
  <c r="X208" i="3" s="1"/>
  <c r="X210" i="3" s="1"/>
  <c r="U197" i="3"/>
  <c r="U202" i="3" s="1"/>
  <c r="U208" i="3" s="1"/>
  <c r="Y197" i="3"/>
  <c r="Y202" i="3" s="1"/>
  <c r="Y205" i="3" s="1"/>
  <c r="Z197" i="3"/>
  <c r="Z202" i="3" s="1"/>
  <c r="Z208" i="3" s="1"/>
  <c r="Z210" i="3" s="1"/>
  <c r="V197" i="3"/>
  <c r="V202" i="3" s="1"/>
  <c r="V208" i="3" s="1"/>
  <c r="W197" i="3"/>
  <c r="W202" i="3" s="1"/>
  <c r="W208" i="3" s="1"/>
  <c r="W81" i="3"/>
  <c r="AA101" i="3"/>
  <c r="AA100" i="3"/>
  <c r="AA99" i="3"/>
  <c r="AA96" i="3"/>
  <c r="W96" i="3"/>
  <c r="AA9" i="3"/>
  <c r="AA28" i="3"/>
  <c r="AA13" i="3"/>
  <c r="AA25" i="3"/>
  <c r="AA20" i="3"/>
  <c r="CH156" i="3"/>
  <c r="CH95" i="3"/>
  <c r="CH94" i="3"/>
  <c r="CH93" i="3"/>
  <c r="CH52" i="3"/>
  <c r="CH51" i="3"/>
  <c r="CH50" i="3"/>
  <c r="CH49" i="3"/>
  <c r="CH24" i="3"/>
  <c r="CH19" i="3"/>
  <c r="CH12" i="3"/>
  <c r="CH8" i="3"/>
  <c r="CH4" i="3"/>
  <c r="AA73" i="3"/>
  <c r="AA157" i="3" s="1"/>
  <c r="I43" i="2"/>
  <c r="D73" i="7"/>
  <c r="R23" i="9"/>
  <c r="R24" i="9" s="1"/>
  <c r="R22" i="9"/>
  <c r="Q22" i="9"/>
  <c r="E39" i="6"/>
  <c r="Q13" i="9" s="1"/>
  <c r="Q28" i="9"/>
  <c r="R28" i="9"/>
  <c r="R21" i="9"/>
  <c r="F27" i="6"/>
  <c r="R27" i="9"/>
  <c r="Q21" i="9"/>
  <c r="Q27" i="9"/>
  <c r="R19" i="9"/>
  <c r="R143" i="9" s="1"/>
  <c r="Q19" i="9"/>
  <c r="Q143" i="9" s="1"/>
  <c r="R18" i="9"/>
  <c r="Q18" i="9"/>
  <c r="C399" i="14" s="1"/>
  <c r="E5" i="6"/>
  <c r="Q3" i="9" s="1"/>
  <c r="Q4" i="9" s="1"/>
  <c r="B150" i="9"/>
  <c r="B149" i="9"/>
  <c r="B148" i="9"/>
  <c r="B140" i="9"/>
  <c r="B147" i="9" s="1"/>
  <c r="C13" i="5"/>
  <c r="F28" i="5"/>
  <c r="H12" i="6"/>
  <c r="I12" i="6" s="1"/>
  <c r="J12" i="6" s="1"/>
  <c r="H13" i="6"/>
  <c r="I13" i="6" s="1"/>
  <c r="J13" i="6" s="1"/>
  <c r="K13" i="6" s="1"/>
  <c r="L13" i="6" s="1"/>
  <c r="M13" i="6" s="1"/>
  <c r="N13" i="6" s="1"/>
  <c r="O13" i="6" s="1"/>
  <c r="P13" i="6" s="1"/>
  <c r="Q13" i="6" s="1"/>
  <c r="R13" i="6" s="1"/>
  <c r="S13" i="6" s="1"/>
  <c r="T13" i="6" s="1"/>
  <c r="U13" i="6" s="1"/>
  <c r="V13" i="6" s="1"/>
  <c r="W13" i="6" s="1"/>
  <c r="X13" i="6" s="1"/>
  <c r="Y13" i="6" s="1"/>
  <c r="Z13" i="6" s="1"/>
  <c r="AA13" i="6" s="1"/>
  <c r="AB13" i="6" s="1"/>
  <c r="L59" i="7"/>
  <c r="K59" i="7"/>
  <c r="J59" i="7"/>
  <c r="H59" i="7"/>
  <c r="G59" i="7"/>
  <c r="CA156" i="3"/>
  <c r="CB156" i="3"/>
  <c r="H39" i="7"/>
  <c r="G39" i="7"/>
  <c r="I9" i="2"/>
  <c r="I18" i="7" s="1"/>
  <c r="I17" i="7"/>
  <c r="H17" i="7"/>
  <c r="G17" i="7"/>
  <c r="E17" i="7"/>
  <c r="E2" i="2"/>
  <c r="E16" i="7" s="1"/>
  <c r="E38" i="7" s="1"/>
  <c r="D17" i="7"/>
  <c r="D16" i="7"/>
  <c r="D38" i="7" s="1"/>
  <c r="CG133" i="3"/>
  <c r="CF133" i="3"/>
  <c r="CE133" i="3"/>
  <c r="CD133" i="3"/>
  <c r="CC133" i="3"/>
  <c r="CB133" i="3"/>
  <c r="CA133" i="3"/>
  <c r="I6" i="7"/>
  <c r="I5" i="7"/>
  <c r="I4" i="7"/>
  <c r="D12" i="5"/>
  <c r="C12" i="5"/>
  <c r="G27" i="6"/>
  <c r="F23" i="6"/>
  <c r="F21" i="6"/>
  <c r="G5" i="6"/>
  <c r="S3" i="9" s="1"/>
  <c r="F5" i="6"/>
  <c r="R3" i="9" s="1"/>
  <c r="F2" i="6"/>
  <c r="G2" i="6" s="1"/>
  <c r="H2" i="6" s="1"/>
  <c r="I2" i="6" s="1"/>
  <c r="J2" i="6" s="1"/>
  <c r="K2" i="6" s="1"/>
  <c r="L2" i="6" s="1"/>
  <c r="M2" i="6" s="1"/>
  <c r="N2" i="6" s="1"/>
  <c r="O2" i="6" s="1"/>
  <c r="P2" i="6" s="1"/>
  <c r="Q2" i="6" s="1"/>
  <c r="R2" i="6" s="1"/>
  <c r="S2" i="6" s="1"/>
  <c r="T2" i="6" s="1"/>
  <c r="U2" i="6" s="1"/>
  <c r="V2" i="6" s="1"/>
  <c r="W2" i="6" s="1"/>
  <c r="X2" i="6" s="1"/>
  <c r="Y2" i="6" s="1"/>
  <c r="Z2" i="6" s="1"/>
  <c r="AA2" i="6" s="1"/>
  <c r="AB2" i="6" s="1"/>
  <c r="G35" i="6"/>
  <c r="F13" i="6"/>
  <c r="F12" i="6"/>
  <c r="H47" i="2"/>
  <c r="G47" i="2"/>
  <c r="F47" i="2"/>
  <c r="Y134" i="3"/>
  <c r="X134" i="3"/>
  <c r="W134" i="3"/>
  <c r="V134" i="3"/>
  <c r="U134" i="3"/>
  <c r="T134" i="3"/>
  <c r="S134" i="3"/>
  <c r="R134" i="3"/>
  <c r="Q134" i="3"/>
  <c r="P134" i="3"/>
  <c r="O134" i="3"/>
  <c r="N134" i="3"/>
  <c r="M134" i="3"/>
  <c r="L134" i="3"/>
  <c r="K134" i="3"/>
  <c r="J134" i="3"/>
  <c r="I134" i="3"/>
  <c r="Z125" i="3"/>
  <c r="Y125" i="3"/>
  <c r="X125" i="3"/>
  <c r="W125" i="3"/>
  <c r="V125" i="3"/>
  <c r="U125" i="3"/>
  <c r="T125" i="3"/>
  <c r="S125" i="3"/>
  <c r="R125" i="3"/>
  <c r="Q125" i="3"/>
  <c r="P125" i="3"/>
  <c r="O125" i="3"/>
  <c r="N125" i="3"/>
  <c r="M125" i="3"/>
  <c r="L125" i="3"/>
  <c r="K125" i="3"/>
  <c r="J125" i="3"/>
  <c r="I16" i="2"/>
  <c r="H16" i="2"/>
  <c r="G16" i="2"/>
  <c r="F16" i="2"/>
  <c r="E16" i="2"/>
  <c r="E28" i="5"/>
  <c r="D28" i="5"/>
  <c r="P11" i="2"/>
  <c r="Q11" i="2" s="1"/>
  <c r="R11" i="2" s="1"/>
  <c r="S11" i="2" s="1"/>
  <c r="T11" i="2" s="1"/>
  <c r="U11" i="2" s="1"/>
  <c r="V11" i="2" s="1"/>
  <c r="W11" i="2" s="1"/>
  <c r="X11" i="2" s="1"/>
  <c r="Y11" i="2" s="1"/>
  <c r="Z11" i="2" s="1"/>
  <c r="AA11" i="2" s="1"/>
  <c r="AB11" i="2" s="1"/>
  <c r="AC11" i="2" s="1"/>
  <c r="AD11" i="2" s="1"/>
  <c r="P6" i="5"/>
  <c r="O6" i="5"/>
  <c r="N6" i="5"/>
  <c r="M6" i="5"/>
  <c r="L6" i="5"/>
  <c r="K6" i="5"/>
  <c r="J6" i="5"/>
  <c r="I6" i="5"/>
  <c r="H6" i="5"/>
  <c r="G6" i="5"/>
  <c r="F6" i="5"/>
  <c r="E6" i="5"/>
  <c r="D6" i="5"/>
  <c r="C6" i="5"/>
  <c r="D3" i="5"/>
  <c r="C3" i="5" s="1"/>
  <c r="F3" i="5"/>
  <c r="G3" i="5" s="1"/>
  <c r="H3" i="5" s="1"/>
  <c r="I3" i="5" s="1"/>
  <c r="J3" i="5" s="1"/>
  <c r="K3" i="5" s="1"/>
  <c r="L3" i="5" s="1"/>
  <c r="M3" i="5" s="1"/>
  <c r="N3" i="5" s="1"/>
  <c r="O3" i="5" s="1"/>
  <c r="P3" i="5" s="1"/>
  <c r="Q3" i="5" s="1"/>
  <c r="R3" i="5" s="1"/>
  <c r="S3" i="5" s="1"/>
  <c r="T3" i="5" s="1"/>
  <c r="U3" i="5" s="1"/>
  <c r="V3" i="5" s="1"/>
  <c r="W3" i="5" s="1"/>
  <c r="X3" i="5" s="1"/>
  <c r="Y3" i="5" s="1"/>
  <c r="Z3" i="5" s="1"/>
  <c r="G39" i="6"/>
  <c r="CE95" i="3"/>
  <c r="CE94" i="3"/>
  <c r="CE93" i="3"/>
  <c r="CF95" i="3"/>
  <c r="CF94" i="3"/>
  <c r="CF93" i="3"/>
  <c r="X96" i="3"/>
  <c r="T96" i="3"/>
  <c r="T81" i="3"/>
  <c r="U96" i="3"/>
  <c r="U81" i="3"/>
  <c r="Y96" i="3"/>
  <c r="CG95" i="3"/>
  <c r="CG94" i="3"/>
  <c r="CG93" i="3"/>
  <c r="V96" i="3"/>
  <c r="Z96" i="3"/>
  <c r="V81" i="3"/>
  <c r="H60" i="7" s="1"/>
  <c r="Z20" i="3"/>
  <c r="Z14" i="3"/>
  <c r="Z9" i="3"/>
  <c r="Z34" i="3"/>
  <c r="Z28" i="3"/>
  <c r="Z25" i="3"/>
  <c r="Z13" i="3"/>
  <c r="Z73" i="3"/>
  <c r="CG73" i="3" s="1"/>
  <c r="Z101" i="3"/>
  <c r="Z99" i="3"/>
  <c r="H26" i="2"/>
  <c r="G26" i="2"/>
  <c r="F26" i="2"/>
  <c r="E26" i="2"/>
  <c r="H35" i="2"/>
  <c r="G35" i="2"/>
  <c r="F35" i="2"/>
  <c r="E35" i="2"/>
  <c r="CF111" i="3"/>
  <c r="CF73" i="3"/>
  <c r="Y28" i="3"/>
  <c r="X28" i="3"/>
  <c r="W28" i="3"/>
  <c r="V28" i="3"/>
  <c r="U28" i="3"/>
  <c r="T28" i="3"/>
  <c r="S28" i="3"/>
  <c r="R28" i="3"/>
  <c r="Q28" i="3"/>
  <c r="P28" i="3"/>
  <c r="O28" i="3"/>
  <c r="N28" i="3"/>
  <c r="M28" i="3"/>
  <c r="L28" i="3"/>
  <c r="K28" i="3"/>
  <c r="J28" i="3"/>
  <c r="I28" i="3"/>
  <c r="H28" i="3"/>
  <c r="G28" i="3"/>
  <c r="F28" i="3"/>
  <c r="E28" i="3"/>
  <c r="D28" i="3"/>
  <c r="Y34" i="3"/>
  <c r="X34" i="3"/>
  <c r="W34" i="3"/>
  <c r="V34" i="3"/>
  <c r="U34" i="3"/>
  <c r="T34" i="3"/>
  <c r="S34" i="3"/>
  <c r="R34" i="3"/>
  <c r="Q34" i="3"/>
  <c r="P34" i="3"/>
  <c r="O34" i="3"/>
  <c r="N34" i="3"/>
  <c r="M34" i="3"/>
  <c r="L34" i="3"/>
  <c r="CG156" i="3"/>
  <c r="CG111" i="3"/>
  <c r="CG52" i="3"/>
  <c r="CG51" i="3"/>
  <c r="CG50" i="3"/>
  <c r="CG49" i="3"/>
  <c r="CG24" i="3"/>
  <c r="CG19" i="3"/>
  <c r="CG12" i="3"/>
  <c r="CG8" i="3"/>
  <c r="CG4" i="3"/>
  <c r="H82" i="2"/>
  <c r="G82" i="2"/>
  <c r="B109" i="2"/>
  <c r="B107" i="2"/>
  <c r="B105" i="2"/>
  <c r="CA73" i="3"/>
  <c r="CB73" i="3"/>
  <c r="CC73" i="3"/>
  <c r="CD73" i="3"/>
  <c r="CE73" i="3"/>
  <c r="S72" i="3"/>
  <c r="R72" i="3"/>
  <c r="Q72" i="3"/>
  <c r="P72" i="3"/>
  <c r="O72" i="3"/>
  <c r="N72" i="3"/>
  <c r="M72" i="3"/>
  <c r="L72" i="3"/>
  <c r="S69" i="3"/>
  <c r="R69" i="3"/>
  <c r="Q69" i="3"/>
  <c r="P69" i="3"/>
  <c r="O69" i="3"/>
  <c r="N69" i="3"/>
  <c r="M69" i="3"/>
  <c r="L69" i="3"/>
  <c r="S68" i="3"/>
  <c r="R68" i="3"/>
  <c r="Q68" i="3"/>
  <c r="P68" i="3"/>
  <c r="O68" i="3"/>
  <c r="N68" i="3"/>
  <c r="M68" i="3"/>
  <c r="L68" i="3"/>
  <c r="S67" i="3"/>
  <c r="R67" i="3"/>
  <c r="Q67" i="3"/>
  <c r="P67" i="3"/>
  <c r="O67" i="3"/>
  <c r="N67" i="3"/>
  <c r="M67" i="3"/>
  <c r="L67" i="3"/>
  <c r="B69" i="3"/>
  <c r="B68" i="3"/>
  <c r="B67" i="3"/>
  <c r="CD49" i="3"/>
  <c r="B40" i="3"/>
  <c r="B45" i="3" s="1"/>
  <c r="B39" i="3"/>
  <c r="B44" i="3" s="1"/>
  <c r="B38" i="3"/>
  <c r="B43" i="3" s="1"/>
  <c r="CF156" i="3"/>
  <c r="CE156" i="3"/>
  <c r="CD156" i="3"/>
  <c r="CC156" i="3"/>
  <c r="CE111" i="3"/>
  <c r="CD111" i="3"/>
  <c r="CC111" i="3"/>
  <c r="CB111" i="3"/>
  <c r="CA111" i="3"/>
  <c r="CF52" i="3"/>
  <c r="CE52" i="3"/>
  <c r="CD52" i="3"/>
  <c r="CC52" i="3"/>
  <c r="CB52" i="3"/>
  <c r="CA52" i="3"/>
  <c r="CF51" i="3"/>
  <c r="CE51" i="3"/>
  <c r="CD51" i="3"/>
  <c r="CC51" i="3"/>
  <c r="CB51" i="3"/>
  <c r="CA51" i="3"/>
  <c r="CF50" i="3"/>
  <c r="CE50" i="3"/>
  <c r="CD50" i="3"/>
  <c r="CC50" i="3"/>
  <c r="CB50" i="3"/>
  <c r="CA50" i="3"/>
  <c r="CF49" i="3"/>
  <c r="CE49" i="3"/>
  <c r="CC49" i="3"/>
  <c r="CB49" i="3"/>
  <c r="CA49" i="3"/>
  <c r="CF24" i="3"/>
  <c r="CE24" i="3"/>
  <c r="CD24" i="3"/>
  <c r="CC24" i="3"/>
  <c r="CB24" i="3"/>
  <c r="CA24" i="3"/>
  <c r="CF19" i="3"/>
  <c r="CE19" i="3"/>
  <c r="CD19" i="3"/>
  <c r="CC19" i="3"/>
  <c r="CB19" i="3"/>
  <c r="CA19" i="3"/>
  <c r="CF12" i="3"/>
  <c r="CE12" i="3"/>
  <c r="CD12" i="3"/>
  <c r="CC12" i="3"/>
  <c r="CB12" i="3"/>
  <c r="CA12" i="3"/>
  <c r="CF8" i="3"/>
  <c r="CE8" i="3"/>
  <c r="CD8" i="3"/>
  <c r="CC8" i="3"/>
  <c r="CB8" i="3"/>
  <c r="CA8" i="3"/>
  <c r="CF4" i="3"/>
  <c r="CE4" i="3"/>
  <c r="CD4" i="3"/>
  <c r="CC4" i="3"/>
  <c r="CB4" i="3"/>
  <c r="CA4" i="3"/>
  <c r="Y25" i="3"/>
  <c r="X25" i="3"/>
  <c r="W25" i="3"/>
  <c r="V25" i="3"/>
  <c r="U25" i="3"/>
  <c r="T25" i="3"/>
  <c r="T45" i="3" s="1"/>
  <c r="S25" i="3"/>
  <c r="S45" i="3" s="1"/>
  <c r="R25" i="3"/>
  <c r="R45" i="3" s="1"/>
  <c r="Q25" i="3"/>
  <c r="Q45" i="3" s="1"/>
  <c r="P25" i="3"/>
  <c r="P45" i="3" s="1"/>
  <c r="O25" i="3"/>
  <c r="O45" i="3" s="1"/>
  <c r="N25" i="3"/>
  <c r="N45" i="3" s="1"/>
  <c r="M25" i="3"/>
  <c r="M45" i="3" s="1"/>
  <c r="L25" i="3"/>
  <c r="L45" i="3" s="1"/>
  <c r="K25" i="3"/>
  <c r="K45" i="3" s="1"/>
  <c r="J25" i="3"/>
  <c r="J45" i="3" s="1"/>
  <c r="I25" i="3"/>
  <c r="I45" i="3" s="1"/>
  <c r="H25" i="3"/>
  <c r="H45" i="3" s="1"/>
  <c r="G25" i="3"/>
  <c r="G45" i="3" s="1"/>
  <c r="F25" i="3"/>
  <c r="F45" i="3" s="1"/>
  <c r="E25" i="3"/>
  <c r="E45" i="3" s="1"/>
  <c r="D25" i="3"/>
  <c r="D45" i="3" s="1"/>
  <c r="Y20" i="3"/>
  <c r="X20" i="3"/>
  <c r="W20" i="3"/>
  <c r="V20" i="3"/>
  <c r="U20" i="3"/>
  <c r="T20" i="3"/>
  <c r="T44" i="3" s="1"/>
  <c r="S20" i="3"/>
  <c r="S44" i="3" s="1"/>
  <c r="R20" i="3"/>
  <c r="R44" i="3" s="1"/>
  <c r="Q20" i="3"/>
  <c r="Q44" i="3" s="1"/>
  <c r="P20" i="3"/>
  <c r="P44" i="3" s="1"/>
  <c r="O20" i="3"/>
  <c r="O44" i="3" s="1"/>
  <c r="N20" i="3"/>
  <c r="N44" i="3" s="1"/>
  <c r="M20" i="3"/>
  <c r="M44" i="3" s="1"/>
  <c r="L20" i="3"/>
  <c r="L44" i="3" s="1"/>
  <c r="K20" i="3"/>
  <c r="K44" i="3" s="1"/>
  <c r="J20" i="3"/>
  <c r="J44" i="3" s="1"/>
  <c r="I20" i="3"/>
  <c r="I44" i="3" s="1"/>
  <c r="H20" i="3"/>
  <c r="H44" i="3" s="1"/>
  <c r="G20" i="3"/>
  <c r="G44" i="3" s="1"/>
  <c r="F20" i="3"/>
  <c r="F44" i="3" s="1"/>
  <c r="E20" i="3"/>
  <c r="E44" i="3" s="1"/>
  <c r="D20" i="3"/>
  <c r="D44" i="3" s="1"/>
  <c r="Y13" i="3"/>
  <c r="X13" i="3"/>
  <c r="W13" i="3"/>
  <c r="V13" i="3"/>
  <c r="U13" i="3"/>
  <c r="T13" i="3"/>
  <c r="T43" i="3" s="1"/>
  <c r="S13" i="3"/>
  <c r="S43" i="3" s="1"/>
  <c r="R13" i="3"/>
  <c r="R43" i="3" s="1"/>
  <c r="Q13" i="3"/>
  <c r="Q43" i="3" s="1"/>
  <c r="P13" i="3"/>
  <c r="P43" i="3" s="1"/>
  <c r="O13" i="3"/>
  <c r="O43" i="3" s="1"/>
  <c r="N13" i="3"/>
  <c r="N43" i="3" s="1"/>
  <c r="M13" i="3"/>
  <c r="M43" i="3" s="1"/>
  <c r="L13" i="3"/>
  <c r="L43" i="3" s="1"/>
  <c r="K13" i="3"/>
  <c r="K43" i="3" s="1"/>
  <c r="J13" i="3"/>
  <c r="J43" i="3" s="1"/>
  <c r="I13" i="3"/>
  <c r="I43" i="3" s="1"/>
  <c r="H13" i="3"/>
  <c r="H43" i="3" s="1"/>
  <c r="G13" i="3"/>
  <c r="G43" i="3" s="1"/>
  <c r="F13" i="3"/>
  <c r="F43" i="3" s="1"/>
  <c r="E13" i="3"/>
  <c r="E43" i="3" s="1"/>
  <c r="D13" i="3"/>
  <c r="D43" i="3" s="1"/>
  <c r="Y9" i="3"/>
  <c r="X9" i="3"/>
  <c r="W9" i="3"/>
  <c r="V9" i="3"/>
  <c r="U9" i="3"/>
  <c r="T9" i="3"/>
  <c r="S9" i="3"/>
  <c r="R9" i="3"/>
  <c r="Q9" i="3"/>
  <c r="P9" i="3"/>
  <c r="O9" i="3"/>
  <c r="N9" i="3"/>
  <c r="M9" i="3"/>
  <c r="L9" i="3"/>
  <c r="K9" i="3"/>
  <c r="J9" i="3"/>
  <c r="I9" i="3"/>
  <c r="H9" i="3"/>
  <c r="G9" i="3"/>
  <c r="F9" i="3"/>
  <c r="E9" i="3"/>
  <c r="D9" i="3"/>
  <c r="D43" i="2"/>
  <c r="E43" i="2"/>
  <c r="H43" i="2"/>
  <c r="G43" i="2"/>
  <c r="F43" i="2"/>
  <c r="D81" i="2"/>
  <c r="E81" i="2"/>
  <c r="F119" i="2"/>
  <c r="F121" i="2" s="1"/>
  <c r="G119" i="2"/>
  <c r="H119" i="2"/>
  <c r="H127" i="2"/>
  <c r="H125" i="2" s="1"/>
  <c r="G127" i="2"/>
  <c r="G133" i="2" s="1"/>
  <c r="F127" i="2"/>
  <c r="F133" i="2" s="1"/>
  <c r="H48" i="2"/>
  <c r="G48" i="2"/>
  <c r="H7" i="2"/>
  <c r="G7" i="2"/>
  <c r="F7" i="2"/>
  <c r="E7" i="2"/>
  <c r="H39" i="2"/>
  <c r="G39" i="2"/>
  <c r="F39" i="2"/>
  <c r="E39" i="2"/>
  <c r="D39" i="2"/>
  <c r="H30" i="2"/>
  <c r="G30" i="2"/>
  <c r="F30" i="2"/>
  <c r="E30" i="2"/>
  <c r="D30" i="2"/>
  <c r="H21" i="2"/>
  <c r="G21" i="2"/>
  <c r="F21" i="2"/>
  <c r="E21" i="2"/>
  <c r="D21" i="2"/>
  <c r="H12" i="2"/>
  <c r="G12" i="2"/>
  <c r="F12" i="2"/>
  <c r="H9" i="2"/>
  <c r="H18" i="7" s="1"/>
  <c r="G9" i="2"/>
  <c r="G18" i="7" s="1"/>
  <c r="F9" i="2"/>
  <c r="E9" i="2"/>
  <c r="E18" i="7" s="1"/>
  <c r="D9" i="2"/>
  <c r="D18" i="7" s="1"/>
  <c r="H51" i="2"/>
  <c r="G51" i="2"/>
  <c r="F51" i="2"/>
  <c r="J17" i="7"/>
  <c r="I12" i="2"/>
  <c r="I35" i="2"/>
  <c r="R33" i="9"/>
  <c r="H27" i="6"/>
  <c r="I26" i="2"/>
  <c r="I39" i="7"/>
  <c r="J16" i="2"/>
  <c r="E12" i="5"/>
  <c r="S116" i="9"/>
  <c r="S16" i="9"/>
  <c r="J12" i="2"/>
  <c r="Z100" i="3"/>
  <c r="J26" i="2"/>
  <c r="J43" i="2"/>
  <c r="T11" i="9"/>
  <c r="J39" i="7"/>
  <c r="F12" i="5"/>
  <c r="U11" i="9"/>
  <c r="S18" i="9"/>
  <c r="S22" i="9"/>
  <c r="G23" i="6"/>
  <c r="T18" i="9"/>
  <c r="T22" i="9"/>
  <c r="H23" i="6"/>
  <c r="G21" i="6"/>
  <c r="S19" i="9"/>
  <c r="S143" i="9" s="1"/>
  <c r="S23" i="9"/>
  <c r="S109" i="9" s="1"/>
  <c r="E393" i="14" s="1"/>
  <c r="S33" i="9"/>
  <c r="T19" i="9"/>
  <c r="T143" i="9" s="1"/>
  <c r="H21" i="6"/>
  <c r="F13" i="5"/>
  <c r="L40" i="7"/>
  <c r="K17" i="7"/>
  <c r="K12" i="2"/>
  <c r="I39" i="6"/>
  <c r="K137" i="2"/>
  <c r="H39" i="6"/>
  <c r="H28" i="5"/>
  <c r="K17" i="2"/>
  <c r="L17" i="7"/>
  <c r="K27" i="2"/>
  <c r="K16" i="2"/>
  <c r="K36" i="2"/>
  <c r="L137" i="2"/>
  <c r="K43" i="2"/>
  <c r="J27" i="6"/>
  <c r="K35" i="2"/>
  <c r="L16" i="2"/>
  <c r="F828" i="4" s="1"/>
  <c r="K39" i="6"/>
  <c r="J39" i="6"/>
  <c r="K26" i="2"/>
  <c r="V11" i="9"/>
  <c r="K27" i="6"/>
  <c r="K39" i="7"/>
  <c r="G13" i="5"/>
  <c r="G12" i="5"/>
  <c r="U18" i="9"/>
  <c r="G399" i="14" s="1"/>
  <c r="D88" i="7"/>
  <c r="D110" i="7" s="1"/>
  <c r="E126" i="7"/>
  <c r="K149" i="2"/>
  <c r="U22" i="9"/>
  <c r="E131" i="7"/>
  <c r="I23" i="6"/>
  <c r="D213" i="7"/>
  <c r="D95" i="7"/>
  <c r="D116" i="7" s="1"/>
  <c r="E128" i="7"/>
  <c r="U33" i="9"/>
  <c r="D93" i="7"/>
  <c r="U19" i="9"/>
  <c r="U143" i="9" s="1"/>
  <c r="I21" i="6"/>
  <c r="U28" i="9"/>
  <c r="U110" i="9"/>
  <c r="J74" i="2" l="1"/>
  <c r="K75" i="2" s="1"/>
  <c r="J71" i="2"/>
  <c r="J252" i="7"/>
  <c r="L46" i="3"/>
  <c r="S46" i="3"/>
  <c r="D46" i="3"/>
  <c r="K46" i="3"/>
  <c r="J46" i="3"/>
  <c r="E46" i="3"/>
  <c r="G46" i="3"/>
  <c r="O46" i="3"/>
  <c r="R46" i="3"/>
  <c r="M46" i="3"/>
  <c r="F46" i="3"/>
  <c r="N46" i="3"/>
  <c r="H46" i="3"/>
  <c r="P46" i="3"/>
  <c r="I46" i="3"/>
  <c r="Q46" i="3"/>
  <c r="K40" i="7"/>
  <c r="K52" i="2"/>
  <c r="L52" i="2"/>
  <c r="H40" i="7"/>
  <c r="H52" i="2"/>
  <c r="I40" i="7"/>
  <c r="I52" i="2"/>
  <c r="J40" i="7"/>
  <c r="J52" i="2"/>
  <c r="G40" i="7"/>
  <c r="G52" i="2"/>
  <c r="AJ82" i="3"/>
  <c r="J136" i="2"/>
  <c r="G22" i="2"/>
  <c r="Q110" i="9"/>
  <c r="I62" i="6"/>
  <c r="I63" i="6" s="1"/>
  <c r="C388" i="14"/>
  <c r="I24" i="6"/>
  <c r="I28" i="6" s="1"/>
  <c r="U31" i="9" s="1"/>
  <c r="Y99" i="3"/>
  <c r="CG67" i="3"/>
  <c r="BL60" i="3"/>
  <c r="U150" i="9"/>
  <c r="U156" i="9" s="1"/>
  <c r="G388" i="14"/>
  <c r="T135" i="9"/>
  <c r="F399" i="14"/>
  <c r="Q150" i="9"/>
  <c r="Q156" i="9" s="1"/>
  <c r="R150" i="9"/>
  <c r="R156" i="9" s="1"/>
  <c r="D388" i="14"/>
  <c r="S150" i="9"/>
  <c r="S156" i="9" s="1"/>
  <c r="E388" i="14"/>
  <c r="Q135" i="9"/>
  <c r="S135" i="9"/>
  <c r="E399" i="14"/>
  <c r="T150" i="9"/>
  <c r="T156" i="9" s="1"/>
  <c r="F388" i="14"/>
  <c r="R135" i="9"/>
  <c r="D399" i="14"/>
  <c r="D406" i="14" s="1"/>
  <c r="AG174" i="3"/>
  <c r="S28" i="9"/>
  <c r="S110" i="9"/>
  <c r="D10" i="5"/>
  <c r="AJ87" i="3"/>
  <c r="CU87" i="3" s="1"/>
  <c r="R116" i="9"/>
  <c r="J44" i="2"/>
  <c r="G40" i="2"/>
  <c r="E22" i="2"/>
  <c r="H31" i="2"/>
  <c r="H120" i="2"/>
  <c r="U23" i="9"/>
  <c r="U24" i="9" s="1"/>
  <c r="U26" i="9" s="1"/>
  <c r="B93" i="3"/>
  <c r="B99" i="3" s="1"/>
  <c r="B30" i="13"/>
  <c r="AE129" i="3"/>
  <c r="AF129" i="3"/>
  <c r="AG128" i="3"/>
  <c r="V43" i="3"/>
  <c r="AB44" i="3"/>
  <c r="AC129" i="3"/>
  <c r="AE43" i="3"/>
  <c r="B94" i="3"/>
  <c r="B100" i="3" s="1"/>
  <c r="B31" i="13"/>
  <c r="AD43" i="3"/>
  <c r="AA129" i="3"/>
  <c r="X43" i="3"/>
  <c r="B95" i="3"/>
  <c r="B101" i="3" s="1"/>
  <c r="B32" i="13"/>
  <c r="AD44" i="3"/>
  <c r="AF127" i="3"/>
  <c r="W45" i="3"/>
  <c r="Z43" i="3"/>
  <c r="AA44" i="3"/>
  <c r="AB128" i="3"/>
  <c r="AD45" i="3"/>
  <c r="AD129" i="3"/>
  <c r="AG45" i="3"/>
  <c r="AC45" i="3"/>
  <c r="AC127" i="3"/>
  <c r="AF45" i="3"/>
  <c r="X45" i="3"/>
  <c r="U43" i="3"/>
  <c r="AA43" i="3"/>
  <c r="AG44" i="3"/>
  <c r="AH44" i="3"/>
  <c r="AI44" i="3"/>
  <c r="Y44" i="3"/>
  <c r="AB45" i="3"/>
  <c r="AD127" i="3"/>
  <c r="AE44" i="3"/>
  <c r="AG127" i="3"/>
  <c r="AI45" i="3"/>
  <c r="J9" i="2"/>
  <c r="J18" i="7" s="1"/>
  <c r="F114" i="2"/>
  <c r="F117" i="2" s="1"/>
  <c r="Q38" i="2"/>
  <c r="P39" i="2"/>
  <c r="P40" i="2" s="1"/>
  <c r="H9" i="10"/>
  <c r="BK60" i="3"/>
  <c r="Q23" i="5"/>
  <c r="Q10" i="5"/>
  <c r="G9" i="10"/>
  <c r="L63" i="2"/>
  <c r="X70" i="3"/>
  <c r="X71" i="3" s="1"/>
  <c r="AH70" i="3"/>
  <c r="AH71" i="3" s="1"/>
  <c r="CS71" i="3" s="1"/>
  <c r="AC70" i="3"/>
  <c r="AC105" i="3" s="1"/>
  <c r="CL67" i="3"/>
  <c r="AE70" i="3"/>
  <c r="AE71" i="3" s="1"/>
  <c r="AE87" i="3" s="1"/>
  <c r="DJ77" i="3"/>
  <c r="P71" i="3"/>
  <c r="P87" i="3" s="1"/>
  <c r="P136" i="3" s="1"/>
  <c r="Q138" i="3"/>
  <c r="Q71" i="3"/>
  <c r="U104" i="3"/>
  <c r="V104" i="3"/>
  <c r="CT67" i="3"/>
  <c r="AI70" i="3"/>
  <c r="AI71" i="3" s="1"/>
  <c r="CT71" i="3" s="1"/>
  <c r="CR69" i="3"/>
  <c r="R138" i="3"/>
  <c r="R71" i="3"/>
  <c r="R87" i="3" s="1"/>
  <c r="R136" i="3" s="1"/>
  <c r="CM69" i="3"/>
  <c r="AF70" i="3"/>
  <c r="AF71" i="3" s="1"/>
  <c r="S71" i="3"/>
  <c r="CT69" i="3"/>
  <c r="CR67" i="3"/>
  <c r="AG70" i="3"/>
  <c r="AG71" i="3" s="1"/>
  <c r="CR71" i="3" s="1"/>
  <c r="K23" i="5"/>
  <c r="O123" i="2" s="1"/>
  <c r="O124" i="2" s="1"/>
  <c r="L23" i="5"/>
  <c r="F9" i="10"/>
  <c r="J22" i="2"/>
  <c r="N8" i="2"/>
  <c r="Q23" i="9"/>
  <c r="Q109" i="9" s="1"/>
  <c r="C393" i="14" s="1"/>
  <c r="E23" i="5"/>
  <c r="E31" i="5" s="1"/>
  <c r="K9" i="10"/>
  <c r="C190" i="7"/>
  <c r="C197" i="7" s="1"/>
  <c r="C202" i="7" s="1"/>
  <c r="C207" i="7" s="1"/>
  <c r="C217" i="7"/>
  <c r="C191" i="7"/>
  <c r="C198" i="7" s="1"/>
  <c r="C203" i="7" s="1"/>
  <c r="C208" i="7" s="1"/>
  <c r="C218" i="7"/>
  <c r="E187" i="7"/>
  <c r="E199" i="7" s="1"/>
  <c r="E197" i="7"/>
  <c r="E207" i="7" s="1"/>
  <c r="E209" i="7" s="1"/>
  <c r="N23" i="5"/>
  <c r="R123" i="2" s="1"/>
  <c r="M23" i="5"/>
  <c r="Q123" i="2" s="1"/>
  <c r="S24" i="9"/>
  <c r="G8" i="6"/>
  <c r="G18" i="6" s="1"/>
  <c r="T46" i="3"/>
  <c r="I44" i="2"/>
  <c r="R20" i="9"/>
  <c r="Q116" i="9"/>
  <c r="I31" i="2"/>
  <c r="S9" i="9"/>
  <c r="L9" i="2"/>
  <c r="L18" i="7" s="1"/>
  <c r="K9" i="2"/>
  <c r="K18" i="7" s="1"/>
  <c r="F40" i="2"/>
  <c r="D23" i="5"/>
  <c r="D36" i="5" s="1"/>
  <c r="J31" i="2"/>
  <c r="V44" i="3"/>
  <c r="AB43" i="3"/>
  <c r="AF44" i="3"/>
  <c r="W43" i="3"/>
  <c r="U44" i="3"/>
  <c r="AC44" i="3"/>
  <c r="AE45" i="3"/>
  <c r="AA45" i="3"/>
  <c r="AH14" i="3"/>
  <c r="AH11" i="3" s="1"/>
  <c r="AH43" i="3"/>
  <c r="Y43" i="3"/>
  <c r="W44" i="3"/>
  <c r="U45" i="3"/>
  <c r="Y45" i="3"/>
  <c r="Z45" i="3"/>
  <c r="AH45" i="3"/>
  <c r="X44" i="3"/>
  <c r="V45" i="3"/>
  <c r="Z44" i="3"/>
  <c r="AC43" i="3"/>
  <c r="AF43" i="3"/>
  <c r="AG43" i="3"/>
  <c r="AI43" i="3"/>
  <c r="J107" i="2"/>
  <c r="H250" i="7"/>
  <c r="K253" i="7"/>
  <c r="H9" i="6"/>
  <c r="T9" i="9" s="1"/>
  <c r="F35" i="6"/>
  <c r="G184" i="7"/>
  <c r="H184" i="7" s="1"/>
  <c r="H189" i="7" s="1"/>
  <c r="H196" i="7" s="1"/>
  <c r="H201" i="7" s="1"/>
  <c r="H206" i="7" s="1"/>
  <c r="J35" i="6"/>
  <c r="K12" i="6"/>
  <c r="T3" i="9"/>
  <c r="T4" i="9" s="1"/>
  <c r="H8" i="6"/>
  <c r="H33" i="6" s="1"/>
  <c r="L39" i="6"/>
  <c r="X13" i="9" s="1"/>
  <c r="F44" i="2"/>
  <c r="E44" i="2"/>
  <c r="I35" i="6"/>
  <c r="K40" i="2"/>
  <c r="G23" i="5"/>
  <c r="G31" i="5" s="1"/>
  <c r="F39" i="6"/>
  <c r="F50" i="6" s="1"/>
  <c r="H62" i="6"/>
  <c r="H63" i="6" s="1"/>
  <c r="I75" i="2"/>
  <c r="K44" i="2"/>
  <c r="R110" i="9"/>
  <c r="F148" i="2"/>
  <c r="G31" i="2"/>
  <c r="M10" i="5"/>
  <c r="Q33" i="9"/>
  <c r="F22" i="2"/>
  <c r="E31" i="2"/>
  <c r="H40" i="2"/>
  <c r="F125" i="2"/>
  <c r="H121" i="2"/>
  <c r="K10" i="5"/>
  <c r="G62" i="6"/>
  <c r="G63" i="6" s="1"/>
  <c r="E168" i="7"/>
  <c r="R109" i="9"/>
  <c r="D393" i="14" s="1"/>
  <c r="E190" i="7"/>
  <c r="E121" i="7"/>
  <c r="E122" i="7" s="1"/>
  <c r="F8" i="6"/>
  <c r="F18" i="6" s="1"/>
  <c r="L10" i="5"/>
  <c r="U135" i="9"/>
  <c r="V13" i="9"/>
  <c r="J50" i="6"/>
  <c r="H50" i="6"/>
  <c r="T13" i="9"/>
  <c r="H44" i="2"/>
  <c r="H114" i="2"/>
  <c r="G44" i="2"/>
  <c r="G114" i="2"/>
  <c r="S4" i="9"/>
  <c r="R4" i="9"/>
  <c r="C9" i="10"/>
  <c r="H10" i="5"/>
  <c r="H23" i="5"/>
  <c r="D4" i="10"/>
  <c r="M17" i="7"/>
  <c r="T23" i="9"/>
  <c r="G61" i="6"/>
  <c r="G75" i="6" s="1"/>
  <c r="I50" i="6"/>
  <c r="U13" i="9"/>
  <c r="F31" i="2"/>
  <c r="E13" i="5"/>
  <c r="E10" i="5"/>
  <c r="F23" i="5"/>
  <c r="F10" i="5"/>
  <c r="M12" i="2"/>
  <c r="Q20" i="9"/>
  <c r="K22" i="2"/>
  <c r="J40" i="2"/>
  <c r="I40" i="2"/>
  <c r="L31" i="2"/>
  <c r="K31" i="2"/>
  <c r="L75" i="2"/>
  <c r="D94" i="7"/>
  <c r="D115" i="7"/>
  <c r="H35" i="6"/>
  <c r="E40" i="2"/>
  <c r="F2" i="2"/>
  <c r="H128" i="2"/>
  <c r="H148" i="2"/>
  <c r="H22" i="2"/>
  <c r="I22" i="2"/>
  <c r="G121" i="2"/>
  <c r="G120" i="2"/>
  <c r="D114" i="2"/>
  <c r="J148" i="2"/>
  <c r="B9" i="10"/>
  <c r="G10" i="5"/>
  <c r="I9" i="10"/>
  <c r="N10" i="5"/>
  <c r="E114" i="2"/>
  <c r="D190" i="7"/>
  <c r="C115" i="6"/>
  <c r="G146" i="7"/>
  <c r="D187" i="7"/>
  <c r="D96" i="7"/>
  <c r="D117" i="7" s="1"/>
  <c r="W13" i="9"/>
  <c r="K50" i="6"/>
  <c r="G50" i="6"/>
  <c r="S13" i="9"/>
  <c r="CJ125" i="3"/>
  <c r="W101" i="3"/>
  <c r="CH101" i="3" s="1"/>
  <c r="AB134" i="3"/>
  <c r="CR28" i="3"/>
  <c r="AK30" i="3"/>
  <c r="CS28" i="3"/>
  <c r="AL30" i="3"/>
  <c r="X112" i="3"/>
  <c r="X110" i="3"/>
  <c r="CI110" i="3" s="1"/>
  <c r="CI104" i="3"/>
  <c r="CJ72" i="3"/>
  <c r="Y104" i="3"/>
  <c r="CH111" i="3"/>
  <c r="AA112" i="3"/>
  <c r="AA110" i="3"/>
  <c r="CL110" i="3" s="1"/>
  <c r="T138" i="3"/>
  <c r="T104" i="3"/>
  <c r="CT28" i="3"/>
  <c r="AM30" i="3"/>
  <c r="AH110" i="3"/>
  <c r="AH112" i="3"/>
  <c r="CI125" i="3"/>
  <c r="AE126" i="3"/>
  <c r="AI126" i="3"/>
  <c r="CP125" i="3"/>
  <c r="CT125" i="3"/>
  <c r="CN125" i="3"/>
  <c r="CR125" i="3"/>
  <c r="CK125" i="3"/>
  <c r="CM125" i="3"/>
  <c r="CQ125" i="3"/>
  <c r="CS111" i="3"/>
  <c r="CO111" i="3"/>
  <c r="J23" i="5"/>
  <c r="J10" i="5"/>
  <c r="I10" i="5"/>
  <c r="I23" i="5"/>
  <c r="I31" i="5" s="1"/>
  <c r="CH81" i="3"/>
  <c r="F82" i="2"/>
  <c r="H133" i="2"/>
  <c r="E82" i="2"/>
  <c r="I128" i="2"/>
  <c r="G148" i="2"/>
  <c r="J133" i="2"/>
  <c r="I148" i="2"/>
  <c r="J128" i="2"/>
  <c r="G125" i="2"/>
  <c r="K133" i="2"/>
  <c r="K128" i="2"/>
  <c r="P137" i="2"/>
  <c r="M75" i="2"/>
  <c r="N40" i="7"/>
  <c r="M40" i="7"/>
  <c r="M9" i="2"/>
  <c r="M18" i="7" s="1"/>
  <c r="J631" i="4"/>
  <c r="CP68" i="3"/>
  <c r="CT68" i="3"/>
  <c r="AI202" i="3"/>
  <c r="CG96" i="3"/>
  <c r="AG134" i="3"/>
  <c r="AB129" i="3"/>
  <c r="CP138" i="3"/>
  <c r="CO69" i="3"/>
  <c r="CS69" i="3"/>
  <c r="J604" i="4"/>
  <c r="L609" i="4" s="1"/>
  <c r="CS67" i="3"/>
  <c r="AJ184" i="3"/>
  <c r="CS133" i="3"/>
  <c r="CO68" i="3"/>
  <c r="CS68" i="3"/>
  <c r="Z89" i="3"/>
  <c r="AA128" i="3"/>
  <c r="AG129" i="3"/>
  <c r="AG202" i="3"/>
  <c r="AG208" i="3" s="1"/>
  <c r="Y127" i="3"/>
  <c r="X205" i="3"/>
  <c r="AH138" i="3"/>
  <c r="N74" i="2"/>
  <c r="N75" i="2" s="1"/>
  <c r="C7" i="10"/>
  <c r="CB69" i="3"/>
  <c r="Z128" i="3"/>
  <c r="CL133" i="3"/>
  <c r="CG69" i="3"/>
  <c r="CC69" i="3"/>
  <c r="CH133" i="3"/>
  <c r="AC29" i="3"/>
  <c r="AI134" i="3"/>
  <c r="CP67" i="3"/>
  <c r="AG85" i="3"/>
  <c r="CR85" i="3" s="1"/>
  <c r="CR81" i="3"/>
  <c r="AF134" i="3"/>
  <c r="CE68" i="3"/>
  <c r="CP81" i="3"/>
  <c r="X127" i="3"/>
  <c r="AC130" i="3"/>
  <c r="AB208" i="3"/>
  <c r="AB210" i="3" s="1"/>
  <c r="Z130" i="3"/>
  <c r="CH96" i="3"/>
  <c r="AB130" i="3"/>
  <c r="AE130" i="3"/>
  <c r="K59" i="2"/>
  <c r="CJ67" i="3"/>
  <c r="Z205" i="3"/>
  <c r="O71" i="3"/>
  <c r="O87" i="3" s="1"/>
  <c r="G29" i="3"/>
  <c r="N29" i="3"/>
  <c r="C8" i="10"/>
  <c r="L36" i="2"/>
  <c r="E830" i="4" s="1"/>
  <c r="C5" i="10"/>
  <c r="L35" i="2"/>
  <c r="F830" i="4" s="1"/>
  <c r="L43" i="2"/>
  <c r="L44" i="2" s="1"/>
  <c r="F829" i="4"/>
  <c r="L17" i="2"/>
  <c r="E828" i="4" s="1"/>
  <c r="W130" i="3"/>
  <c r="CF67" i="3"/>
  <c r="CM73" i="3"/>
  <c r="CI73" i="3"/>
  <c r="AH26" i="3"/>
  <c r="CN81" i="3"/>
  <c r="CI68" i="3"/>
  <c r="AA127" i="3"/>
  <c r="Y208" i="3"/>
  <c r="Y210" i="3" s="1"/>
  <c r="CA68" i="3"/>
  <c r="CE96" i="3"/>
  <c r="CO133" i="3"/>
  <c r="AG89" i="3"/>
  <c r="Z82" i="3"/>
  <c r="CF96" i="3"/>
  <c r="CL28" i="3"/>
  <c r="AF128" i="3"/>
  <c r="AG29" i="3"/>
  <c r="CI13" i="3"/>
  <c r="CI81" i="3"/>
  <c r="V89" i="3"/>
  <c r="Y128" i="3"/>
  <c r="AE134" i="3"/>
  <c r="AF202" i="3"/>
  <c r="H61" i="2"/>
  <c r="AH185" i="3"/>
  <c r="CH73" i="3"/>
  <c r="CD68" i="3"/>
  <c r="CC28" i="3"/>
  <c r="CL73" i="3"/>
  <c r="X130" i="3"/>
  <c r="CL138" i="3"/>
  <c r="CN138" i="3"/>
  <c r="AH134" i="3"/>
  <c r="U101" i="3"/>
  <c r="AB89" i="3"/>
  <c r="AA172" i="3"/>
  <c r="AA197" i="3"/>
  <c r="AA202" i="3" s="1"/>
  <c r="AA208" i="3" s="1"/>
  <c r="AA210" i="3" s="1"/>
  <c r="V100" i="3"/>
  <c r="CG100" i="3" s="1"/>
  <c r="AD128" i="3"/>
  <c r="CC68" i="3"/>
  <c r="K29" i="3"/>
  <c r="Z134" i="3"/>
  <c r="AE127" i="3"/>
  <c r="AB29" i="3"/>
  <c r="CG101" i="3"/>
  <c r="CF72" i="3"/>
  <c r="AA136" i="3"/>
  <c r="AA137" i="3" s="1"/>
  <c r="CK71" i="3"/>
  <c r="AA82" i="3"/>
  <c r="CH68" i="3"/>
  <c r="CK28" i="3"/>
  <c r="J59" i="2"/>
  <c r="AA87" i="3"/>
  <c r="AD208" i="3"/>
  <c r="AD210" i="3" s="1"/>
  <c r="R29" i="3"/>
  <c r="CB28" i="3"/>
  <c r="AE128" i="3"/>
  <c r="D132" i="7"/>
  <c r="D140" i="7"/>
  <c r="AI185" i="3"/>
  <c r="AI184" i="3"/>
  <c r="AE208" i="3"/>
  <c r="AE205" i="3"/>
  <c r="AC128" i="3"/>
  <c r="X128" i="3"/>
  <c r="Z127" i="3"/>
  <c r="CI72" i="3"/>
  <c r="CE72" i="3"/>
  <c r="CQ81" i="3"/>
  <c r="AF89" i="3"/>
  <c r="AF85" i="3"/>
  <c r="CQ85" i="3" s="1"/>
  <c r="AF130" i="3"/>
  <c r="AC208" i="3"/>
  <c r="AC210" i="3" s="1"/>
  <c r="AD87" i="3"/>
  <c r="CK87" i="3" s="1"/>
  <c r="U29" i="3"/>
  <c r="CA28" i="3"/>
  <c r="Y29" i="3"/>
  <c r="CE28" i="3"/>
  <c r="CJ81" i="3"/>
  <c r="K60" i="7"/>
  <c r="CC72" i="3"/>
  <c r="CG72" i="3"/>
  <c r="CI67" i="3"/>
  <c r="X99" i="3"/>
  <c r="AH85" i="3"/>
  <c r="CS85" i="3" s="1"/>
  <c r="AH89" i="3"/>
  <c r="L71" i="3"/>
  <c r="L87" i="3" s="1"/>
  <c r="P138" i="3"/>
  <c r="CA72" i="3"/>
  <c r="E29" i="3"/>
  <c r="Y130" i="3"/>
  <c r="CA69" i="3"/>
  <c r="F59" i="2"/>
  <c r="G59" i="2"/>
  <c r="F60" i="2"/>
  <c r="G60" i="2"/>
  <c r="F61" i="2"/>
  <c r="CF28" i="3"/>
  <c r="AB127" i="3"/>
  <c r="AD134" i="3"/>
  <c r="CK73" i="3"/>
  <c r="CO28" i="3"/>
  <c r="T89" i="3"/>
  <c r="AA134" i="3"/>
  <c r="F29" i="3"/>
  <c r="CE81" i="3"/>
  <c r="Q29" i="3"/>
  <c r="Z157" i="3"/>
  <c r="CL111" i="3"/>
  <c r="AA125" i="3"/>
  <c r="CL125" i="3" s="1"/>
  <c r="U138" i="3"/>
  <c r="CB72" i="3"/>
  <c r="CE69" i="3"/>
  <c r="J61" i="2"/>
  <c r="AH197" i="3"/>
  <c r="AH202" i="3" s="1"/>
  <c r="AH125" i="3"/>
  <c r="CM138" i="3"/>
  <c r="T130" i="3"/>
  <c r="AC85" i="3"/>
  <c r="AC89" i="3"/>
  <c r="AG130" i="3"/>
  <c r="AH172" i="3"/>
  <c r="CO67" i="3"/>
  <c r="AH184" i="3"/>
  <c r="J29" i="3"/>
  <c r="V29" i="3"/>
  <c r="CD69" i="3"/>
  <c r="CN69" i="3"/>
  <c r="S138" i="3"/>
  <c r="O29" i="3"/>
  <c r="P29" i="3"/>
  <c r="S29" i="3"/>
  <c r="T29" i="3"/>
  <c r="CH28" i="3"/>
  <c r="W29" i="3"/>
  <c r="CD28" i="3"/>
  <c r="U130" i="3"/>
  <c r="G60" i="7"/>
  <c r="CJ28" i="3"/>
  <c r="CN28" i="3"/>
  <c r="AD29" i="3"/>
  <c r="AD89" i="3"/>
  <c r="AD130" i="3"/>
  <c r="CK81" i="3"/>
  <c r="AD85" i="3"/>
  <c r="CB68" i="3"/>
  <c r="U100" i="3"/>
  <c r="V99" i="3"/>
  <c r="CC67" i="3"/>
  <c r="CH67" i="3"/>
  <c r="CD67" i="3"/>
  <c r="Y101" i="3"/>
  <c r="CJ69" i="3"/>
  <c r="I61" i="2"/>
  <c r="CF69" i="3"/>
  <c r="AH21" i="3"/>
  <c r="AI85" i="3"/>
  <c r="AI89" i="3"/>
  <c r="AI130" i="3"/>
  <c r="CN67" i="3"/>
  <c r="AD82" i="3"/>
  <c r="CF81" i="3"/>
  <c r="W99" i="3"/>
  <c r="T99" i="3"/>
  <c r="CA67" i="3"/>
  <c r="H59" i="2"/>
  <c r="M29" i="3"/>
  <c r="L29" i="3"/>
  <c r="X89" i="3"/>
  <c r="X138" i="3"/>
  <c r="X29" i="3"/>
  <c r="I59" i="2"/>
  <c r="CG81" i="3"/>
  <c r="Y89" i="3"/>
  <c r="N71" i="3"/>
  <c r="N87" i="3" s="1"/>
  <c r="H60" i="2"/>
  <c r="T100" i="3"/>
  <c r="CE100" i="3" s="1"/>
  <c r="V138" i="3"/>
  <c r="CI28" i="3"/>
  <c r="CE67" i="3"/>
  <c r="CL81" i="3"/>
  <c r="AE89" i="3"/>
  <c r="V130" i="3"/>
  <c r="CO81" i="3"/>
  <c r="AE29" i="3"/>
  <c r="U89" i="3"/>
  <c r="CH100" i="3"/>
  <c r="X101" i="3"/>
  <c r="CE101" i="3" s="1"/>
  <c r="CI69" i="3"/>
  <c r="AB85" i="3"/>
  <c r="CM81" i="3"/>
  <c r="AB87" i="3"/>
  <c r="AB82" i="3"/>
  <c r="CQ28" i="3"/>
  <c r="CM28" i="3"/>
  <c r="AF29" i="3"/>
  <c r="AJ29" i="3"/>
  <c r="AH29" i="3"/>
  <c r="CQ69" i="3"/>
  <c r="CF68" i="3"/>
  <c r="CJ68" i="3"/>
  <c r="Y100" i="3"/>
  <c r="I60" i="2"/>
  <c r="G250" i="7" s="1"/>
  <c r="AC134" i="3"/>
  <c r="AC157" i="3"/>
  <c r="CJ73" i="3"/>
  <c r="G61" i="2"/>
  <c r="M71" i="3"/>
  <c r="CG28" i="3"/>
  <c r="AA29" i="3"/>
  <c r="Z29" i="3"/>
  <c r="D129" i="7"/>
  <c r="Z102" i="3"/>
  <c r="AA102" i="3"/>
  <c r="CK138" i="3"/>
  <c r="K60" i="2"/>
  <c r="I250" i="7" s="1"/>
  <c r="CN68" i="3"/>
  <c r="I29" i="3"/>
  <c r="H29" i="3"/>
  <c r="U99" i="3"/>
  <c r="CB67" i="3"/>
  <c r="Y138" i="3"/>
  <c r="CP28" i="3"/>
  <c r="AI29" i="3"/>
  <c r="CP69" i="3"/>
  <c r="J75" i="2" l="1"/>
  <c r="L99" i="2"/>
  <c r="M100" i="2" s="1"/>
  <c r="L92" i="2"/>
  <c r="C79" i="6"/>
  <c r="L85" i="2"/>
  <c r="M64" i="2"/>
  <c r="X91" i="3"/>
  <c r="T70" i="3"/>
  <c r="T71" i="3" s="1"/>
  <c r="CA71" i="3" s="1"/>
  <c r="T88" i="3"/>
  <c r="V70" i="3"/>
  <c r="V71" i="3" s="1"/>
  <c r="V87" i="3" s="1"/>
  <c r="V88" i="3"/>
  <c r="U70" i="3"/>
  <c r="U71" i="3" s="1"/>
  <c r="CB71" i="3" s="1"/>
  <c r="U88" i="3"/>
  <c r="Y70" i="3"/>
  <c r="Y71" i="3" s="1"/>
  <c r="Y87" i="3" s="1"/>
  <c r="Y88" i="3"/>
  <c r="CT89" i="3"/>
  <c r="AI91" i="3"/>
  <c r="AI90" i="3"/>
  <c r="AM91" i="3"/>
  <c r="AJ90" i="3"/>
  <c r="AD136" i="3"/>
  <c r="AD137" i="3" s="1"/>
  <c r="AD91" i="3"/>
  <c r="AD90" i="3"/>
  <c r="AH91" i="3"/>
  <c r="AH90" i="3"/>
  <c r="AL91" i="3"/>
  <c r="AF91" i="3"/>
  <c r="AF90" i="3"/>
  <c r="AJ91" i="3"/>
  <c r="AE91" i="3"/>
  <c r="AE90" i="3"/>
  <c r="Z90" i="3"/>
  <c r="Z91" i="3"/>
  <c r="U90" i="3"/>
  <c r="V90" i="3"/>
  <c r="CR89" i="3"/>
  <c r="AG91" i="3"/>
  <c r="AG90" i="3"/>
  <c r="AK91" i="3"/>
  <c r="AC90" i="3"/>
  <c r="AC91" i="3"/>
  <c r="AB91" i="3"/>
  <c r="AB90" i="3"/>
  <c r="Y90" i="3"/>
  <c r="Y91" i="3"/>
  <c r="AA90" i="3"/>
  <c r="J5" i="6"/>
  <c r="V3" i="9" s="1"/>
  <c r="I5" i="6"/>
  <c r="U3" i="9" s="1"/>
  <c r="G29" i="5"/>
  <c r="G34" i="5" s="1"/>
  <c r="G37" i="5" s="1"/>
  <c r="N49" i="15"/>
  <c r="N51" i="15" s="1"/>
  <c r="D49" i="15"/>
  <c r="D51" i="15" s="1"/>
  <c r="D568" i="7"/>
  <c r="D570" i="7" s="1"/>
  <c r="D562" i="7" s="1"/>
  <c r="T7" i="9"/>
  <c r="T25" i="9" s="1"/>
  <c r="R16" i="9"/>
  <c r="U16" i="9"/>
  <c r="F24" i="6"/>
  <c r="F28" i="6" s="1"/>
  <c r="R31" i="9" s="1"/>
  <c r="AE105" i="3"/>
  <c r="X105" i="3"/>
  <c r="AG105" i="3"/>
  <c r="AH105" i="3"/>
  <c r="AF105" i="3"/>
  <c r="AI105" i="3"/>
  <c r="G24" i="6"/>
  <c r="G28" i="6" s="1"/>
  <c r="S31" i="9" s="1"/>
  <c r="H24" i="6"/>
  <c r="H28" i="6" s="1"/>
  <c r="T31" i="9" s="1"/>
  <c r="E406" i="14"/>
  <c r="F406" i="14"/>
  <c r="G406" i="14"/>
  <c r="Q16" i="9"/>
  <c r="S7" i="9"/>
  <c r="S25" i="9" s="1"/>
  <c r="E115" i="2"/>
  <c r="U109" i="9"/>
  <c r="G393" i="14" s="1"/>
  <c r="C82" i="6"/>
  <c r="D31" i="5"/>
  <c r="AD46" i="3"/>
  <c r="E29" i="5"/>
  <c r="E34" i="5" s="1"/>
  <c r="E37" i="5" s="1"/>
  <c r="E36" i="5"/>
  <c r="Q24" i="9"/>
  <c r="X46" i="3"/>
  <c r="AB46" i="3"/>
  <c r="AA46" i="3"/>
  <c r="AI46" i="3"/>
  <c r="E192" i="7"/>
  <c r="L194" i="7"/>
  <c r="L198" i="7" s="1"/>
  <c r="L208" i="7" s="1"/>
  <c r="D768" i="7"/>
  <c r="N9" i="2"/>
  <c r="N18" i="7" s="1"/>
  <c r="O8" i="2"/>
  <c r="R38" i="2"/>
  <c r="Q39" i="2"/>
  <c r="Q40" i="2" s="1"/>
  <c r="T69" i="2"/>
  <c r="U69" i="2" s="1"/>
  <c r="V69" i="2" s="1"/>
  <c r="C68" i="6"/>
  <c r="N29" i="5"/>
  <c r="Q31" i="5"/>
  <c r="U123" i="2"/>
  <c r="Q29" i="5"/>
  <c r="M194" i="7"/>
  <c r="M198" i="7" s="1"/>
  <c r="M208" i="7" s="1"/>
  <c r="U110" i="3"/>
  <c r="U112" i="3"/>
  <c r="F16" i="10"/>
  <c r="M31" i="5"/>
  <c r="M29" i="5"/>
  <c r="V112" i="3"/>
  <c r="V110" i="3"/>
  <c r="R137" i="3"/>
  <c r="AC71" i="3"/>
  <c r="AC87" i="3" s="1"/>
  <c r="J62" i="2"/>
  <c r="J125" i="2" s="1"/>
  <c r="CB138" i="3"/>
  <c r="BC60" i="3"/>
  <c r="H16" i="10"/>
  <c r="J31" i="5"/>
  <c r="N123" i="2"/>
  <c r="I16" i="10"/>
  <c r="N31" i="5"/>
  <c r="L31" i="5"/>
  <c r="P123" i="2"/>
  <c r="K63" i="2"/>
  <c r="K92" i="2" s="1"/>
  <c r="L27" i="6"/>
  <c r="D192" i="7"/>
  <c r="D199" i="7"/>
  <c r="G33" i="6"/>
  <c r="G36" i="6" s="1"/>
  <c r="L29" i="5"/>
  <c r="G16" i="10"/>
  <c r="Y46" i="3"/>
  <c r="R13" i="9"/>
  <c r="U46" i="3"/>
  <c r="E132" i="7"/>
  <c r="E129" i="7"/>
  <c r="Z46" i="3"/>
  <c r="D29" i="5"/>
  <c r="L50" i="6"/>
  <c r="AG46" i="3"/>
  <c r="AC46" i="3"/>
  <c r="AE46" i="3"/>
  <c r="V46" i="3"/>
  <c r="W46" i="3"/>
  <c r="AH46" i="3"/>
  <c r="AF46" i="3"/>
  <c r="G109" i="2"/>
  <c r="E251" i="7"/>
  <c r="F107" i="2"/>
  <c r="D250" i="7"/>
  <c r="H109" i="2"/>
  <c r="I105" i="2"/>
  <c r="G249" i="7"/>
  <c r="G105" i="2"/>
  <c r="E249" i="7"/>
  <c r="B12" i="10"/>
  <c r="I249" i="7"/>
  <c r="I252" i="7" s="1"/>
  <c r="J105" i="2"/>
  <c r="H249" i="7"/>
  <c r="H107" i="2"/>
  <c r="I109" i="2"/>
  <c r="G251" i="7"/>
  <c r="F109" i="2"/>
  <c r="D251" i="7"/>
  <c r="F105" i="2"/>
  <c r="D249" i="7"/>
  <c r="H105" i="2"/>
  <c r="J109" i="2"/>
  <c r="H251" i="7"/>
  <c r="G107" i="2"/>
  <c r="E250" i="7"/>
  <c r="H36" i="6"/>
  <c r="I9" i="6"/>
  <c r="G189" i="7"/>
  <c r="G196" i="7" s="1"/>
  <c r="G201" i="7" s="1"/>
  <c r="G206" i="7" s="1"/>
  <c r="I184" i="7"/>
  <c r="I189" i="7" s="1"/>
  <c r="I196" i="7" s="1"/>
  <c r="I201" i="7" s="1"/>
  <c r="I206" i="7" s="1"/>
  <c r="H18" i="6"/>
  <c r="F33" i="6"/>
  <c r="F36" i="6" s="1"/>
  <c r="K31" i="5"/>
  <c r="B16" i="10"/>
  <c r="G36" i="5"/>
  <c r="L12" i="6"/>
  <c r="K35" i="6"/>
  <c r="I76" i="6"/>
  <c r="I77" i="6" s="1"/>
  <c r="K29" i="5"/>
  <c r="M26" i="2"/>
  <c r="O76" i="6"/>
  <c r="O77" i="6" s="1"/>
  <c r="Q29" i="9"/>
  <c r="N76" i="6"/>
  <c r="N77" i="6" s="1"/>
  <c r="C16" i="10"/>
  <c r="H31" i="5"/>
  <c r="F115" i="2"/>
  <c r="G2" i="2"/>
  <c r="T16" i="9"/>
  <c r="T116" i="9"/>
  <c r="F31" i="5"/>
  <c r="F29" i="5"/>
  <c r="F31" i="6"/>
  <c r="G76" i="6"/>
  <c r="G77" i="6" s="1"/>
  <c r="G117" i="2"/>
  <c r="G115" i="2"/>
  <c r="AI208" i="3"/>
  <c r="AI210" i="3" s="1"/>
  <c r="T109" i="9"/>
  <c r="F393" i="14" s="1"/>
  <c r="T24" i="9"/>
  <c r="H29" i="5"/>
  <c r="W102" i="3"/>
  <c r="CH102" i="3" s="1"/>
  <c r="F36" i="5"/>
  <c r="P76" i="6"/>
  <c r="P77" i="6" s="1"/>
  <c r="Q76" i="6"/>
  <c r="Q77" i="6" s="1"/>
  <c r="H61" i="6"/>
  <c r="H75" i="6" s="1"/>
  <c r="E4" i="10"/>
  <c r="N12" i="2"/>
  <c r="N17" i="7"/>
  <c r="H117" i="2"/>
  <c r="H115" i="2"/>
  <c r="G168" i="7"/>
  <c r="H146" i="7"/>
  <c r="H168" i="7" s="1"/>
  <c r="M39" i="6"/>
  <c r="AI205" i="3"/>
  <c r="CA138" i="3"/>
  <c r="T112" i="3"/>
  <c r="T110" i="3"/>
  <c r="CO110" i="3"/>
  <c r="CS110" i="3"/>
  <c r="Y112" i="3"/>
  <c r="Y110" i="3"/>
  <c r="CJ110" i="3" s="1"/>
  <c r="CJ104" i="3"/>
  <c r="AH130" i="3"/>
  <c r="CO125" i="3"/>
  <c r="CS125" i="3"/>
  <c r="E16" i="10"/>
  <c r="J29" i="5"/>
  <c r="D16" i="10"/>
  <c r="I29" i="5"/>
  <c r="M27" i="2"/>
  <c r="D7" i="10"/>
  <c r="O40" i="7"/>
  <c r="AF136" i="3"/>
  <c r="CQ136" i="3" s="1"/>
  <c r="AA130" i="3"/>
  <c r="AA126" i="3"/>
  <c r="CP85" i="3"/>
  <c r="CT85" i="3"/>
  <c r="CN85" i="3"/>
  <c r="J605" i="4"/>
  <c r="J606" i="4" s="1"/>
  <c r="J608" i="4"/>
  <c r="CS138" i="3"/>
  <c r="AH136" i="3"/>
  <c r="CS89" i="3"/>
  <c r="AG210" i="3"/>
  <c r="Z136" i="3"/>
  <c r="Z137" i="3" s="1"/>
  <c r="AG205" i="3"/>
  <c r="AE82" i="3"/>
  <c r="CO138" i="3"/>
  <c r="O74" i="2"/>
  <c r="O75" i="2" s="1"/>
  <c r="L39" i="7"/>
  <c r="V136" i="3"/>
  <c r="CC136" i="3" s="1"/>
  <c r="CN89" i="3"/>
  <c r="AA205" i="3"/>
  <c r="K105" i="2"/>
  <c r="CO85" i="3"/>
  <c r="CG89" i="3"/>
  <c r="Y136" i="3"/>
  <c r="Y137" i="3" s="1"/>
  <c r="CF101" i="3"/>
  <c r="L61" i="7"/>
  <c r="H13" i="5"/>
  <c r="H12" i="5"/>
  <c r="AG136" i="3"/>
  <c r="CL71" i="3"/>
  <c r="AH30" i="3"/>
  <c r="T136" i="3"/>
  <c r="CA136" i="3" s="1"/>
  <c r="CM85" i="3"/>
  <c r="J61" i="7"/>
  <c r="AF205" i="3"/>
  <c r="AF208" i="3"/>
  <c r="U102" i="3"/>
  <c r="CM89" i="3"/>
  <c r="D137" i="7"/>
  <c r="AB136" i="3"/>
  <c r="D138" i="7"/>
  <c r="P137" i="3"/>
  <c r="S87" i="3"/>
  <c r="S136" i="3" s="1"/>
  <c r="S137" i="3" s="1"/>
  <c r="AC136" i="3"/>
  <c r="F79" i="2"/>
  <c r="F111" i="2" s="1"/>
  <c r="D143" i="7"/>
  <c r="AH205" i="3"/>
  <c r="AH208" i="3"/>
  <c r="AH210" i="3" s="1"/>
  <c r="CH99" i="3"/>
  <c r="T102" i="3"/>
  <c r="AH18" i="3"/>
  <c r="G61" i="7"/>
  <c r="CQ89" i="3"/>
  <c r="D142" i="7"/>
  <c r="K61" i="7"/>
  <c r="AE210" i="3"/>
  <c r="X136" i="3"/>
  <c r="CI89" i="3"/>
  <c r="CF89" i="3"/>
  <c r="CF99" i="3"/>
  <c r="AF82" i="3"/>
  <c r="AF87" i="3"/>
  <c r="CQ71" i="3"/>
  <c r="CM71" i="3"/>
  <c r="H61" i="7"/>
  <c r="AI136" i="3"/>
  <c r="CT136" i="3" s="1"/>
  <c r="CP89" i="3"/>
  <c r="X102" i="3"/>
  <c r="CK89" i="3"/>
  <c r="D123" i="7"/>
  <c r="D127" i="7" s="1"/>
  <c r="CE99" i="3"/>
  <c r="CO89" i="3"/>
  <c r="CJ89" i="3"/>
  <c r="U136" i="3"/>
  <c r="U137" i="3" s="1"/>
  <c r="AE136" i="3"/>
  <c r="CL89" i="3"/>
  <c r="X87" i="3"/>
  <c r="X82" i="3"/>
  <c r="CI71" i="3"/>
  <c r="CE89" i="3"/>
  <c r="M87" i="3"/>
  <c r="CG138" i="3"/>
  <c r="CC138" i="3"/>
  <c r="CE138" i="3"/>
  <c r="CI138" i="3"/>
  <c r="CG99" i="3"/>
  <c r="V102" i="3"/>
  <c r="CG102" i="3" s="1"/>
  <c r="I107" i="2"/>
  <c r="CF100" i="3"/>
  <c r="Y102" i="3"/>
  <c r="AH82" i="3"/>
  <c r="AH87" i="3"/>
  <c r="CO71" i="3"/>
  <c r="AG82" i="3"/>
  <c r="AG87" i="3"/>
  <c r="CF138" i="3"/>
  <c r="CJ138" i="3"/>
  <c r="T110" i="9"/>
  <c r="AI82" i="3"/>
  <c r="AI87" i="3"/>
  <c r="CP71" i="3"/>
  <c r="B14" i="10"/>
  <c r="K109" i="2"/>
  <c r="B13" i="10"/>
  <c r="K107" i="2"/>
  <c r="CL87" i="3"/>
  <c r="Q87" i="3"/>
  <c r="G79" i="2"/>
  <c r="T28" i="9"/>
  <c r="L93" i="2" l="1"/>
  <c r="C83" i="6"/>
  <c r="C84" i="6" s="1"/>
  <c r="L64" i="2"/>
  <c r="K99" i="2"/>
  <c r="CC71" i="3"/>
  <c r="V4" i="9"/>
  <c r="T105" i="3"/>
  <c r="CE71" i="3"/>
  <c r="T87" i="3"/>
  <c r="CA87" i="3" s="1"/>
  <c r="T82" i="3"/>
  <c r="Q112" i="9"/>
  <c r="J8" i="6"/>
  <c r="J18" i="6" s="1"/>
  <c r="K5" i="6"/>
  <c r="K8" i="6" s="1"/>
  <c r="V82" i="3"/>
  <c r="CG71" i="3"/>
  <c r="U105" i="3"/>
  <c r="Y82" i="3"/>
  <c r="CO136" i="3"/>
  <c r="I62" i="2"/>
  <c r="I125" i="2" s="1"/>
  <c r="CF71" i="3"/>
  <c r="I138" i="2"/>
  <c r="U87" i="3"/>
  <c r="CF87" i="3" s="1"/>
  <c r="U82" i="3"/>
  <c r="V105" i="3"/>
  <c r="Y105" i="3"/>
  <c r="U4" i="9"/>
  <c r="I8" i="6"/>
  <c r="I33" i="6" s="1"/>
  <c r="I36" i="6" s="1"/>
  <c r="I48" i="6" s="1"/>
  <c r="I47" i="6" s="1"/>
  <c r="V16" i="9"/>
  <c r="D34" i="5"/>
  <c r="D37" i="5" s="1"/>
  <c r="T120" i="9"/>
  <c r="H11" i="6"/>
  <c r="U116" i="9"/>
  <c r="G11" i="6"/>
  <c r="T112" i="9"/>
  <c r="S120" i="9"/>
  <c r="O9" i="2"/>
  <c r="O18" i="7" s="1"/>
  <c r="P8" i="2"/>
  <c r="Q8" i="2" s="1"/>
  <c r="R8" i="2" s="1"/>
  <c r="S112" i="9"/>
  <c r="U112" i="9"/>
  <c r="M34" i="5"/>
  <c r="N34" i="5"/>
  <c r="G108" i="2"/>
  <c r="S38" i="2"/>
  <c r="R39" i="2"/>
  <c r="R40" i="2" s="1"/>
  <c r="U74" i="2"/>
  <c r="D776" i="7"/>
  <c r="D778" i="7" s="1"/>
  <c r="D784" i="7" s="1"/>
  <c r="H776" i="7"/>
  <c r="H778" i="7" s="1"/>
  <c r="H784" i="7" s="1"/>
  <c r="F776" i="7"/>
  <c r="F778" i="7" s="1"/>
  <c r="F784" i="7" s="1"/>
  <c r="G776" i="7"/>
  <c r="G778" i="7" s="1"/>
  <c r="G784" i="7" s="1"/>
  <c r="E776" i="7"/>
  <c r="E778" i="7" s="1"/>
  <c r="E784" i="7" s="1"/>
  <c r="J110" i="2"/>
  <c r="W69" i="2"/>
  <c r="V74" i="2"/>
  <c r="Q34" i="5"/>
  <c r="S116" i="2"/>
  <c r="X48" i="1" s="1"/>
  <c r="H110" i="2"/>
  <c r="I110" i="2"/>
  <c r="L34" i="5"/>
  <c r="J63" i="2"/>
  <c r="J92" i="2" s="1"/>
  <c r="J79" i="2"/>
  <c r="AC82" i="3"/>
  <c r="CJ71" i="3"/>
  <c r="CN71" i="3"/>
  <c r="K85" i="2"/>
  <c r="F48" i="6"/>
  <c r="F47" i="6" s="1"/>
  <c r="M27" i="6"/>
  <c r="Y182" i="9" s="1"/>
  <c r="R76" i="6"/>
  <c r="R77" i="6" s="1"/>
  <c r="O17" i="7"/>
  <c r="G48" i="6"/>
  <c r="G47" i="6" s="1"/>
  <c r="J184" i="7"/>
  <c r="K184" i="7" s="1"/>
  <c r="G106" i="2"/>
  <c r="K106" i="2"/>
  <c r="H106" i="2"/>
  <c r="G110" i="2"/>
  <c r="H108" i="2"/>
  <c r="E8" i="10"/>
  <c r="I106" i="2"/>
  <c r="J106" i="2"/>
  <c r="J253" i="7"/>
  <c r="G252" i="7"/>
  <c r="D252" i="7"/>
  <c r="D257" i="7" s="1"/>
  <c r="E257" i="7" s="1"/>
  <c r="G257" i="7" s="1"/>
  <c r="H257" i="7" s="1"/>
  <c r="I257" i="7" s="1"/>
  <c r="J257" i="7" s="1"/>
  <c r="K257" i="7" s="1"/>
  <c r="H252" i="7"/>
  <c r="E252" i="7"/>
  <c r="H48" i="6"/>
  <c r="H47" i="6" s="1"/>
  <c r="U9" i="9"/>
  <c r="J9" i="6"/>
  <c r="F4" i="10"/>
  <c r="O12" i="2"/>
  <c r="F54" i="6"/>
  <c r="M12" i="6"/>
  <c r="L35" i="6"/>
  <c r="K34" i="5"/>
  <c r="M76" i="6"/>
  <c r="M77" i="6" s="1"/>
  <c r="V137" i="3"/>
  <c r="CC137" i="3" s="1"/>
  <c r="CM136" i="3"/>
  <c r="AF137" i="3"/>
  <c r="CQ137" i="3" s="1"/>
  <c r="H2" i="2"/>
  <c r="G16" i="7"/>
  <c r="G38" i="7" s="1"/>
  <c r="J76" i="6"/>
  <c r="J77" i="6" s="1"/>
  <c r="H34" i="5"/>
  <c r="R112" i="9"/>
  <c r="R29" i="9"/>
  <c r="F34" i="5"/>
  <c r="F37" i="5" s="1"/>
  <c r="H76" i="6"/>
  <c r="H77" i="6" s="1"/>
  <c r="W116" i="9"/>
  <c r="W16" i="9"/>
  <c r="W11" i="9"/>
  <c r="I61" i="6"/>
  <c r="I75" i="6" s="1"/>
  <c r="X16" i="9"/>
  <c r="X116" i="9"/>
  <c r="M50" i="6"/>
  <c r="Y13" i="9"/>
  <c r="K76" i="6"/>
  <c r="K77" i="6" s="1"/>
  <c r="I34" i="5"/>
  <c r="L76" i="6"/>
  <c r="L77" i="6" s="1"/>
  <c r="J34" i="5"/>
  <c r="D8" i="10"/>
  <c r="K79" i="2"/>
  <c r="K81" i="2" s="1"/>
  <c r="N27" i="6"/>
  <c r="Z182" i="9" s="1"/>
  <c r="U120" i="9"/>
  <c r="I11" i="6"/>
  <c r="U7" i="9"/>
  <c r="U25" i="9" s="1"/>
  <c r="R137" i="2"/>
  <c r="M35" i="2"/>
  <c r="M36" i="2"/>
  <c r="CT87" i="3"/>
  <c r="CG136" i="3"/>
  <c r="CE136" i="3"/>
  <c r="AH137" i="3"/>
  <c r="CS137" i="3" s="1"/>
  <c r="CS136" i="3"/>
  <c r="CO87" i="3"/>
  <c r="CS87" i="3"/>
  <c r="L608" i="4"/>
  <c r="K603" i="4"/>
  <c r="K608" i="4"/>
  <c r="CK136" i="3"/>
  <c r="CF102" i="3"/>
  <c r="T137" i="3"/>
  <c r="CA137" i="3" s="1"/>
  <c r="P74" i="2"/>
  <c r="P75" i="2" s="1"/>
  <c r="E7" i="10"/>
  <c r="AG137" i="3"/>
  <c r="CR137" i="3" s="1"/>
  <c r="CR136" i="3"/>
  <c r="CN87" i="3"/>
  <c r="CR87" i="3"/>
  <c r="BC24" i="3"/>
  <c r="CI136" i="3"/>
  <c r="CQ87" i="3"/>
  <c r="AF210" i="3"/>
  <c r="X137" i="3"/>
  <c r="AB137" i="3"/>
  <c r="CN136" i="3"/>
  <c r="AC137" i="3"/>
  <c r="CJ136" i="3"/>
  <c r="CE102" i="3"/>
  <c r="AE137" i="3"/>
  <c r="CL136" i="3"/>
  <c r="B15" i="10"/>
  <c r="B17" i="10" s="1"/>
  <c r="CF136" i="3"/>
  <c r="CF137" i="3"/>
  <c r="AI137" i="3"/>
  <c r="CP136" i="3"/>
  <c r="CM87" i="3"/>
  <c r="CI87" i="3"/>
  <c r="CC87" i="3"/>
  <c r="CG87" i="3"/>
  <c r="G111" i="2"/>
  <c r="CJ87" i="3"/>
  <c r="J108" i="2"/>
  <c r="I108" i="2"/>
  <c r="K110" i="2"/>
  <c r="K108" i="2"/>
  <c r="CP87" i="3"/>
  <c r="K138" i="2"/>
  <c r="CK137" i="3"/>
  <c r="Q136" i="3"/>
  <c r="K93" i="2" l="1"/>
  <c r="L100" i="2"/>
  <c r="K64" i="2"/>
  <c r="J99" i="2"/>
  <c r="L5" i="6"/>
  <c r="L8" i="6" s="1"/>
  <c r="CE87" i="3"/>
  <c r="J85" i="2"/>
  <c r="J141" i="2" s="1"/>
  <c r="I79" i="2"/>
  <c r="I111" i="2" s="1"/>
  <c r="N194" i="7"/>
  <c r="N198" i="7" s="1"/>
  <c r="N208" i="7" s="1"/>
  <c r="S149" i="2"/>
  <c r="S8" i="2"/>
  <c r="W3" i="9"/>
  <c r="W4" i="9" s="1"/>
  <c r="J33" i="6"/>
  <c r="J36" i="6" s="1"/>
  <c r="CB87" i="3"/>
  <c r="I63" i="2"/>
  <c r="I92" i="2" s="1"/>
  <c r="C136" i="6"/>
  <c r="I18" i="6"/>
  <c r="V116" i="9"/>
  <c r="U119" i="9"/>
  <c r="T119" i="9"/>
  <c r="R7" i="9"/>
  <c r="R25" i="9" s="1"/>
  <c r="R120" i="9"/>
  <c r="S119" i="9" s="1"/>
  <c r="F11" i="6"/>
  <c r="DN24" i="3"/>
  <c r="BG27" i="3"/>
  <c r="S21" i="9"/>
  <c r="D785" i="7"/>
  <c r="D786" i="7" s="1"/>
  <c r="L772" i="7" s="1"/>
  <c r="R30" i="9"/>
  <c r="J72" i="2"/>
  <c r="K72" i="2"/>
  <c r="V75" i="2"/>
  <c r="T38" i="2"/>
  <c r="S39" i="2"/>
  <c r="S40" i="2" s="1"/>
  <c r="N39" i="6"/>
  <c r="N50" i="6" s="1"/>
  <c r="BD69" i="3"/>
  <c r="Q61" i="2" s="1"/>
  <c r="BD25" i="3"/>
  <c r="O50" i="13" s="1"/>
  <c r="BC69" i="3"/>
  <c r="DN69" i="3" s="1"/>
  <c r="R32" i="13" s="1"/>
  <c r="X69" i="2"/>
  <c r="W74" i="2"/>
  <c r="W75" i="2" s="1"/>
  <c r="T116" i="2"/>
  <c r="O194" i="7" s="1"/>
  <c r="O198" i="7" s="1"/>
  <c r="O208" i="7" s="1"/>
  <c r="U116" i="2"/>
  <c r="DJ24" i="3"/>
  <c r="BC27" i="3"/>
  <c r="J81" i="2"/>
  <c r="J119" i="2" s="1"/>
  <c r="J121" i="2" s="1"/>
  <c r="J138" i="2"/>
  <c r="T68" i="2"/>
  <c r="K14" i="5"/>
  <c r="CP137" i="3"/>
  <c r="CT137" i="3"/>
  <c r="F8" i="10"/>
  <c r="J189" i="7"/>
  <c r="J196" i="7" s="1"/>
  <c r="J201" i="7" s="1"/>
  <c r="J206" i="7" s="1"/>
  <c r="L184" i="7"/>
  <c r="K189" i="7"/>
  <c r="K196" i="7" s="1"/>
  <c r="K201" i="7" s="1"/>
  <c r="K206" i="7" s="1"/>
  <c r="O36" i="2"/>
  <c r="O35" i="2"/>
  <c r="D256" i="7"/>
  <c r="E256" i="7" s="1"/>
  <c r="G256" i="7" s="1"/>
  <c r="H256" i="7" s="1"/>
  <c r="I256" i="7" s="1"/>
  <c r="J256" i="7" s="1"/>
  <c r="K256" i="7" s="1"/>
  <c r="H253" i="7"/>
  <c r="D255" i="7"/>
  <c r="E255" i="7" s="1"/>
  <c r="G255" i="7" s="1"/>
  <c r="H255" i="7" s="1"/>
  <c r="I255" i="7" s="1"/>
  <c r="J255" i="7" s="1"/>
  <c r="K255" i="7" s="1"/>
  <c r="G253" i="7"/>
  <c r="E258" i="7"/>
  <c r="G258" i="7" s="1"/>
  <c r="H258" i="7" s="1"/>
  <c r="I258" i="7" s="1"/>
  <c r="J258" i="7" s="1"/>
  <c r="K258" i="7" s="1"/>
  <c r="E253" i="7"/>
  <c r="I253" i="7"/>
  <c r="K9" i="6"/>
  <c r="V9" i="9"/>
  <c r="CM137" i="3"/>
  <c r="CG137" i="3"/>
  <c r="N12" i="6"/>
  <c r="M35" i="6"/>
  <c r="M5" i="6"/>
  <c r="Y193" i="9"/>
  <c r="J61" i="6"/>
  <c r="J75" i="6" s="1"/>
  <c r="Q30" i="9"/>
  <c r="E38" i="6"/>
  <c r="F53" i="6"/>
  <c r="I2" i="2"/>
  <c r="H16" i="7"/>
  <c r="H38" i="7" s="1"/>
  <c r="Q7" i="9"/>
  <c r="Q25" i="9" s="1"/>
  <c r="Q120" i="9"/>
  <c r="F38" i="6"/>
  <c r="K18" i="6"/>
  <c r="K33" i="6"/>
  <c r="K36" i="6" s="1"/>
  <c r="X11" i="9"/>
  <c r="CO137" i="3"/>
  <c r="T137" i="2"/>
  <c r="CN137" i="3"/>
  <c r="J111" i="2"/>
  <c r="CE137" i="3"/>
  <c r="Q74" i="2"/>
  <c r="Q75" i="2" s="1"/>
  <c r="O27" i="2"/>
  <c r="O26" i="2"/>
  <c r="F7" i="10"/>
  <c r="G8" i="10"/>
  <c r="P36" i="2"/>
  <c r="CI137" i="3"/>
  <c r="CJ137" i="3"/>
  <c r="CL137" i="3"/>
  <c r="CB136" i="3"/>
  <c r="Q137" i="3"/>
  <c r="CB137" i="3" s="1"/>
  <c r="G112" i="2"/>
  <c r="B18" i="10"/>
  <c r="B19" i="10" s="1"/>
  <c r="K111" i="2"/>
  <c r="J93" i="2" l="1"/>
  <c r="Q109" i="2"/>
  <c r="S9" i="2"/>
  <c r="T8" i="2"/>
  <c r="U8" i="2" s="1"/>
  <c r="V8" i="2" s="1"/>
  <c r="W8" i="2" s="1"/>
  <c r="X8" i="2" s="1"/>
  <c r="Y8" i="2" s="1"/>
  <c r="Z8" i="2" s="1"/>
  <c r="AA8" i="2" s="1"/>
  <c r="AB8" i="2" s="1"/>
  <c r="AC8" i="2" s="1"/>
  <c r="AD8" i="2" s="1"/>
  <c r="X3" i="9"/>
  <c r="X4" i="9" s="1"/>
  <c r="K100" i="2"/>
  <c r="I85" i="2"/>
  <c r="I99" i="2"/>
  <c r="J100" i="2" s="1"/>
  <c r="Y116" i="9"/>
  <c r="J64" i="2"/>
  <c r="I81" i="2"/>
  <c r="I82" i="2" s="1"/>
  <c r="R119" i="9"/>
  <c r="Q111" i="9"/>
  <c r="S30" i="9"/>
  <c r="P61" i="2"/>
  <c r="Z13" i="9"/>
  <c r="O39" i="6"/>
  <c r="O50" i="6" s="1"/>
  <c r="C27" i="12"/>
  <c r="T135" i="2"/>
  <c r="BS125" i="3" s="1"/>
  <c r="DZ125" i="3" s="1"/>
  <c r="U68" i="2"/>
  <c r="T39" i="2"/>
  <c r="T40" i="2" s="1"/>
  <c r="U38" i="2"/>
  <c r="DK69" i="3"/>
  <c r="O32" i="13" s="1"/>
  <c r="BD45" i="3"/>
  <c r="O63" i="13" s="1"/>
  <c r="Y69" i="2"/>
  <c r="Z69" i="2" s="1"/>
  <c r="X74" i="2"/>
  <c r="X75" i="2" s="1"/>
  <c r="V116" i="2"/>
  <c r="O27" i="6"/>
  <c r="J114" i="2"/>
  <c r="J117" i="2" s="1"/>
  <c r="J83" i="2"/>
  <c r="C85" i="6"/>
  <c r="L189" i="7"/>
  <c r="L196" i="7" s="1"/>
  <c r="L201" i="7" s="1"/>
  <c r="L206" i="7" s="1"/>
  <c r="M184" i="7"/>
  <c r="W9" i="9"/>
  <c r="L9" i="6"/>
  <c r="N35" i="6"/>
  <c r="O12" i="6"/>
  <c r="K83" i="2"/>
  <c r="J2" i="2"/>
  <c r="I16" i="7"/>
  <c r="I38" i="7" s="1"/>
  <c r="M8" i="6"/>
  <c r="E45" i="15" s="1"/>
  <c r="Y3" i="9"/>
  <c r="F52" i="6"/>
  <c r="R15" i="9"/>
  <c r="R14" i="9"/>
  <c r="R111" i="9"/>
  <c r="L18" i="6"/>
  <c r="L33" i="6"/>
  <c r="L36" i="6" s="1"/>
  <c r="Q14" i="9"/>
  <c r="Q15" i="9"/>
  <c r="K61" i="6"/>
  <c r="K75" i="6" s="1"/>
  <c r="BA174" i="3"/>
  <c r="BA173" i="3" s="1"/>
  <c r="S20" i="9"/>
  <c r="N5" i="6"/>
  <c r="R74" i="2"/>
  <c r="R75" i="2" s="1"/>
  <c r="H8" i="10"/>
  <c r="Q36" i="2"/>
  <c r="G38" i="6"/>
  <c r="L79" i="2"/>
  <c r="L72" i="2"/>
  <c r="J112" i="2"/>
  <c r="K112" i="2"/>
  <c r="K114" i="2"/>
  <c r="K119" i="2"/>
  <c r="K82" i="2"/>
  <c r="Y4" i="9" l="1"/>
  <c r="AA69" i="2"/>
  <c r="Z74" i="2"/>
  <c r="Y16" i="9"/>
  <c r="C17" i="12"/>
  <c r="AA182" i="9"/>
  <c r="J82" i="2"/>
  <c r="I114" i="2"/>
  <c r="J115" i="2" s="1"/>
  <c r="I83" i="2"/>
  <c r="AG135" i="2"/>
  <c r="BO130" i="3"/>
  <c r="Z75" i="13" s="1"/>
  <c r="AF135" i="2"/>
  <c r="I119" i="2"/>
  <c r="I121" i="2" s="1"/>
  <c r="R118" i="9"/>
  <c r="DV24" i="3"/>
  <c r="BP27" i="3"/>
  <c r="BO27" i="3"/>
  <c r="BK27" i="3"/>
  <c r="DR24" i="3"/>
  <c r="AA13" i="9"/>
  <c r="P27" i="6"/>
  <c r="DO24" i="3"/>
  <c r="DO69" i="3"/>
  <c r="S32" i="13" s="1"/>
  <c r="P39" i="6"/>
  <c r="P50" i="6" s="1"/>
  <c r="D27" i="12"/>
  <c r="U39" i="2"/>
  <c r="U40" i="2" s="1"/>
  <c r="V38" i="2"/>
  <c r="V68" i="2"/>
  <c r="U79" i="2"/>
  <c r="BX81" i="3" s="1"/>
  <c r="BW81" i="3" s="1"/>
  <c r="ED81" i="3" s="1"/>
  <c r="AF79" i="2" s="1"/>
  <c r="U135" i="2"/>
  <c r="BX125" i="3" s="1"/>
  <c r="BX130" i="3" s="1"/>
  <c r="Y74" i="2"/>
  <c r="Y75" i="2" s="1"/>
  <c r="W116" i="2"/>
  <c r="L111" i="2"/>
  <c r="L112" i="2" s="1"/>
  <c r="L81" i="2"/>
  <c r="Y11" i="9"/>
  <c r="M189" i="7"/>
  <c r="M196" i="7" s="1"/>
  <c r="M201" i="7" s="1"/>
  <c r="M206" i="7" s="1"/>
  <c r="N184" i="7"/>
  <c r="O35" i="6"/>
  <c r="P12" i="6"/>
  <c r="M9" i="6"/>
  <c r="X9" i="9"/>
  <c r="S111" i="9"/>
  <c r="S118" i="9" s="1"/>
  <c r="P5" i="6"/>
  <c r="D5" i="12" s="1"/>
  <c r="D6" i="12" s="1"/>
  <c r="O5" i="6"/>
  <c r="R60" i="15" s="1"/>
  <c r="AA193" i="9"/>
  <c r="Z16" i="9"/>
  <c r="Z116" i="9"/>
  <c r="L61" i="6"/>
  <c r="L75" i="6" s="1"/>
  <c r="G53" i="6"/>
  <c r="G31" i="6"/>
  <c r="Z3" i="9"/>
  <c r="N8" i="6"/>
  <c r="M33" i="6"/>
  <c r="M36" i="6" s="1"/>
  <c r="Y196" i="9" s="1"/>
  <c r="M18" i="6"/>
  <c r="J16" i="7"/>
  <c r="J38" i="7" s="1"/>
  <c r="K2" i="2"/>
  <c r="N18" i="13"/>
  <c r="S74" i="2"/>
  <c r="S75" i="2" s="1"/>
  <c r="T74" i="2"/>
  <c r="U75" i="2" s="1"/>
  <c r="I8" i="10"/>
  <c r="R36" i="2"/>
  <c r="S14" i="9"/>
  <c r="S15" i="9"/>
  <c r="G52" i="6"/>
  <c r="K115" i="2"/>
  <c r="K117" i="2"/>
  <c r="I141" i="2"/>
  <c r="J86" i="2"/>
  <c r="D90" i="7"/>
  <c r="K86" i="2"/>
  <c r="K141" i="2"/>
  <c r="E123" i="7"/>
  <c r="K120" i="2"/>
  <c r="K121" i="2"/>
  <c r="M79" i="2"/>
  <c r="M72" i="2"/>
  <c r="C18" i="10"/>
  <c r="H990" i="7" l="1"/>
  <c r="X990" i="7" s="1"/>
  <c r="U81" i="2"/>
  <c r="Z75" i="2"/>
  <c r="AB69" i="2"/>
  <c r="AA74" i="2"/>
  <c r="AA75" i="2" s="1"/>
  <c r="Y201" i="9"/>
  <c r="Y200" i="9"/>
  <c r="D17" i="12"/>
  <c r="AB182" i="9"/>
  <c r="I115" i="2"/>
  <c r="I117" i="2"/>
  <c r="AR18" i="13"/>
  <c r="AT18" i="13"/>
  <c r="AW18" i="13"/>
  <c r="AV18" i="13"/>
  <c r="AX18" i="13"/>
  <c r="J120" i="2"/>
  <c r="I120" i="2"/>
  <c r="Q27" i="6"/>
  <c r="AC182" i="9" s="1"/>
  <c r="DS24" i="3"/>
  <c r="DS52" i="3"/>
  <c r="W69" i="13" s="1"/>
  <c r="BQ27" i="3"/>
  <c r="BL27" i="3"/>
  <c r="BL25" i="3"/>
  <c r="C5" i="12"/>
  <c r="C6" i="12" s="1"/>
  <c r="D544" i="7"/>
  <c r="D545" i="7" s="1"/>
  <c r="BI69" i="3"/>
  <c r="DP24" i="3"/>
  <c r="BI27" i="3"/>
  <c r="U138" i="2"/>
  <c r="AB13" i="9"/>
  <c r="Q39" i="6"/>
  <c r="Q50" i="6" s="1"/>
  <c r="E27" i="12"/>
  <c r="W68" i="2"/>
  <c r="V135" i="2"/>
  <c r="V39" i="2"/>
  <c r="V40" i="2" s="1"/>
  <c r="W38" i="2"/>
  <c r="M111" i="2"/>
  <c r="M112" i="2" s="1"/>
  <c r="M81" i="2"/>
  <c r="X116" i="2"/>
  <c r="K8" i="10"/>
  <c r="Z11" i="9"/>
  <c r="N189" i="7"/>
  <c r="N196" i="7" s="1"/>
  <c r="N201" i="7" s="1"/>
  <c r="N206" i="7" s="1"/>
  <c r="O184" i="7"/>
  <c r="O189" i="7" s="1"/>
  <c r="O196" i="7" s="1"/>
  <c r="O201" i="7" s="1"/>
  <c r="O206" i="7" s="1"/>
  <c r="AA16" i="9"/>
  <c r="AA116" i="9"/>
  <c r="P35" i="6"/>
  <c r="Q12" i="6"/>
  <c r="Z4" i="9"/>
  <c r="O8" i="6"/>
  <c r="AA3" i="9"/>
  <c r="P8" i="6"/>
  <c r="AB3" i="9"/>
  <c r="N9" i="6"/>
  <c r="Y9" i="9"/>
  <c r="G54" i="6"/>
  <c r="N33" i="6"/>
  <c r="N36" i="6" s="1"/>
  <c r="Z196" i="9" s="1"/>
  <c r="N18" i="6"/>
  <c r="T21" i="9"/>
  <c r="AB193" i="9"/>
  <c r="S29" i="9"/>
  <c r="BI174" i="3"/>
  <c r="K16" i="7"/>
  <c r="K38" i="7" s="1"/>
  <c r="L2" i="2"/>
  <c r="M61" i="6"/>
  <c r="M75" i="6" s="1"/>
  <c r="R27" i="6"/>
  <c r="AD27" i="6" s="1"/>
  <c r="T75" i="2"/>
  <c r="J8" i="10"/>
  <c r="E124" i="7"/>
  <c r="E127" i="7"/>
  <c r="D112" i="7"/>
  <c r="D91" i="7"/>
  <c r="D113" i="7" s="1"/>
  <c r="D18" i="10"/>
  <c r="O71" i="2"/>
  <c r="N79" i="2"/>
  <c r="N72" i="2"/>
  <c r="U132" i="2" l="1"/>
  <c r="U127" i="2"/>
  <c r="AC69" i="2"/>
  <c r="AB74" i="2"/>
  <c r="AB75" i="2" s="1"/>
  <c r="Z201" i="9"/>
  <c r="Z200" i="9"/>
  <c r="Y202" i="9"/>
  <c r="F17" i="12"/>
  <c r="AD182" i="9"/>
  <c r="G1110" i="7"/>
  <c r="E17" i="12"/>
  <c r="BL45" i="3"/>
  <c r="W63" i="13" s="1"/>
  <c r="W50" i="13"/>
  <c r="DT24" i="3"/>
  <c r="DP69" i="3"/>
  <c r="T32" i="13" s="1"/>
  <c r="DT69" i="3"/>
  <c r="X32" i="13" s="1"/>
  <c r="DT52" i="3"/>
  <c r="X69" i="13" s="1"/>
  <c r="BM27" i="3"/>
  <c r="AC13" i="9"/>
  <c r="O18" i="6"/>
  <c r="T514" i="7"/>
  <c r="BJ27" i="3"/>
  <c r="DQ24" i="3"/>
  <c r="W39" i="2"/>
  <c r="W40" i="2" s="1"/>
  <c r="X38" i="2"/>
  <c r="AA11" i="9"/>
  <c r="C9" i="12"/>
  <c r="V79" i="2"/>
  <c r="V138" i="2"/>
  <c r="X68" i="2"/>
  <c r="W135" i="2"/>
  <c r="R39" i="6"/>
  <c r="R50" i="6" s="1"/>
  <c r="F27" i="12"/>
  <c r="BK25" i="3"/>
  <c r="V50" i="13" s="1"/>
  <c r="BJ69" i="3"/>
  <c r="DU69" i="3" s="1"/>
  <c r="T36" i="2"/>
  <c r="O79" i="2"/>
  <c r="O138" i="2"/>
  <c r="N111" i="2"/>
  <c r="N112" i="2" s="1"/>
  <c r="N81" i="2"/>
  <c r="DI19" i="3"/>
  <c r="DI68" i="3"/>
  <c r="M31" i="13" s="1"/>
  <c r="O33" i="6"/>
  <c r="O36" i="6" s="1"/>
  <c r="AA196" i="9" s="1"/>
  <c r="AB4" i="9"/>
  <c r="P33" i="6"/>
  <c r="P36" i="6" s="1"/>
  <c r="AB196" i="9" s="1"/>
  <c r="AB201" i="9" s="1"/>
  <c r="P18" i="6"/>
  <c r="E5" i="12"/>
  <c r="E6" i="12" s="1"/>
  <c r="AB116" i="9"/>
  <c r="AB16" i="9"/>
  <c r="AA4" i="9"/>
  <c r="R12" i="6"/>
  <c r="R35" i="6" s="1"/>
  <c r="Q35" i="6"/>
  <c r="O9" i="6"/>
  <c r="Z9" i="9"/>
  <c r="AC193" i="9"/>
  <c r="T30" i="9"/>
  <c r="L16" i="7"/>
  <c r="L38" i="7" s="1"/>
  <c r="M2" i="2"/>
  <c r="N61" i="6"/>
  <c r="N75" i="6" s="1"/>
  <c r="BM174" i="3"/>
  <c r="N138" i="2"/>
  <c r="E18" i="10"/>
  <c r="P71" i="2"/>
  <c r="O72" i="2"/>
  <c r="I990" i="7" l="1"/>
  <c r="Y990" i="7" s="1"/>
  <c r="V81" i="2"/>
  <c r="V132" i="2" s="1"/>
  <c r="AD69" i="2"/>
  <c r="AD74" i="2" s="1"/>
  <c r="AC74" i="2"/>
  <c r="AC75" i="2" s="1"/>
  <c r="H1110" i="7"/>
  <c r="H1114" i="7" s="1"/>
  <c r="N61" i="15"/>
  <c r="D61" i="15" s="1"/>
  <c r="Z202" i="9"/>
  <c r="AA201" i="9"/>
  <c r="AA200" i="9"/>
  <c r="AB200" i="9"/>
  <c r="AB202" i="9" s="1"/>
  <c r="Y32" i="13"/>
  <c r="T1129" i="7"/>
  <c r="AF1127" i="7"/>
  <c r="G1114" i="7"/>
  <c r="X1128" i="7" s="1"/>
  <c r="R61" i="2"/>
  <c r="DU52" i="3"/>
  <c r="Y69" i="13" s="1"/>
  <c r="DU24" i="3"/>
  <c r="BO25" i="3"/>
  <c r="DQ69" i="3"/>
  <c r="U32" i="13" s="1"/>
  <c r="AD13" i="9"/>
  <c r="Y68" i="2"/>
  <c r="Z68" i="2" s="1"/>
  <c r="X135" i="2"/>
  <c r="AB11" i="9"/>
  <c r="D9" i="12"/>
  <c r="Y116" i="2"/>
  <c r="W79" i="2"/>
  <c r="X39" i="2"/>
  <c r="X40" i="2" s="1"/>
  <c r="Y38" i="2"/>
  <c r="W138" i="2"/>
  <c r="S12" i="6"/>
  <c r="I1110" i="7"/>
  <c r="I1114" i="7" s="1"/>
  <c r="U36" i="2"/>
  <c r="BC85" i="3"/>
  <c r="O111" i="2"/>
  <c r="DJ81" i="3"/>
  <c r="N84" i="13" s="1"/>
  <c r="AD193" i="9"/>
  <c r="R5" i="6"/>
  <c r="F5" i="12" s="1"/>
  <c r="F6" i="12" s="1"/>
  <c r="AC16" i="9"/>
  <c r="AC116" i="9"/>
  <c r="AA9" i="9"/>
  <c r="P9" i="6"/>
  <c r="AC3" i="9"/>
  <c r="AC4" i="9" s="1"/>
  <c r="Q8" i="6"/>
  <c r="D1021" i="7"/>
  <c r="O61" i="6"/>
  <c r="O75" i="6" s="1"/>
  <c r="T20" i="9"/>
  <c r="BN173" i="3"/>
  <c r="N2" i="2"/>
  <c r="M16" i="7"/>
  <c r="M38" i="7" s="1"/>
  <c r="H38" i="6"/>
  <c r="Q71" i="2"/>
  <c r="Q138" i="2" s="1"/>
  <c r="F18" i="10"/>
  <c r="P79" i="2"/>
  <c r="P111" i="2" s="1"/>
  <c r="P72" i="2"/>
  <c r="J990" i="7" l="1"/>
  <c r="Z990" i="7" s="1"/>
  <c r="W81" i="2"/>
  <c r="W132" i="2" s="1"/>
  <c r="R109" i="2"/>
  <c r="R110" i="2" s="1"/>
  <c r="Y39" i="2"/>
  <c r="Y40" i="2" s="1"/>
  <c r="Z38" i="2"/>
  <c r="Z135" i="2"/>
  <c r="AA68" i="2"/>
  <c r="AD75" i="2"/>
  <c r="E573" i="7"/>
  <c r="C105" i="15"/>
  <c r="C103" i="15"/>
  <c r="AA202" i="9"/>
  <c r="BO45" i="3"/>
  <c r="Z63" i="13" s="1"/>
  <c r="Z50" i="13"/>
  <c r="E9" i="12"/>
  <c r="X138" i="2"/>
  <c r="X79" i="2"/>
  <c r="X81" i="2" s="1"/>
  <c r="X132" i="2" s="1"/>
  <c r="S5" i="6"/>
  <c r="Y135" i="2"/>
  <c r="T12" i="6"/>
  <c r="S35" i="6"/>
  <c r="V36" i="2"/>
  <c r="O112" i="2"/>
  <c r="P112" i="2"/>
  <c r="R8" i="6"/>
  <c r="AD3" i="9"/>
  <c r="Q18" i="6"/>
  <c r="Q33" i="6"/>
  <c r="Q36" i="6" s="1"/>
  <c r="AC196" i="9" s="1"/>
  <c r="F9" i="12"/>
  <c r="AC11" i="9"/>
  <c r="AD116" i="9"/>
  <c r="AD16" i="9"/>
  <c r="Q9" i="6"/>
  <c r="AB9" i="9"/>
  <c r="P61" i="6"/>
  <c r="P75" i="6" s="1"/>
  <c r="E1021" i="7"/>
  <c r="T14" i="9"/>
  <c r="H52" i="6"/>
  <c r="T15" i="9"/>
  <c r="O2" i="2"/>
  <c r="N16" i="7"/>
  <c r="N38" i="7" s="1"/>
  <c r="H53" i="6"/>
  <c r="H31" i="6"/>
  <c r="T111" i="9"/>
  <c r="T118" i="9" s="1"/>
  <c r="Q79" i="2"/>
  <c r="Q72" i="2"/>
  <c r="G18" i="10"/>
  <c r="R71" i="2"/>
  <c r="R79" i="2" s="1"/>
  <c r="AA135" i="2" l="1"/>
  <c r="AB68" i="2"/>
  <c r="Z138" i="2"/>
  <c r="AA38" i="2"/>
  <c r="Z39" i="2"/>
  <c r="Z40" i="2" s="1"/>
  <c r="C106" i="15"/>
  <c r="C107" i="15" s="1"/>
  <c r="AC201" i="9"/>
  <c r="AC200" i="9"/>
  <c r="T5" i="6"/>
  <c r="J1110" i="7"/>
  <c r="J1114" i="7" s="1"/>
  <c r="AD4" i="9"/>
  <c r="AE116" i="9"/>
  <c r="AE16" i="9"/>
  <c r="S8" i="6"/>
  <c r="G5" i="12"/>
  <c r="G6" i="12" s="1"/>
  <c r="AE3" i="9"/>
  <c r="D990" i="7"/>
  <c r="T990" i="7" s="1"/>
  <c r="Q111" i="2"/>
  <c r="Y138" i="2"/>
  <c r="Y79" i="2"/>
  <c r="Y81" i="2" s="1"/>
  <c r="Y132" i="2" s="1"/>
  <c r="AD11" i="9"/>
  <c r="S14" i="6"/>
  <c r="C93" i="6" s="1"/>
  <c r="T35" i="6"/>
  <c r="U12" i="6"/>
  <c r="W36" i="2"/>
  <c r="R9" i="6"/>
  <c r="AC9" i="9"/>
  <c r="R33" i="6"/>
  <c r="R36" i="6" s="1"/>
  <c r="AD196" i="9" s="1"/>
  <c r="R18" i="6"/>
  <c r="O16" i="7"/>
  <c r="O38" i="7" s="1"/>
  <c r="P2" i="2"/>
  <c r="Q2" i="2" s="1"/>
  <c r="R2" i="2" s="1"/>
  <c r="S2" i="2" s="1"/>
  <c r="T2" i="2" s="1"/>
  <c r="U2" i="2" s="1"/>
  <c r="V2" i="2" s="1"/>
  <c r="W2" i="2" s="1"/>
  <c r="X2" i="2" s="1"/>
  <c r="Y2" i="2" s="1"/>
  <c r="Z2" i="2" s="1"/>
  <c r="AA2" i="2" s="1"/>
  <c r="AB2" i="2" s="1"/>
  <c r="AC2" i="2" s="1"/>
  <c r="AD2" i="2" s="1"/>
  <c r="U21" i="9"/>
  <c r="Q61" i="6"/>
  <c r="Q75" i="6" s="1"/>
  <c r="H54" i="6"/>
  <c r="T29" i="9"/>
  <c r="R72" i="2"/>
  <c r="H18" i="10"/>
  <c r="S18" i="6" l="1"/>
  <c r="S33" i="6"/>
  <c r="S36" i="6" s="1"/>
  <c r="AE196" i="9" s="1"/>
  <c r="AB38" i="2"/>
  <c r="AA39" i="2"/>
  <c r="AA40" i="2" s="1"/>
  <c r="AE11" i="1"/>
  <c r="AB135" i="2"/>
  <c r="AC68" i="2"/>
  <c r="AA138" i="2"/>
  <c r="AD201" i="9"/>
  <c r="AD200" i="9"/>
  <c r="AC202" i="9"/>
  <c r="T8" i="6"/>
  <c r="T33" i="6" s="1"/>
  <c r="T36" i="6" s="1"/>
  <c r="AF196" i="9" s="1"/>
  <c r="AF201" i="9" s="1"/>
  <c r="H5" i="12"/>
  <c r="H6" i="12" s="1"/>
  <c r="U5" i="6"/>
  <c r="K1110" i="7"/>
  <c r="K1114" i="7" s="1"/>
  <c r="AF3" i="9"/>
  <c r="AF4" i="9" s="1"/>
  <c r="E990" i="7"/>
  <c r="U990" i="7" s="1"/>
  <c r="R111" i="2"/>
  <c r="R112" i="2" s="1"/>
  <c r="AE4" i="9"/>
  <c r="F1021" i="7"/>
  <c r="G9" i="12"/>
  <c r="AE11" i="9"/>
  <c r="Q112" i="2"/>
  <c r="AD9" i="9"/>
  <c r="S9" i="6"/>
  <c r="AE9" i="9" s="1"/>
  <c r="V12" i="6"/>
  <c r="U35" i="6"/>
  <c r="X36" i="2"/>
  <c r="Y36" i="2"/>
  <c r="U111" i="9"/>
  <c r="U118" i="9" s="1"/>
  <c r="U30" i="9"/>
  <c r="R61" i="6"/>
  <c r="R75" i="6" s="1"/>
  <c r="I18" i="10"/>
  <c r="F990" i="7"/>
  <c r="V990" i="7" s="1"/>
  <c r="S72" i="2"/>
  <c r="AF11" i="1" l="1"/>
  <c r="AC135" i="2"/>
  <c r="AD68" i="2"/>
  <c r="AD135" i="2" s="1"/>
  <c r="AB138" i="2"/>
  <c r="AE51" i="1"/>
  <c r="X62" i="6" s="1"/>
  <c r="X63" i="6" s="1"/>
  <c r="AE13" i="1"/>
  <c r="AJ19" i="9" s="1"/>
  <c r="AJ143" i="9" s="1"/>
  <c r="AJ156" i="9" s="1"/>
  <c r="AC38" i="2"/>
  <c r="AB39" i="2"/>
  <c r="AB40" i="2" s="1"/>
  <c r="AD202" i="9"/>
  <c r="AE201" i="9"/>
  <c r="G990" i="7"/>
  <c r="W990" i="7" s="1"/>
  <c r="T18" i="6"/>
  <c r="AG3" i="9"/>
  <c r="AG4" i="9" s="1"/>
  <c r="I5" i="12"/>
  <c r="I6" i="12" s="1"/>
  <c r="U8" i="6"/>
  <c r="U33" i="6" s="1"/>
  <c r="U36" i="6" s="1"/>
  <c r="AG196" i="9" s="1"/>
  <c r="AG201" i="9" s="1"/>
  <c r="S111" i="2"/>
  <c r="T111" i="2" s="1"/>
  <c r="U111" i="2" s="1"/>
  <c r="V111" i="2" s="1"/>
  <c r="W111" i="2" s="1"/>
  <c r="X111" i="2" s="1"/>
  <c r="Y111" i="2" s="1"/>
  <c r="Z111" i="2" s="1"/>
  <c r="AA111" i="2" s="1"/>
  <c r="AB111" i="2" s="1"/>
  <c r="AC111" i="2" s="1"/>
  <c r="AD111" i="2" s="1"/>
  <c r="T61" i="6"/>
  <c r="T75" i="6" s="1"/>
  <c r="H1021" i="7"/>
  <c r="S61" i="6"/>
  <c r="S75" i="6" s="1"/>
  <c r="G1021" i="7"/>
  <c r="V5" i="6"/>
  <c r="T9" i="6"/>
  <c r="AF9" i="9" s="1"/>
  <c r="V35" i="6"/>
  <c r="W12" i="6"/>
  <c r="U20" i="9"/>
  <c r="I38" i="6"/>
  <c r="T138" i="2"/>
  <c r="K18" i="10"/>
  <c r="J18" i="10"/>
  <c r="DZ81" i="3" l="1"/>
  <c r="X21" i="6"/>
  <c r="AJ177" i="9" s="1"/>
  <c r="AE14" i="1"/>
  <c r="AE18" i="1"/>
  <c r="AE53" i="1"/>
  <c r="AJ23" i="9" s="1"/>
  <c r="AE335" i="1"/>
  <c r="AG11" i="1"/>
  <c r="AD138" i="2"/>
  <c r="AC138" i="2"/>
  <c r="W35" i="6"/>
  <c r="X12" i="6"/>
  <c r="AD38" i="2"/>
  <c r="AD39" i="2" s="1"/>
  <c r="AC39" i="2"/>
  <c r="AC40" i="2" s="1"/>
  <c r="AF51" i="1"/>
  <c r="Y62" i="6" s="1"/>
  <c r="Y63" i="6" s="1"/>
  <c r="AF13" i="1"/>
  <c r="AK19" i="9" s="1"/>
  <c r="AK143" i="9" s="1"/>
  <c r="AK156" i="9" s="1"/>
  <c r="DZ71" i="3"/>
  <c r="U18" i="6"/>
  <c r="V8" i="6"/>
  <c r="V18" i="6" s="1"/>
  <c r="AH3" i="9"/>
  <c r="U61" i="6"/>
  <c r="U75" i="6" s="1"/>
  <c r="I1021" i="7"/>
  <c r="W5" i="6"/>
  <c r="U9" i="6"/>
  <c r="AG9" i="9" s="1"/>
  <c r="U14" i="9"/>
  <c r="U15" i="9"/>
  <c r="I52" i="6"/>
  <c r="I31" i="6"/>
  <c r="I53" i="6"/>
  <c r="AJ33" i="3"/>
  <c r="AJ109" i="9" l="1"/>
  <c r="AJ24" i="9"/>
  <c r="L1023" i="7"/>
  <c r="L1035" i="7" s="1"/>
  <c r="Z134" i="2" s="1"/>
  <c r="AE362" i="1"/>
  <c r="AJ193" i="9" s="1"/>
  <c r="BX76" i="3"/>
  <c r="AD84" i="13"/>
  <c r="AD40" i="2"/>
  <c r="X35" i="6"/>
  <c r="X36" i="6" s="1"/>
  <c r="AJ196" i="9" s="1"/>
  <c r="Y12" i="6"/>
  <c r="AH11" i="1"/>
  <c r="AE92" i="1"/>
  <c r="AE54" i="1"/>
  <c r="AE261" i="1"/>
  <c r="Y21" i="6"/>
  <c r="AK177" i="9" s="1"/>
  <c r="AF335" i="1"/>
  <c r="AF15" i="1"/>
  <c r="AF53" i="1"/>
  <c r="AK23" i="9" s="1"/>
  <c r="AF18" i="1"/>
  <c r="AF14" i="1"/>
  <c r="AI11" i="1"/>
  <c r="AG51" i="1"/>
  <c r="Z62" i="6" s="1"/>
  <c r="Z63" i="6" s="1"/>
  <c r="AG13" i="1"/>
  <c r="AL19" i="9" s="1"/>
  <c r="AL143" i="9" s="1"/>
  <c r="AL156" i="9" s="1"/>
  <c r="V33" i="6"/>
  <c r="V36" i="6" s="1"/>
  <c r="AH196" i="9" s="1"/>
  <c r="AH4" i="9"/>
  <c r="W8" i="6"/>
  <c r="W18" i="6" s="1"/>
  <c r="AI3" i="9"/>
  <c r="V61" i="6"/>
  <c r="V75" i="6" s="1"/>
  <c r="J1021" i="7"/>
  <c r="V9" i="6"/>
  <c r="AH9" i="9" s="1"/>
  <c r="K1021" i="7"/>
  <c r="U29" i="9"/>
  <c r="V21" i="9"/>
  <c r="AI35" i="3"/>
  <c r="AI33" i="3"/>
  <c r="AI4" i="9" l="1"/>
  <c r="AJ4" i="9"/>
  <c r="AK109" i="9"/>
  <c r="AK24" i="9"/>
  <c r="AJ201" i="9"/>
  <c r="AJ200" i="9"/>
  <c r="M1023" i="7"/>
  <c r="M1035" i="7" s="1"/>
  <c r="AA134" i="2" s="1"/>
  <c r="AF362" i="1"/>
  <c r="AK193" i="9" s="1"/>
  <c r="AE358" i="1"/>
  <c r="AF367" i="1"/>
  <c r="AF309" i="1"/>
  <c r="AF98" i="1"/>
  <c r="AF261" i="1"/>
  <c r="AF54" i="1"/>
  <c r="AF92" i="1"/>
  <c r="AH13" i="1"/>
  <c r="AM19" i="9" s="1"/>
  <c r="AM143" i="9" s="1"/>
  <c r="AM156" i="9" s="1"/>
  <c r="AH51" i="1"/>
  <c r="AA62" i="6" s="1"/>
  <c r="AA63" i="6" s="1"/>
  <c r="Z21" i="6"/>
  <c r="AL177" i="9" s="1"/>
  <c r="AG335" i="1"/>
  <c r="AG14" i="1"/>
  <c r="AG53" i="1"/>
  <c r="AL23" i="9" s="1"/>
  <c r="AG18" i="1"/>
  <c r="AG15" i="1"/>
  <c r="Y35" i="6"/>
  <c r="Y36" i="6" s="1"/>
  <c r="AK196" i="9" s="1"/>
  <c r="Z12" i="6"/>
  <c r="AI51" i="1"/>
  <c r="AB62" i="6" s="1"/>
  <c r="AB63" i="6" s="1"/>
  <c r="C69" i="6" s="1"/>
  <c r="AI13" i="1"/>
  <c r="AN19" i="9" s="1"/>
  <c r="AN143" i="9" s="1"/>
  <c r="AN156" i="9" s="1"/>
  <c r="AH201" i="9"/>
  <c r="W33" i="6"/>
  <c r="W36" i="6" s="1"/>
  <c r="AI196" i="9" s="1"/>
  <c r="I54" i="6"/>
  <c r="W61" i="6"/>
  <c r="W75" i="6" s="1"/>
  <c r="W9" i="6"/>
  <c r="V20" i="9"/>
  <c r="AJ202" i="9" l="1"/>
  <c r="AL109" i="9"/>
  <c r="AL24" i="9"/>
  <c r="AK16" i="9"/>
  <c r="AK116" i="9"/>
  <c r="AK201" i="9"/>
  <c r="AK200" i="9"/>
  <c r="N1023" i="7"/>
  <c r="N1035" i="7" s="1"/>
  <c r="AB134" i="2" s="1"/>
  <c r="AG362" i="1"/>
  <c r="AL193" i="9" s="1"/>
  <c r="AE360" i="1"/>
  <c r="AE39" i="1"/>
  <c r="X39" i="6" s="1"/>
  <c r="AG367" i="1"/>
  <c r="AF358" i="1"/>
  <c r="AG309" i="1"/>
  <c r="AG98" i="1"/>
  <c r="C70" i="6"/>
  <c r="AH335" i="1"/>
  <c r="AA21" i="6"/>
  <c r="AM177" i="9" s="1"/>
  <c r="AH15" i="1"/>
  <c r="AH14" i="1"/>
  <c r="AH18" i="1"/>
  <c r="AH53" i="1"/>
  <c r="AM23" i="9" s="1"/>
  <c r="Z35" i="6"/>
  <c r="Z36" i="6" s="1"/>
  <c r="AL196" i="9" s="1"/>
  <c r="AA12" i="6"/>
  <c r="AG92" i="1"/>
  <c r="AG54" i="1"/>
  <c r="AG261" i="1"/>
  <c r="AI9" i="9"/>
  <c r="X9" i="6"/>
  <c r="AJ9" i="9" s="1"/>
  <c r="AB21" i="6"/>
  <c r="AN177" i="9" s="1"/>
  <c r="AI335" i="1"/>
  <c r="AI53" i="1"/>
  <c r="AN23" i="9" s="1"/>
  <c r="AI14" i="1"/>
  <c r="AI15" i="1"/>
  <c r="AI18" i="1"/>
  <c r="AI201" i="9"/>
  <c r="AK202" i="9" l="1"/>
  <c r="AM109" i="9"/>
  <c r="AM24" i="9"/>
  <c r="AL116" i="9"/>
  <c r="AL16" i="9"/>
  <c r="X50" i="6"/>
  <c r="AJ13" i="9"/>
  <c r="AN109" i="9"/>
  <c r="AN24" i="9"/>
  <c r="AL201" i="9"/>
  <c r="AL200" i="9"/>
  <c r="AF359" i="1"/>
  <c r="AF360" i="1"/>
  <c r="AF39" i="1"/>
  <c r="Y39" i="6" s="1"/>
  <c r="O1023" i="7"/>
  <c r="O1035" i="7" s="1"/>
  <c r="AC134" i="2" s="1"/>
  <c r="AH362" i="1"/>
  <c r="AM193" i="9" s="1"/>
  <c r="P1023" i="7"/>
  <c r="P1035" i="7" s="1"/>
  <c r="AD134" i="2" s="1"/>
  <c r="AI362" i="1"/>
  <c r="AH367" i="1"/>
  <c r="AG358" i="1"/>
  <c r="AH309" i="1"/>
  <c r="AH98" i="1"/>
  <c r="AI261" i="1"/>
  <c r="AH261" i="1"/>
  <c r="AI54" i="1"/>
  <c r="AI92" i="1"/>
  <c r="AH92" i="1"/>
  <c r="AH54" i="1"/>
  <c r="Y9" i="6"/>
  <c r="AK9" i="9" s="1"/>
  <c r="AA35" i="6"/>
  <c r="AA36" i="6" s="1"/>
  <c r="AM196" i="9" s="1"/>
  <c r="AB12" i="6"/>
  <c r="AB35" i="6" s="1"/>
  <c r="AB36" i="6" s="1"/>
  <c r="AN196" i="9" s="1"/>
  <c r="L22" i="2"/>
  <c r="AL202" i="9" l="1"/>
  <c r="Y50" i="6"/>
  <c r="AK13" i="9"/>
  <c r="AM16" i="9"/>
  <c r="AM116" i="9"/>
  <c r="AI358" i="1"/>
  <c r="AI360" i="1" s="1"/>
  <c r="AN193" i="9"/>
  <c r="AN200" i="9" s="1"/>
  <c r="AM201" i="9"/>
  <c r="AM200" i="9"/>
  <c r="AN201" i="9"/>
  <c r="AI367" i="1"/>
  <c r="AH358" i="1"/>
  <c r="AI98" i="1"/>
  <c r="AI309" i="1"/>
  <c r="AG360" i="1"/>
  <c r="AG39" i="1"/>
  <c r="Z39" i="6" s="1"/>
  <c r="AG359" i="1"/>
  <c r="Z9" i="6"/>
  <c r="AL9" i="9" s="1"/>
  <c r="W21" i="9"/>
  <c r="M43" i="2"/>
  <c r="M44" i="2" s="1"/>
  <c r="M93" i="2" s="1"/>
  <c r="AN202" i="9" l="1"/>
  <c r="AI39" i="1"/>
  <c r="AB39" i="6" s="1"/>
  <c r="AB50" i="6" s="1"/>
  <c r="Z50" i="6"/>
  <c r="AL13" i="9"/>
  <c r="AM202" i="9"/>
  <c r="AN116" i="9"/>
  <c r="AN16" i="9"/>
  <c r="AH359" i="1"/>
  <c r="AH360" i="1"/>
  <c r="AH39" i="1"/>
  <c r="AA39" i="6" s="1"/>
  <c r="AI359" i="1"/>
  <c r="AA9" i="6"/>
  <c r="AM9" i="9" s="1"/>
  <c r="D6" i="10"/>
  <c r="N43" i="2"/>
  <c r="N44" i="2" s="1"/>
  <c r="N93" i="2" s="1"/>
  <c r="I202" i="7"/>
  <c r="I204" i="7" s="1"/>
  <c r="E6" i="10"/>
  <c r="AN13" i="9" l="1"/>
  <c r="AA50" i="6"/>
  <c r="AM13" i="9"/>
  <c r="AB9" i="6"/>
  <c r="AN9" i="9" s="1"/>
  <c r="I13" i="5"/>
  <c r="I12" i="5"/>
  <c r="M39" i="7"/>
  <c r="D5" i="10"/>
  <c r="BC12" i="3"/>
  <c r="N39" i="7"/>
  <c r="E5" i="10"/>
  <c r="J13" i="5"/>
  <c r="J12" i="5"/>
  <c r="O16" i="2"/>
  <c r="O17" i="2"/>
  <c r="O43" i="2"/>
  <c r="O44" i="2" s="1"/>
  <c r="J202" i="7"/>
  <c r="J204" i="7" s="1"/>
  <c r="F6" i="10"/>
  <c r="DN12" i="3" l="1"/>
  <c r="BC15" i="3"/>
  <c r="BG15" i="3"/>
  <c r="BD67" i="3"/>
  <c r="BD13" i="3"/>
  <c r="BC67" i="3"/>
  <c r="DJ12" i="3"/>
  <c r="P16" i="2"/>
  <c r="P17" i="2"/>
  <c r="G6" i="10"/>
  <c r="O39" i="7"/>
  <c r="F5" i="10"/>
  <c r="K12" i="5"/>
  <c r="K13" i="5"/>
  <c r="Q59" i="2" l="1"/>
  <c r="Q105" i="2" s="1"/>
  <c r="R106" i="2" s="1"/>
  <c r="O48" i="13"/>
  <c r="C23" i="13"/>
  <c r="P59" i="2"/>
  <c r="DN67" i="3"/>
  <c r="R30" i="13" s="1"/>
  <c r="DO67" i="3"/>
  <c r="S30" i="13" s="1"/>
  <c r="BD43" i="3"/>
  <c r="O61" i="13" s="1"/>
  <c r="O91" i="13" s="1"/>
  <c r="DK67" i="3"/>
  <c r="O30" i="13" s="1"/>
  <c r="X21" i="9"/>
  <c r="H6" i="10"/>
  <c r="Q17" i="2"/>
  <c r="BL15" i="3" l="1"/>
  <c r="BP15" i="3"/>
  <c r="DV12" i="3"/>
  <c r="DR12" i="3"/>
  <c r="BK13" i="3"/>
  <c r="R17" i="2"/>
  <c r="I6" i="10"/>
  <c r="DS50" i="3" l="1"/>
  <c r="W67" i="13" s="1"/>
  <c r="K26" i="13"/>
  <c r="BM15" i="3"/>
  <c r="BQ15" i="3"/>
  <c r="J23" i="13"/>
  <c r="V48" i="13"/>
  <c r="DS12" i="3"/>
  <c r="BL13" i="3"/>
  <c r="W48" i="13" s="1"/>
  <c r="J394" i="7"/>
  <c r="J395" i="7" s="1"/>
  <c r="J6" i="10"/>
  <c r="BL43" i="3" l="1"/>
  <c r="W61" i="13" s="1"/>
  <c r="W91" i="13" s="1"/>
  <c r="K23" i="13"/>
  <c r="DT12" i="3"/>
  <c r="DT50" i="3"/>
  <c r="X67" i="13" s="1"/>
  <c r="T17" i="2"/>
  <c r="K6" i="10"/>
  <c r="J396" i="7"/>
  <c r="L106" i="2"/>
  <c r="L107" i="2"/>
  <c r="C12" i="10"/>
  <c r="C13" i="10"/>
  <c r="DU12" i="3" l="1"/>
  <c r="BO13" i="3"/>
  <c r="Z48" i="13" s="1"/>
  <c r="U17" i="2"/>
  <c r="Y21" i="9"/>
  <c r="L108" i="2"/>
  <c r="BO43" i="3" l="1"/>
  <c r="Z61" i="13" s="1"/>
  <c r="Z91" i="13" s="1"/>
  <c r="N23" i="13"/>
  <c r="M23" i="13"/>
  <c r="DU50" i="3"/>
  <c r="Y67" i="13" s="1"/>
  <c r="M26" i="13"/>
  <c r="V17" i="2"/>
  <c r="W17" i="2" l="1"/>
  <c r="Y17" i="2" l="1"/>
  <c r="X17" i="2"/>
  <c r="AA21" i="9" l="1"/>
  <c r="E88" i="7"/>
  <c r="G180" i="7"/>
  <c r="G182" i="7" s="1"/>
  <c r="V18" i="9"/>
  <c r="L127" i="2"/>
  <c r="C20" i="10"/>
  <c r="D819" i="4"/>
  <c r="V135" i="9" l="1"/>
  <c r="H399" i="14"/>
  <c r="H406" i="14" s="1"/>
  <c r="L128" i="2"/>
  <c r="L133" i="2"/>
  <c r="L148" i="2"/>
  <c r="L149" i="2"/>
  <c r="H36" i="5"/>
  <c r="E110" i="7"/>
  <c r="V22" i="9" l="1"/>
  <c r="E213" i="7"/>
  <c r="J23" i="6"/>
  <c r="D824" i="4"/>
  <c r="G185" i="7"/>
  <c r="G197" i="7" s="1"/>
  <c r="G207" i="7" s="1"/>
  <c r="G209" i="7" s="1"/>
  <c r="E95" i="7"/>
  <c r="E116" i="7" s="1"/>
  <c r="C23" i="10"/>
  <c r="V150" i="9" l="1"/>
  <c r="H388" i="14"/>
  <c r="G190" i="7"/>
  <c r="G187" i="7"/>
  <c r="G192" i="7" l="1"/>
  <c r="G199" i="7"/>
  <c r="AB21" i="9" l="1"/>
  <c r="V33" i="9"/>
  <c r="E93" i="7" l="1"/>
  <c r="V19" i="9"/>
  <c r="V143" i="9" s="1"/>
  <c r="V156" i="9" s="1"/>
  <c r="C22" i="10"/>
  <c r="J31" i="6"/>
  <c r="D821" i="4"/>
  <c r="D823" i="4" s="1"/>
  <c r="J21" i="6"/>
  <c r="W20" i="9" l="1"/>
  <c r="V23" i="9"/>
  <c r="H37" i="5"/>
  <c r="E96" i="7"/>
  <c r="E117" i="7" s="1"/>
  <c r="E115" i="7"/>
  <c r="E94" i="7"/>
  <c r="AC21" i="9" l="1"/>
  <c r="V109" i="9"/>
  <c r="H393" i="14" s="1"/>
  <c r="V24" i="9"/>
  <c r="V26" i="9" s="1"/>
  <c r="J62" i="6"/>
  <c r="J63" i="6" s="1"/>
  <c r="V28" i="9"/>
  <c r="V110" i="9"/>
  <c r="J24" i="6" l="1"/>
  <c r="AD21" i="9" l="1"/>
  <c r="V30" i="9"/>
  <c r="J28" i="6"/>
  <c r="J48" i="6" l="1"/>
  <c r="D136" i="6" s="1"/>
  <c r="V31" i="9"/>
  <c r="J38" i="6"/>
  <c r="J47" i="6" l="1"/>
  <c r="V14" i="9"/>
  <c r="V15" i="9"/>
  <c r="J52" i="6"/>
  <c r="V111" i="9"/>
  <c r="AE21" i="9" l="1"/>
  <c r="V29" i="9"/>
  <c r="V27" i="9" l="1"/>
  <c r="J54" i="6" l="1"/>
  <c r="AF21" i="9" l="1"/>
  <c r="V112" i="9"/>
  <c r="L135" i="2" l="1"/>
  <c r="L109" i="2"/>
  <c r="C14" i="10"/>
  <c r="C15" i="10" s="1"/>
  <c r="C17" i="10" s="1"/>
  <c r="C19" i="10" s="1"/>
  <c r="L138" i="2" l="1"/>
  <c r="L136" i="2"/>
  <c r="L119" i="2"/>
  <c r="L120" i="2" s="1"/>
  <c r="L141" i="2"/>
  <c r="L114" i="2"/>
  <c r="L117" i="2" s="1"/>
  <c r="L83" i="2"/>
  <c r="L82" i="2"/>
  <c r="L110" i="2"/>
  <c r="L121" i="2" l="1"/>
  <c r="L86" i="2"/>
  <c r="V7" i="9"/>
  <c r="V25" i="9" s="1"/>
  <c r="V120" i="9"/>
  <c r="V119" i="9" s="1"/>
  <c r="V118" i="9" s="1"/>
  <c r="J11" i="6"/>
  <c r="J57" i="6" s="1"/>
  <c r="L115" i="2"/>
  <c r="E90" i="7"/>
  <c r="E112" i="7" s="1"/>
  <c r="AG21" i="9" l="1"/>
  <c r="J53" i="6"/>
  <c r="E91" i="7"/>
  <c r="E113" i="7" s="1"/>
  <c r="M128" i="2" l="1"/>
  <c r="I36" i="5"/>
  <c r="H180" i="7" l="1"/>
  <c r="H182" i="7" s="1"/>
  <c r="D147" i="7"/>
  <c r="D20" i="10"/>
  <c r="W18" i="9"/>
  <c r="W135" i="9" l="1"/>
  <c r="I399" i="14"/>
  <c r="I406" i="14" s="1"/>
  <c r="H185" i="7"/>
  <c r="H197" i="7" s="1"/>
  <c r="H207" i="7" s="1"/>
  <c r="H209" i="7" s="1"/>
  <c r="D23" i="10"/>
  <c r="D154" i="7"/>
  <c r="D175" i="7" s="1"/>
  <c r="K23" i="6"/>
  <c r="W22" i="9"/>
  <c r="D169" i="7"/>
  <c r="W150" i="9" l="1"/>
  <c r="I388" i="14"/>
  <c r="AH21" i="9"/>
  <c r="H190" i="7"/>
  <c r="H187" i="7"/>
  <c r="H192" i="7" l="1"/>
  <c r="H199" i="7"/>
  <c r="W33" i="9" l="1"/>
  <c r="AI21" i="9" l="1"/>
  <c r="X20" i="9"/>
  <c r="AO134" i="3" l="1"/>
  <c r="AO138" i="3"/>
  <c r="AO137" i="3" s="1"/>
  <c r="M106" i="2" l="1"/>
  <c r="M107" i="2"/>
  <c r="M109" i="2"/>
  <c r="D12" i="10"/>
  <c r="D13" i="10"/>
  <c r="D14" i="10"/>
  <c r="M119" i="2" l="1"/>
  <c r="M121" i="2" s="1"/>
  <c r="D15" i="10"/>
  <c r="D17" i="10" s="1"/>
  <c r="D19" i="10" s="1"/>
  <c r="M83" i="2"/>
  <c r="M82" i="2"/>
  <c r="M108" i="2"/>
  <c r="M110" i="2"/>
  <c r="M114" i="2"/>
  <c r="M120" i="2" l="1"/>
  <c r="D149" i="7"/>
  <c r="M141" i="2"/>
  <c r="M86" i="2"/>
  <c r="M115" i="2"/>
  <c r="M117" i="2"/>
  <c r="D171" i="7" l="1"/>
  <c r="D150" i="7"/>
  <c r="D172" i="7" s="1"/>
  <c r="K62" i="6"/>
  <c r="K63" i="6" s="1"/>
  <c r="W19" i="9" l="1"/>
  <c r="W143" i="9" s="1"/>
  <c r="W156" i="9" s="1"/>
  <c r="D22" i="10"/>
  <c r="K21" i="6"/>
  <c r="D152" i="7" l="1"/>
  <c r="I37" i="5"/>
  <c r="W23" i="9"/>
  <c r="F134" i="6"/>
  <c r="F132" i="6"/>
  <c r="W24" i="9" l="1"/>
  <c r="W26" i="9" s="1"/>
  <c r="W109" i="9"/>
  <c r="I393" i="14" s="1"/>
  <c r="D153" i="7"/>
  <c r="D155" i="7"/>
  <c r="D176" i="7" s="1"/>
  <c r="D174" i="7"/>
  <c r="K31" i="6"/>
  <c r="F135" i="6" s="1"/>
  <c r="F133" i="6"/>
  <c r="W28" i="9" l="1"/>
  <c r="K24" i="6" l="1"/>
  <c r="W110" i="9"/>
  <c r="K28" i="6" l="1"/>
  <c r="W31" i="9" s="1"/>
  <c r="W30" i="9"/>
  <c r="K38" i="6" l="1"/>
  <c r="F136" i="6"/>
  <c r="K48" i="6"/>
  <c r="W111" i="9" l="1"/>
  <c r="W15" i="9"/>
  <c r="W14" i="9"/>
  <c r="K52" i="6"/>
  <c r="K47" i="6"/>
  <c r="E136" i="6"/>
  <c r="W29" i="9" l="1"/>
  <c r="W27" i="9" l="1"/>
  <c r="K54" i="6" l="1"/>
  <c r="W112" i="9"/>
  <c r="W120" i="9" l="1"/>
  <c r="W119" i="9" s="1"/>
  <c r="W118" i="9" s="1"/>
  <c r="K11" i="6" l="1"/>
  <c r="K57" i="6" s="1"/>
  <c r="W7" i="9"/>
  <c r="W25" i="9" s="1"/>
  <c r="K53" i="6" l="1"/>
  <c r="D141" i="7"/>
  <c r="L249" i="7" l="1"/>
  <c r="L255" i="7" s="1"/>
  <c r="L250" i="7"/>
  <c r="L256" i="7" s="1"/>
  <c r="L251" i="7"/>
  <c r="L257" i="7" s="1"/>
  <c r="N83" i="2"/>
  <c r="N105" i="2"/>
  <c r="N107" i="2"/>
  <c r="N109" i="2"/>
  <c r="E12" i="10"/>
  <c r="E13" i="10"/>
  <c r="E14" i="10"/>
  <c r="N114" i="2" l="1"/>
  <c r="N117" i="2" s="1"/>
  <c r="E15" i="10"/>
  <c r="E17" i="10" s="1"/>
  <c r="N82" i="2"/>
  <c r="N119" i="2"/>
  <c r="L252" i="7"/>
  <c r="L253" i="7" s="1"/>
  <c r="N110" i="2"/>
  <c r="N108" i="2"/>
  <c r="N106" i="2"/>
  <c r="N141" i="2"/>
  <c r="N115" i="2" l="1"/>
  <c r="L258" i="7"/>
  <c r="N121" i="2"/>
  <c r="N120" i="2"/>
  <c r="E149" i="7"/>
  <c r="E171" i="7" s="1"/>
  <c r="N86" i="2"/>
  <c r="X19" i="9" l="1"/>
  <c r="X143" i="9" s="1"/>
  <c r="E22" i="10"/>
  <c r="L21" i="6"/>
  <c r="E152" i="7" l="1"/>
  <c r="D1009" i="4"/>
  <c r="E174" i="7" l="1"/>
  <c r="E147" i="7" l="1"/>
  <c r="E153" i="7" s="1"/>
  <c r="I180" i="7"/>
  <c r="I182" i="7" s="1"/>
  <c r="X18" i="9"/>
  <c r="N127" i="2"/>
  <c r="E20" i="10"/>
  <c r="E19" i="10" s="1"/>
  <c r="D1008" i="4"/>
  <c r="N128" i="2" l="1"/>
  <c r="S6" i="1"/>
  <c r="X135" i="9"/>
  <c r="J399" i="14"/>
  <c r="J406" i="14" s="1"/>
  <c r="L62" i="6"/>
  <c r="L63" i="6" s="1"/>
  <c r="N148" i="2"/>
  <c r="N133" i="2"/>
  <c r="J36" i="5"/>
  <c r="E150" i="7"/>
  <c r="E172" i="7" s="1"/>
  <c r="E169" i="7"/>
  <c r="E154" i="7"/>
  <c r="E155" i="7" s="1"/>
  <c r="E176" i="7" s="1"/>
  <c r="L23" i="6"/>
  <c r="L31" i="6"/>
  <c r="F213" i="7"/>
  <c r="X22" i="9"/>
  <c r="I185" i="7"/>
  <c r="E23" i="10"/>
  <c r="X150" i="9" l="1"/>
  <c r="X156" i="9" s="1"/>
  <c r="J388" i="14"/>
  <c r="N124" i="2"/>
  <c r="E175" i="7"/>
  <c r="X23" i="9"/>
  <c r="J37" i="5"/>
  <c r="I190" i="7"/>
  <c r="I187" i="7"/>
  <c r="I197" i="7"/>
  <c r="I207" i="7" s="1"/>
  <c r="I209" i="7" s="1"/>
  <c r="X33" i="9" l="1"/>
  <c r="X24" i="9"/>
  <c r="X109" i="9"/>
  <c r="J393" i="14" s="1"/>
  <c r="I199" i="7"/>
  <c r="I192" i="7"/>
  <c r="Y20" i="9" l="1"/>
  <c r="O142" i="2" l="1"/>
  <c r="Y18" i="9" l="1"/>
  <c r="F20" i="10"/>
  <c r="J180" i="7"/>
  <c r="J182" i="7" s="1"/>
  <c r="D296" i="7"/>
  <c r="D315" i="7" s="1"/>
  <c r="Y135" i="9" l="1"/>
  <c r="K399" i="14"/>
  <c r="K406" i="14" s="1"/>
  <c r="G213" i="7"/>
  <c r="J185" i="7"/>
  <c r="D299" i="7"/>
  <c r="M23" i="6"/>
  <c r="Y180" i="9" s="1"/>
  <c r="F23" i="10"/>
  <c r="Y22" i="9"/>
  <c r="K396" i="7"/>
  <c r="Y150" i="9" l="1"/>
  <c r="K388" i="14"/>
  <c r="J190" i="7"/>
  <c r="J187" i="7"/>
  <c r="J197" i="7"/>
  <c r="J207" i="7" s="1"/>
  <c r="J209" i="7" s="1"/>
  <c r="M62" i="6"/>
  <c r="M63" i="6" s="1"/>
  <c r="D300" i="7"/>
  <c r="D317" i="7"/>
  <c r="J199" i="7" l="1"/>
  <c r="J192" i="7"/>
  <c r="D297" i="7"/>
  <c r="M21" i="6"/>
  <c r="Y177" i="9" s="1"/>
  <c r="Y19" i="9"/>
  <c r="Y143" i="9" s="1"/>
  <c r="Y156" i="9" s="1"/>
  <c r="F22" i="10"/>
  <c r="E122" i="6"/>
  <c r="Y33" i="9" l="1"/>
  <c r="M31" i="6"/>
  <c r="D316" i="7"/>
  <c r="D298" i="7"/>
  <c r="D301" i="7"/>
  <c r="D318" i="7" s="1"/>
  <c r="Y23" i="9"/>
  <c r="K37" i="5"/>
  <c r="E127" i="6"/>
  <c r="Y109" i="9" l="1"/>
  <c r="K393" i="14" s="1"/>
  <c r="Y24" i="9"/>
  <c r="X28" i="9" l="1"/>
  <c r="X110" i="9"/>
  <c r="L24" i="6" l="1"/>
  <c r="X30" i="9" l="1"/>
  <c r="L28" i="6"/>
  <c r="X31" i="9" l="1"/>
  <c r="L48" i="6"/>
  <c r="L47" i="6" s="1"/>
  <c r="L38" i="6"/>
  <c r="L52" i="6" l="1"/>
  <c r="X15" i="9"/>
  <c r="X14" i="9"/>
  <c r="X111" i="9"/>
  <c r="X29" i="9" l="1"/>
  <c r="X27" i="9"/>
  <c r="L54" i="6" l="1"/>
  <c r="X112" i="9"/>
  <c r="L11" i="6" l="1"/>
  <c r="L57" i="6" s="1"/>
  <c r="X7" i="9" l="1"/>
  <c r="X25" i="9" s="1"/>
  <c r="X120" i="9"/>
  <c r="X119" i="9" s="1"/>
  <c r="X118" i="9" s="1"/>
  <c r="L53" i="6" l="1"/>
  <c r="Y27" i="9" l="1"/>
  <c r="Y110" i="9"/>
  <c r="M24" i="6" l="1"/>
  <c r="Y186" i="9" s="1"/>
  <c r="Y28" i="9"/>
  <c r="Y112" i="9" l="1"/>
  <c r="Y178" i="9"/>
  <c r="M54" i="6"/>
  <c r="Y30" i="9" l="1"/>
  <c r="M28" i="6" l="1"/>
  <c r="Y179" i="9"/>
  <c r="Y184" i="9" s="1"/>
  <c r="Y188" i="9" s="1"/>
  <c r="Y191" i="9" s="1"/>
  <c r="Y197" i="9" s="1"/>
  <c r="M38" i="6"/>
  <c r="D302" i="7" l="1"/>
  <c r="D319" i="7" s="1"/>
  <c r="Y204" i="9"/>
  <c r="M48" i="6"/>
  <c r="M47" i="6" s="1"/>
  <c r="Y31" i="9"/>
  <c r="D303" i="7"/>
  <c r="Y29" i="9"/>
  <c r="Y15" i="9"/>
  <c r="Y14" i="9"/>
  <c r="M52" i="6"/>
  <c r="Y111" i="9"/>
  <c r="M249" i="7" l="1"/>
  <c r="M250" i="7"/>
  <c r="M256" i="7" s="1"/>
  <c r="M251" i="7"/>
  <c r="M257" i="7" s="1"/>
  <c r="O63" i="2"/>
  <c r="O105" i="2"/>
  <c r="O106" i="2" s="1"/>
  <c r="O107" i="2"/>
  <c r="O109" i="2"/>
  <c r="F12" i="10"/>
  <c r="F13" i="10"/>
  <c r="F14" i="10"/>
  <c r="O99" i="2" l="1"/>
  <c r="O100" i="2" s="1"/>
  <c r="O92" i="2"/>
  <c r="O93" i="2" s="1"/>
  <c r="O85" i="2"/>
  <c r="O86" i="2" s="1"/>
  <c r="O64" i="2"/>
  <c r="F15" i="10"/>
  <c r="F17" i="10" s="1"/>
  <c r="F19" i="10" s="1"/>
  <c r="O110" i="2"/>
  <c r="M252" i="7"/>
  <c r="M253" i="7" s="1"/>
  <c r="M255" i="7"/>
  <c r="K394" i="7"/>
  <c r="K395" i="7" s="1"/>
  <c r="O81" i="2"/>
  <c r="O119" i="2" s="1"/>
  <c r="O108" i="2"/>
  <c r="O143" i="2" l="1"/>
  <c r="O141" i="2"/>
  <c r="M258" i="7"/>
  <c r="O127" i="2"/>
  <c r="O121" i="2"/>
  <c r="O120" i="2"/>
  <c r="O83" i="2"/>
  <c r="O114" i="2"/>
  <c r="O82" i="2"/>
  <c r="O128" i="2" l="1"/>
  <c r="T6" i="1"/>
  <c r="O148" i="2"/>
  <c r="K36" i="5"/>
  <c r="O133" i="2"/>
  <c r="O115" i="2"/>
  <c r="O117" i="2"/>
  <c r="Y7" i="9" l="1"/>
  <c r="Y25" i="9" s="1"/>
  <c r="M11" i="6"/>
  <c r="Y120" i="9"/>
  <c r="Y119" i="9" s="1"/>
  <c r="Y118" i="9" s="1"/>
  <c r="M57" i="6" l="1"/>
  <c r="M53" i="6"/>
  <c r="DI8" i="3" l="1"/>
  <c r="DI12" i="3" l="1"/>
  <c r="BC13" i="3"/>
  <c r="N48" i="13" s="1"/>
  <c r="BC43" i="3" l="1"/>
  <c r="N61" i="13" s="1"/>
  <c r="N91" i="13" s="1"/>
  <c r="DI67" i="3"/>
  <c r="M30" i="13" s="1"/>
  <c r="DI72" i="3"/>
  <c r="M85" i="13" s="1"/>
  <c r="DI104" i="3"/>
  <c r="M33" i="13" l="1"/>
  <c r="DI88" i="3"/>
  <c r="DI117" i="3" l="1"/>
  <c r="M282" i="14" l="1"/>
  <c r="M151" i="13"/>
  <c r="BB125" i="3"/>
  <c r="BB149" i="3" s="1"/>
  <c r="DM149" i="3" s="1"/>
  <c r="DI140" i="3"/>
  <c r="M281" i="14" l="1"/>
  <c r="M149" i="13"/>
  <c r="DI149" i="3"/>
  <c r="DM125" i="3"/>
  <c r="DI125" i="3"/>
  <c r="BB202" i="3"/>
  <c r="BB130" i="3"/>
  <c r="M75" i="13" s="1"/>
  <c r="BB205" i="3" l="1"/>
  <c r="BB208" i="3"/>
  <c r="DI24" i="3"/>
  <c r="BC25" i="3"/>
  <c r="N50" i="13" s="1"/>
  <c r="BB27" i="3"/>
  <c r="BB28" i="3"/>
  <c r="BF30" i="3" s="1"/>
  <c r="BB34" i="3"/>
  <c r="M53" i="13" s="1"/>
  <c r="BB46" i="3"/>
  <c r="M64" i="13" s="1"/>
  <c r="DM28" i="3" l="1"/>
  <c r="BC45" i="3"/>
  <c r="N63" i="13" s="1"/>
  <c r="BB29" i="3"/>
  <c r="BB210" i="3"/>
  <c r="DI69" i="3"/>
  <c r="M32" i="13" s="1"/>
  <c r="BB70" i="3"/>
  <c r="BB30" i="3"/>
  <c r="DI28" i="3"/>
  <c r="BB105" i="3" l="1"/>
  <c r="DM70" i="3"/>
  <c r="BB71" i="3"/>
  <c r="DM71" i="3" s="1"/>
  <c r="BB119" i="3"/>
  <c r="BB82" i="3" l="1"/>
  <c r="DI71" i="3"/>
  <c r="BB87" i="3"/>
  <c r="BB57" i="3" s="1"/>
  <c r="DM57" i="3" s="1"/>
  <c r="I4" i="14" l="1"/>
  <c r="AF4" i="14" s="1"/>
  <c r="BB54" i="3"/>
  <c r="M248" i="14"/>
  <c r="Q254" i="14" s="1"/>
  <c r="BB150" i="3"/>
  <c r="DI87" i="3"/>
  <c r="M83" i="13" s="1"/>
  <c r="DM87" i="3"/>
  <c r="Q83" i="13" s="1"/>
  <c r="P6" i="2"/>
  <c r="P7" i="2"/>
  <c r="P9" i="2"/>
  <c r="P12" i="2"/>
  <c r="G4" i="10"/>
  <c r="BC8" i="3"/>
  <c r="N187" i="14" s="1"/>
  <c r="AJ4" i="14" l="1"/>
  <c r="I7" i="14"/>
  <c r="I19" i="14" s="1"/>
  <c r="M254" i="14"/>
  <c r="N188" i="14"/>
  <c r="N189" i="14" s="1"/>
  <c r="O188" i="14"/>
  <c r="R189" i="14" s="1"/>
  <c r="J23" i="14"/>
  <c r="DN8" i="3"/>
  <c r="BD9" i="3"/>
  <c r="M14" i="12"/>
  <c r="M25" i="12" s="1"/>
  <c r="BC9" i="3"/>
  <c r="G670" i="7" s="1"/>
  <c r="H4" i="10"/>
  <c r="Q12" i="2"/>
  <c r="DJ8" i="3"/>
  <c r="Q6" i="2"/>
  <c r="Q9" i="2"/>
  <c r="AJ7" i="14" l="1"/>
  <c r="AF7" i="14"/>
  <c r="D2572" i="4"/>
  <c r="H670" i="7"/>
  <c r="G678" i="7"/>
  <c r="G686" i="7"/>
  <c r="S12" i="2"/>
  <c r="N14" i="12"/>
  <c r="D214" i="14"/>
  <c r="AG23" i="14"/>
  <c r="AK23" i="14"/>
  <c r="R12" i="2"/>
  <c r="I4" i="10"/>
  <c r="R6" i="2"/>
  <c r="R9" i="2"/>
  <c r="DO8" i="3"/>
  <c r="H678" i="7" l="1"/>
  <c r="I678" i="7" s="1"/>
  <c r="J678" i="7" s="1"/>
  <c r="K678" i="7" s="1"/>
  <c r="L678" i="7" s="1"/>
  <c r="M678" i="7" s="1"/>
  <c r="N678" i="7" s="1"/>
  <c r="H686" i="7"/>
  <c r="S6" i="2"/>
  <c r="J4" i="10"/>
  <c r="O14" i="12"/>
  <c r="E214" i="14"/>
  <c r="DR8" i="3"/>
  <c r="V187" i="14"/>
  <c r="P26" i="2"/>
  <c r="P27" i="2"/>
  <c r="P30" i="2"/>
  <c r="P43" i="2"/>
  <c r="G5" i="10"/>
  <c r="G7" i="10"/>
  <c r="L12" i="5"/>
  <c r="L13" i="5"/>
  <c r="L14" i="5"/>
  <c r="BC19" i="3"/>
  <c r="DW8" i="3" l="1"/>
  <c r="U5" i="2"/>
  <c r="K672" i="7"/>
  <c r="K673" i="7" s="1"/>
  <c r="K675" i="7" s="1"/>
  <c r="K687" i="7" s="1"/>
  <c r="BC22" i="3"/>
  <c r="BG22" i="3"/>
  <c r="DS8" i="3"/>
  <c r="BP9" i="3"/>
  <c r="T670" i="7" s="1"/>
  <c r="T686" i="7" s="1"/>
  <c r="BL9" i="3"/>
  <c r="P670" i="7" s="1"/>
  <c r="P686" i="7" s="1"/>
  <c r="DT8" i="3"/>
  <c r="T6" i="2"/>
  <c r="DV8" i="3"/>
  <c r="DU8" i="3"/>
  <c r="Q670" i="7"/>
  <c r="Q686" i="7" s="1"/>
  <c r="T9" i="2"/>
  <c r="F214" i="14"/>
  <c r="K4" i="10"/>
  <c r="T12" i="2"/>
  <c r="P14" i="12"/>
  <c r="DP8" i="3"/>
  <c r="T187" i="14"/>
  <c r="T188" i="14" s="1"/>
  <c r="J35" i="14"/>
  <c r="K58" i="14" s="1"/>
  <c r="DN19" i="3"/>
  <c r="P44" i="2"/>
  <c r="P31" i="2"/>
  <c r="Q31" i="2"/>
  <c r="BD68" i="3"/>
  <c r="BD20" i="3"/>
  <c r="DJ19" i="3"/>
  <c r="BC28" i="3"/>
  <c r="BC68" i="3"/>
  <c r="BC20" i="3"/>
  <c r="K202" i="7"/>
  <c r="K204" i="7" s="1"/>
  <c r="U6" i="2" l="1"/>
  <c r="BX8" i="3"/>
  <c r="U9" i="2"/>
  <c r="Q14" i="12"/>
  <c r="V5" i="2"/>
  <c r="U12" i="2"/>
  <c r="K679" i="7"/>
  <c r="DN68" i="3"/>
  <c r="R31" i="13" s="1"/>
  <c r="K688" i="7"/>
  <c r="K694" i="7"/>
  <c r="O49" i="13"/>
  <c r="O51" i="13" s="1"/>
  <c r="H671" i="7"/>
  <c r="H673" i="7" s="1"/>
  <c r="H675" i="7" s="1"/>
  <c r="H687" i="7" s="1"/>
  <c r="C24" i="13"/>
  <c r="BQ9" i="3"/>
  <c r="U670" i="7" s="1"/>
  <c r="U686" i="7" s="1"/>
  <c r="N49" i="13"/>
  <c r="N51" i="13" s="1"/>
  <c r="G671" i="7"/>
  <c r="G673" i="7" s="1"/>
  <c r="G675" i="7" s="1"/>
  <c r="G687" i="7" s="1"/>
  <c r="BO9" i="3"/>
  <c r="S670" i="7" s="1"/>
  <c r="S686" i="7" s="1"/>
  <c r="R670" i="7"/>
  <c r="R686" i="7" s="1"/>
  <c r="BC30" i="3"/>
  <c r="BG30" i="3"/>
  <c r="J30" i="14"/>
  <c r="AG35" i="14"/>
  <c r="DQ8" i="3"/>
  <c r="U187" i="14"/>
  <c r="J58" i="14"/>
  <c r="J39" i="14"/>
  <c r="J126" i="14" s="1"/>
  <c r="BD53" i="3"/>
  <c r="Q60" i="2"/>
  <c r="Q107" i="2" s="1"/>
  <c r="J122" i="14"/>
  <c r="AK35" i="14"/>
  <c r="K122" i="14"/>
  <c r="DN28" i="3"/>
  <c r="K478" i="7"/>
  <c r="L478" i="7"/>
  <c r="DJ28" i="3"/>
  <c r="P60" i="2"/>
  <c r="DK68" i="3"/>
  <c r="O31" i="13" s="1"/>
  <c r="BD70" i="3"/>
  <c r="BC29" i="3"/>
  <c r="BD29" i="3"/>
  <c r="BD44" i="3"/>
  <c r="O62" i="13" s="1"/>
  <c r="O95" i="13" s="1"/>
  <c r="BK9" i="3"/>
  <c r="BC44" i="3"/>
  <c r="N62" i="13" s="1"/>
  <c r="N95" i="13" s="1"/>
  <c r="BX9" i="3" l="1"/>
  <c r="BW8" i="3"/>
  <c r="O670" i="7"/>
  <c r="V12" i="2"/>
  <c r="R14" i="12"/>
  <c r="BD105" i="3"/>
  <c r="DK70" i="3"/>
  <c r="DO70" i="3"/>
  <c r="H701" i="7"/>
  <c r="H703" i="7" s="1"/>
  <c r="DO53" i="3"/>
  <c r="V6" i="2"/>
  <c r="W5" i="2"/>
  <c r="V9" i="2"/>
  <c r="N695" i="7"/>
  <c r="K696" i="7"/>
  <c r="K698" i="7" s="1"/>
  <c r="M695" i="7"/>
  <c r="L695" i="7"/>
  <c r="H679" i="7"/>
  <c r="V670" i="7"/>
  <c r="V686" i="7" s="1"/>
  <c r="BS9" i="3"/>
  <c r="W670" i="7" s="1"/>
  <c r="W686" i="7" s="1"/>
  <c r="W688" i="7" s="1"/>
  <c r="G679" i="7"/>
  <c r="G680" i="7" s="1"/>
  <c r="U188" i="14"/>
  <c r="V188" i="14"/>
  <c r="AK39" i="14"/>
  <c r="AG39" i="14"/>
  <c r="J54" i="14"/>
  <c r="J50" i="14"/>
  <c r="J53" i="14"/>
  <c r="J61" i="14"/>
  <c r="J52" i="14"/>
  <c r="K61" i="14"/>
  <c r="K126" i="14"/>
  <c r="J51" i="14"/>
  <c r="BD119" i="3"/>
  <c r="Q62" i="2"/>
  <c r="Q125" i="2" s="1"/>
  <c r="Q124" i="2" s="1"/>
  <c r="K481" i="7"/>
  <c r="L481" i="7"/>
  <c r="BD71" i="3"/>
  <c r="BD46" i="3"/>
  <c r="O64" i="13" s="1"/>
  <c r="Q43" i="2"/>
  <c r="M26" i="12" s="1"/>
  <c r="M27" i="12" s="1"/>
  <c r="Q27" i="2"/>
  <c r="H7" i="10"/>
  <c r="M14" i="5"/>
  <c r="BC46" i="3"/>
  <c r="N64" i="13" s="1"/>
  <c r="BW9" i="3" l="1"/>
  <c r="ED8" i="3"/>
  <c r="O686" i="7"/>
  <c r="O678" i="7"/>
  <c r="P678" i="7" s="1"/>
  <c r="Q678" i="7" s="1"/>
  <c r="R678" i="7" s="1"/>
  <c r="S678" i="7" s="1"/>
  <c r="T678" i="7" s="1"/>
  <c r="U678" i="7" s="1"/>
  <c r="V678" i="7" s="1"/>
  <c r="W678" i="7" s="1"/>
  <c r="W12" i="2"/>
  <c r="S14" i="12"/>
  <c r="X5" i="2"/>
  <c r="X12" i="2" s="1"/>
  <c r="W9" i="2"/>
  <c r="W6" i="2"/>
  <c r="BL28" i="3"/>
  <c r="DW28" i="3" s="1"/>
  <c r="S672" i="7"/>
  <c r="H688" i="7"/>
  <c r="H694" i="7"/>
  <c r="H680" i="7"/>
  <c r="G688" i="7"/>
  <c r="G694" i="7"/>
  <c r="DV19" i="3"/>
  <c r="V189" i="14"/>
  <c r="DR19" i="3"/>
  <c r="DO71" i="3"/>
  <c r="BD87" i="3"/>
  <c r="BD82" i="3"/>
  <c r="DK71" i="3"/>
  <c r="DO19" i="3"/>
  <c r="D796" i="7"/>
  <c r="D830" i="7" s="1"/>
  <c r="Q44" i="2"/>
  <c r="D794" i="7"/>
  <c r="D828" i="7" s="1"/>
  <c r="BK28" i="3"/>
  <c r="DV28" i="3" s="1"/>
  <c r="R27" i="2"/>
  <c r="I7" i="10"/>
  <c r="R43" i="2"/>
  <c r="N26" i="12" s="1"/>
  <c r="N24" i="12"/>
  <c r="N25" i="12" s="1"/>
  <c r="N14" i="5"/>
  <c r="H5" i="10"/>
  <c r="Q48" i="2"/>
  <c r="L202" i="7"/>
  <c r="L204" i="7" s="1"/>
  <c r="M12" i="5"/>
  <c r="Q47" i="2"/>
  <c r="M13" i="5"/>
  <c r="BD54" i="3" l="1"/>
  <c r="BD57" i="3"/>
  <c r="BD150" i="3"/>
  <c r="K4" i="14"/>
  <c r="T14" i="12"/>
  <c r="DS28" i="3"/>
  <c r="BP30" i="3"/>
  <c r="X6" i="2"/>
  <c r="Y5" i="2"/>
  <c r="X9" i="2"/>
  <c r="BL22" i="3"/>
  <c r="BP22" i="3"/>
  <c r="BL20" i="3"/>
  <c r="W49" i="13" s="1"/>
  <c r="W51" i="13" s="1"/>
  <c r="DT51" i="3"/>
  <c r="X68" i="13" s="1"/>
  <c r="T672" i="7"/>
  <c r="T673" i="7" s="1"/>
  <c r="G696" i="7"/>
  <c r="G698" i="7" s="1"/>
  <c r="G695" i="7"/>
  <c r="H696" i="7"/>
  <c r="H698" i="7" s="1"/>
  <c r="J695" i="7"/>
  <c r="H695" i="7"/>
  <c r="I695" i="7"/>
  <c r="K695" i="7"/>
  <c r="I680" i="7"/>
  <c r="DS19" i="3"/>
  <c r="BL30" i="3"/>
  <c r="BL29" i="3"/>
  <c r="BK30" i="3"/>
  <c r="BO30" i="3"/>
  <c r="N27" i="12"/>
  <c r="DK87" i="3"/>
  <c r="O83" i="13" s="1"/>
  <c r="O248" i="14"/>
  <c r="DR28" i="3"/>
  <c r="DO68" i="3"/>
  <c r="S31" i="13" s="1"/>
  <c r="AM35" i="14"/>
  <c r="E796" i="7"/>
  <c r="E830" i="7" s="1"/>
  <c r="R44" i="2"/>
  <c r="E794" i="7"/>
  <c r="E828" i="7" s="1"/>
  <c r="T27" i="2"/>
  <c r="M202" i="7"/>
  <c r="M204" i="7" s="1"/>
  <c r="R47" i="2"/>
  <c r="I5" i="10"/>
  <c r="R48" i="2"/>
  <c r="N12" i="5"/>
  <c r="N13" i="5"/>
  <c r="S43" i="2"/>
  <c r="O26" i="12" s="1"/>
  <c r="J7" i="10"/>
  <c r="DK57" i="3" l="1"/>
  <c r="DO57" i="3"/>
  <c r="Y6" i="2"/>
  <c r="Z5" i="2"/>
  <c r="AH4" i="14"/>
  <c r="AL4" i="14"/>
  <c r="K7" i="14"/>
  <c r="Y9" i="2"/>
  <c r="Y12" i="2"/>
  <c r="P671" i="7"/>
  <c r="P673" i="7" s="1"/>
  <c r="P675" i="7" s="1"/>
  <c r="P687" i="7" s="1"/>
  <c r="P694" i="7" s="1"/>
  <c r="K24" i="13"/>
  <c r="DS51" i="3"/>
  <c r="W68" i="13" s="1"/>
  <c r="K27" i="13"/>
  <c r="DT19" i="3"/>
  <c r="BL44" i="3"/>
  <c r="Q671" i="7"/>
  <c r="Q673" i="7" s="1"/>
  <c r="Q675" i="7" s="1"/>
  <c r="Q687" i="7" s="1"/>
  <c r="BM28" i="3"/>
  <c r="DX28" i="3" s="1"/>
  <c r="BM22" i="3"/>
  <c r="BQ22" i="3"/>
  <c r="T675" i="7"/>
  <c r="T687" i="7" s="1"/>
  <c r="T679" i="7"/>
  <c r="U672" i="7"/>
  <c r="U673" i="7" s="1"/>
  <c r="J680" i="7"/>
  <c r="O24" i="12"/>
  <c r="O25" i="12" s="1"/>
  <c r="BK35" i="3"/>
  <c r="S254" i="14"/>
  <c r="O254" i="14"/>
  <c r="P39" i="14"/>
  <c r="AQ39" i="14" s="1"/>
  <c r="P58" i="14"/>
  <c r="DO72" i="3"/>
  <c r="S85" i="13" s="1"/>
  <c r="DO104" i="3"/>
  <c r="BI68" i="3"/>
  <c r="DP19" i="3"/>
  <c r="DO28" i="3"/>
  <c r="F796" i="7"/>
  <c r="S44" i="2"/>
  <c r="F794" i="7"/>
  <c r="BK34" i="3"/>
  <c r="V53" i="13" s="1"/>
  <c r="BI28" i="3"/>
  <c r="BI30" i="3" s="1"/>
  <c r="DO87" i="3"/>
  <c r="S83" i="13" s="1"/>
  <c r="DO89" i="3"/>
  <c r="T43" i="2"/>
  <c r="P26" i="12" s="1"/>
  <c r="T46" i="2"/>
  <c r="P14" i="5"/>
  <c r="K7" i="10"/>
  <c r="Q14" i="5"/>
  <c r="N202" i="7"/>
  <c r="N204" i="7" s="1"/>
  <c r="J5" i="10"/>
  <c r="O12" i="5"/>
  <c r="T99" i="2" l="1"/>
  <c r="Z12" i="2"/>
  <c r="Z6" i="2"/>
  <c r="Z9" i="2"/>
  <c r="AA5" i="2"/>
  <c r="Z47" i="2"/>
  <c r="BQ30" i="3"/>
  <c r="K19" i="14"/>
  <c r="AL7" i="14"/>
  <c r="AH7" i="14"/>
  <c r="P24" i="12"/>
  <c r="P25" i="12" s="1"/>
  <c r="BM29" i="3"/>
  <c r="BN29" i="3"/>
  <c r="R671" i="7"/>
  <c r="R673" i="7" s="1"/>
  <c r="R675" i="7" s="1"/>
  <c r="R687" i="7" s="1"/>
  <c r="M24" i="13"/>
  <c r="P688" i="7"/>
  <c r="P679" i="7"/>
  <c r="BL46" i="3"/>
  <c r="W64" i="13" s="1"/>
  <c r="W62" i="13"/>
  <c r="W95" i="13" s="1"/>
  <c r="DU19" i="3"/>
  <c r="V672" i="7"/>
  <c r="V673" i="7" s="1"/>
  <c r="V675" i="7" s="1"/>
  <c r="V687" i="7" s="1"/>
  <c r="BI53" i="3"/>
  <c r="BO20" i="3"/>
  <c r="Z49" i="13" s="1"/>
  <c r="Z51" i="13" s="1"/>
  <c r="BO29" i="3"/>
  <c r="U675" i="7"/>
  <c r="U687" i="7" s="1"/>
  <c r="U679" i="7"/>
  <c r="T688" i="7"/>
  <c r="T694" i="7"/>
  <c r="T696" i="7" s="1"/>
  <c r="P696" i="7"/>
  <c r="P698" i="7" s="1"/>
  <c r="Q679" i="7"/>
  <c r="K680" i="7"/>
  <c r="O27" i="12"/>
  <c r="BO34" i="3"/>
  <c r="Z53" i="13" s="1"/>
  <c r="BO35" i="3"/>
  <c r="DT28" i="3"/>
  <c r="DT68" i="3"/>
  <c r="X31" i="13" s="1"/>
  <c r="P701" i="7"/>
  <c r="P703" i="7" s="1"/>
  <c r="BM30" i="3"/>
  <c r="BL35" i="3"/>
  <c r="Q701" i="7"/>
  <c r="Q703" i="7" s="1"/>
  <c r="BL33" i="3"/>
  <c r="BL34" i="3"/>
  <c r="W53" i="13" s="1"/>
  <c r="Q58" i="14"/>
  <c r="P54" i="14"/>
  <c r="P53" i="14"/>
  <c r="P52" i="14"/>
  <c r="P50" i="14"/>
  <c r="P51" i="14"/>
  <c r="P61" i="14"/>
  <c r="AM39" i="14"/>
  <c r="DQ19" i="3"/>
  <c r="S33" i="13"/>
  <c r="DP68" i="3"/>
  <c r="T31" i="13" s="1"/>
  <c r="BJ68" i="3"/>
  <c r="DU68" i="3" s="1"/>
  <c r="DP28" i="3"/>
  <c r="G794" i="7"/>
  <c r="G828" i="7" s="1"/>
  <c r="G796" i="7"/>
  <c r="G830" i="7" s="1"/>
  <c r="BJ28" i="3"/>
  <c r="BN30" i="3" s="1"/>
  <c r="BK20" i="3"/>
  <c r="V49" i="13" s="1"/>
  <c r="V51" i="13" s="1"/>
  <c r="DO88" i="3"/>
  <c r="BI29" i="3"/>
  <c r="T44" i="2"/>
  <c r="F828" i="7"/>
  <c r="O202" i="7"/>
  <c r="O204" i="7" s="1"/>
  <c r="F830" i="7"/>
  <c r="P13" i="5"/>
  <c r="T48" i="2"/>
  <c r="P12" i="5"/>
  <c r="K5" i="10"/>
  <c r="T47" i="2"/>
  <c r="D740" i="7"/>
  <c r="U27" i="2"/>
  <c r="U46" i="2"/>
  <c r="U43" i="2"/>
  <c r="R14" i="5"/>
  <c r="G147" i="7"/>
  <c r="G169" i="7" s="1"/>
  <c r="K180" i="7"/>
  <c r="K182" i="7" s="1"/>
  <c r="E296" i="7"/>
  <c r="E315" i="7" s="1"/>
  <c r="Z18" i="9"/>
  <c r="G20" i="10"/>
  <c r="T100" i="2" l="1"/>
  <c r="T101" i="2"/>
  <c r="BX32" i="3"/>
  <c r="BX35" i="3" s="1"/>
  <c r="U99" i="2"/>
  <c r="U100" i="2" s="1"/>
  <c r="AA12" i="2"/>
  <c r="AA9" i="2"/>
  <c r="AA6" i="2"/>
  <c r="AB5" i="2"/>
  <c r="AA47" i="2"/>
  <c r="S671" i="7"/>
  <c r="S673" i="7" s="1"/>
  <c r="S675" i="7" s="1"/>
  <c r="S687" i="7" s="1"/>
  <c r="S688" i="7" s="1"/>
  <c r="N24" i="13"/>
  <c r="P27" i="12"/>
  <c r="M701" i="7"/>
  <c r="M703" i="7" s="1"/>
  <c r="DP53" i="3"/>
  <c r="DT53" i="3"/>
  <c r="BQ33" i="3"/>
  <c r="BQ35" i="3"/>
  <c r="BQ34" i="3"/>
  <c r="AB53" i="13" s="1"/>
  <c r="BP35" i="3"/>
  <c r="BP33" i="3"/>
  <c r="BP34" i="3"/>
  <c r="AA53" i="13" s="1"/>
  <c r="DU51" i="3"/>
  <c r="Y68" i="13" s="1"/>
  <c r="M27" i="13"/>
  <c r="BJ70" i="3"/>
  <c r="R60" i="2"/>
  <c r="R107" i="2" s="1"/>
  <c r="R108" i="2" s="1"/>
  <c r="V679" i="7"/>
  <c r="BO44" i="3"/>
  <c r="DU28" i="3"/>
  <c r="V688" i="7"/>
  <c r="V694" i="7"/>
  <c r="V696" i="7" s="1"/>
  <c r="V698" i="7" s="1"/>
  <c r="U694" i="7"/>
  <c r="U696" i="7" s="1"/>
  <c r="U698" i="7" s="1"/>
  <c r="U688" i="7"/>
  <c r="R679" i="7"/>
  <c r="Q694" i="7"/>
  <c r="Q688" i="7"/>
  <c r="O671" i="7"/>
  <c r="J24" i="13"/>
  <c r="L680" i="7"/>
  <c r="Y31" i="13"/>
  <c r="BM35" i="3"/>
  <c r="R701" i="7"/>
  <c r="R703" i="7" s="1"/>
  <c r="BM34" i="3"/>
  <c r="X53" i="13" s="1"/>
  <c r="DQ28" i="3"/>
  <c r="BJ30" i="3"/>
  <c r="Z135" i="9"/>
  <c r="L399" i="14"/>
  <c r="L406" i="14" s="1"/>
  <c r="Q54" i="14"/>
  <c r="Q52" i="14"/>
  <c r="Q53" i="14"/>
  <c r="Q50" i="14"/>
  <c r="Q61" i="14"/>
  <c r="Q51" i="14"/>
  <c r="H796" i="7"/>
  <c r="H830" i="7" s="1"/>
  <c r="Q24" i="12"/>
  <c r="H794" i="7"/>
  <c r="H828" i="7" s="1"/>
  <c r="Q26" i="12"/>
  <c r="DP72" i="3"/>
  <c r="T85" i="13" s="1"/>
  <c r="T245" i="14"/>
  <c r="T253" i="14" s="1"/>
  <c r="DQ68" i="3"/>
  <c r="U31" i="13" s="1"/>
  <c r="DO117" i="3"/>
  <c r="DO120" i="3"/>
  <c r="BI33" i="3"/>
  <c r="BI70" i="3"/>
  <c r="DP89" i="3"/>
  <c r="BJ29" i="3"/>
  <c r="BK29" i="3"/>
  <c r="U44" i="2"/>
  <c r="Q12" i="5"/>
  <c r="Q13" i="5"/>
  <c r="S14" i="5"/>
  <c r="V27" i="2"/>
  <c r="V46" i="2"/>
  <c r="V43" i="2"/>
  <c r="U48" i="2"/>
  <c r="U47" i="2"/>
  <c r="BX34" i="3" l="1"/>
  <c r="BX33" i="3"/>
  <c r="R24" i="12"/>
  <c r="R25" i="12" s="1"/>
  <c r="V99" i="2"/>
  <c r="V100" i="2" s="1"/>
  <c r="AB47" i="2"/>
  <c r="AB12" i="2"/>
  <c r="AC5" i="2"/>
  <c r="AB9" i="2"/>
  <c r="AB6" i="2"/>
  <c r="I794" i="7"/>
  <c r="I828" i="7" s="1"/>
  <c r="R26" i="12"/>
  <c r="S679" i="7"/>
  <c r="BO46" i="3"/>
  <c r="Z64" i="13" s="1"/>
  <c r="Z62" i="13"/>
  <c r="Z95" i="13" s="1"/>
  <c r="DP70" i="3"/>
  <c r="DT70" i="3"/>
  <c r="I796" i="7"/>
  <c r="I830" i="7" s="1"/>
  <c r="BJ105" i="3"/>
  <c r="DQ70" i="3"/>
  <c r="DU70" i="3"/>
  <c r="S282" i="14"/>
  <c r="S151" i="13"/>
  <c r="R62" i="2"/>
  <c r="R125" i="2" s="1"/>
  <c r="R124" i="2" s="1"/>
  <c r="T124" i="2" s="1"/>
  <c r="U124" i="2" s="1"/>
  <c r="V124" i="2" s="1"/>
  <c r="W124" i="2" s="1"/>
  <c r="X124" i="2" s="1"/>
  <c r="Y124" i="2" s="1"/>
  <c r="Z124" i="2" s="1"/>
  <c r="BI71" i="3"/>
  <c r="BJ71" i="3"/>
  <c r="BI105" i="3"/>
  <c r="Q696" i="7"/>
  <c r="Q698" i="7" s="1"/>
  <c r="R694" i="7"/>
  <c r="R688" i="7"/>
  <c r="O673" i="7"/>
  <c r="O675" i="7" s="1"/>
  <c r="O687" i="7" s="1"/>
  <c r="M680" i="7"/>
  <c r="BO33" i="3"/>
  <c r="Q27" i="12"/>
  <c r="Q25" i="12"/>
  <c r="BI119" i="3"/>
  <c r="DP104" i="3"/>
  <c r="BJ53" i="3"/>
  <c r="BJ33" i="3"/>
  <c r="BI88" i="3"/>
  <c r="BK33" i="3"/>
  <c r="V44" i="2"/>
  <c r="R12" i="5"/>
  <c r="R13" i="5"/>
  <c r="V48" i="2"/>
  <c r="V47" i="2"/>
  <c r="W27" i="2"/>
  <c r="W46" i="2"/>
  <c r="W43" i="2"/>
  <c r="U14" i="5"/>
  <c r="T14" i="5"/>
  <c r="E297" i="7"/>
  <c r="E298" i="7" s="1"/>
  <c r="Z19" i="9"/>
  <c r="Z143" i="9" s="1"/>
  <c r="G22" i="10"/>
  <c r="N21" i="6"/>
  <c r="Z177" i="9" s="1"/>
  <c r="R27" i="12" l="1"/>
  <c r="S24" i="12"/>
  <c r="T24" i="12" s="1"/>
  <c r="W99" i="2"/>
  <c r="W100" i="2" s="1"/>
  <c r="AA124" i="2"/>
  <c r="Z125" i="2"/>
  <c r="Z62" i="2" s="1"/>
  <c r="Z142" i="2" s="1"/>
  <c r="Z143" i="2" s="1"/>
  <c r="AC12" i="2"/>
  <c r="AC9" i="2"/>
  <c r="AD5" i="2"/>
  <c r="AC6" i="2"/>
  <c r="AC47" i="2"/>
  <c r="J794" i="7"/>
  <c r="J828" i="7" s="1"/>
  <c r="S26" i="12"/>
  <c r="J796" i="7"/>
  <c r="J830" i="7" s="1"/>
  <c r="DQ53" i="3"/>
  <c r="DU53" i="3"/>
  <c r="R696" i="7"/>
  <c r="R698" i="7" s="1"/>
  <c r="O688" i="7"/>
  <c r="O679" i="7"/>
  <c r="N680" i="7"/>
  <c r="Q76" i="14"/>
  <c r="N701" i="7"/>
  <c r="N703" i="7" s="1"/>
  <c r="DP88" i="3"/>
  <c r="DT88" i="3"/>
  <c r="BI82" i="3"/>
  <c r="DP71" i="3"/>
  <c r="BI87" i="3"/>
  <c r="BI57" i="3" s="1"/>
  <c r="DP57" i="3" s="1"/>
  <c r="T33" i="13"/>
  <c r="DP117" i="3"/>
  <c r="DP120" i="3"/>
  <c r="G152" i="7"/>
  <c r="G174" i="7" s="1"/>
  <c r="W44" i="2"/>
  <c r="S12" i="5"/>
  <c r="S13" i="5"/>
  <c r="Y27" i="2"/>
  <c r="Y46" i="2"/>
  <c r="Y43" i="2"/>
  <c r="X27" i="2"/>
  <c r="X46" i="2"/>
  <c r="X43" i="2"/>
  <c r="K794" i="7" s="1"/>
  <c r="K828" i="7" s="1"/>
  <c r="W48" i="2"/>
  <c r="W47" i="2"/>
  <c r="E316" i="7"/>
  <c r="DJ50" i="3"/>
  <c r="N67" i="13" s="1"/>
  <c r="DJ51" i="3"/>
  <c r="N68" i="13" s="1"/>
  <c r="DJ52" i="3"/>
  <c r="N69" i="13" s="1"/>
  <c r="P140" i="2"/>
  <c r="DJ117" i="3"/>
  <c r="S25" i="12" l="1"/>
  <c r="T25" i="12" s="1"/>
  <c r="Y99" i="2"/>
  <c r="Z99" i="2"/>
  <c r="K796" i="7"/>
  <c r="K830" i="7" s="1"/>
  <c r="X99" i="2"/>
  <c r="X100" i="2" s="1"/>
  <c r="P4" i="14"/>
  <c r="P7" i="14" s="1"/>
  <c r="BI54" i="3"/>
  <c r="AD9" i="2"/>
  <c r="AD6" i="2"/>
  <c r="AD12" i="2"/>
  <c r="AD47" i="2"/>
  <c r="L794" i="7"/>
  <c r="M794" i="7" s="1"/>
  <c r="M828" i="7" s="1"/>
  <c r="Z114" i="2"/>
  <c r="Z44" i="2"/>
  <c r="L796" i="7"/>
  <c r="M796" i="7" s="1"/>
  <c r="M830" i="7" s="1"/>
  <c r="Z48" i="2"/>
  <c r="AB124" i="2"/>
  <c r="AA125" i="2"/>
  <c r="AA62" i="2" s="1"/>
  <c r="AA142" i="2" s="1"/>
  <c r="AA143" i="2" s="1"/>
  <c r="S27" i="12"/>
  <c r="T26" i="12"/>
  <c r="BS35" i="3"/>
  <c r="BS33" i="3"/>
  <c r="BS34" i="3"/>
  <c r="AD53" i="13" s="1"/>
  <c r="T282" i="14"/>
  <c r="T151" i="13"/>
  <c r="N282" i="14"/>
  <c r="N151" i="13"/>
  <c r="O680" i="7"/>
  <c r="DP87" i="3"/>
  <c r="T83" i="13" s="1"/>
  <c r="T248" i="14"/>
  <c r="T254" i="14" s="1"/>
  <c r="G153" i="7"/>
  <c r="X44" i="2"/>
  <c r="U12" i="5"/>
  <c r="U13" i="5"/>
  <c r="T12" i="5"/>
  <c r="T13" i="5"/>
  <c r="X47" i="2"/>
  <c r="X48" i="2"/>
  <c r="Y44" i="2"/>
  <c r="Y47" i="2"/>
  <c r="Y48" i="2"/>
  <c r="P135" i="2"/>
  <c r="AM4" i="14" l="1"/>
  <c r="Z100" i="2"/>
  <c r="AA100" i="2"/>
  <c r="Y100" i="2"/>
  <c r="L828" i="7"/>
  <c r="L830" i="7"/>
  <c r="Z117" i="2"/>
  <c r="AA115" i="2"/>
  <c r="AC124" i="2"/>
  <c r="AB125" i="2"/>
  <c r="AB62" i="2" s="1"/>
  <c r="AB142" i="2" s="1"/>
  <c r="AB143" i="2" s="1"/>
  <c r="P19" i="14"/>
  <c r="AM7" i="14"/>
  <c r="P680" i="7"/>
  <c r="Y49" i="2"/>
  <c r="P136" i="2"/>
  <c r="P138" i="2"/>
  <c r="AD124" i="2" l="1"/>
  <c r="AD125" i="2" s="1"/>
  <c r="AD62" i="2" s="1"/>
  <c r="AD142" i="2" s="1"/>
  <c r="AD143" i="2" s="1"/>
  <c r="AC125" i="2"/>
  <c r="AC62" i="2" s="1"/>
  <c r="AC142" i="2" s="1"/>
  <c r="AC143" i="2" s="1"/>
  <c r="Q680" i="7"/>
  <c r="DJ125" i="3"/>
  <c r="BC130" i="3"/>
  <c r="N75" i="13" s="1"/>
  <c r="R680" i="7" l="1"/>
  <c r="DJ140" i="3"/>
  <c r="BC184" i="3"/>
  <c r="BC169" i="3"/>
  <c r="J192" i="13" l="1"/>
  <c r="DN169" i="3"/>
  <c r="N281" i="14"/>
  <c r="N149" i="13"/>
  <c r="S680" i="7"/>
  <c r="BC185" i="3"/>
  <c r="BD185" i="3"/>
  <c r="BC202" i="3"/>
  <c r="BC172" i="3"/>
  <c r="BC173" i="3" s="1"/>
  <c r="T680" i="7" l="1"/>
  <c r="BC205" i="3"/>
  <c r="BC208" i="3"/>
  <c r="U680" i="7" l="1"/>
  <c r="BC210" i="3"/>
  <c r="N62" i="6"/>
  <c r="N63" i="6" s="1"/>
  <c r="G23" i="10" l="1"/>
  <c r="G154" i="7"/>
  <c r="G155" i="7" s="1"/>
  <c r="G176" i="7" s="1"/>
  <c r="V680" i="7"/>
  <c r="W680" i="7"/>
  <c r="N23" i="6"/>
  <c r="Z180" i="9" s="1"/>
  <c r="E299" i="7"/>
  <c r="E301" i="7" s="1"/>
  <c r="E318" i="7" s="1"/>
  <c r="K185" i="7"/>
  <c r="K190" i="7" s="1"/>
  <c r="Z22" i="9"/>
  <c r="G175" i="7" l="1"/>
  <c r="E317" i="7"/>
  <c r="Z150" i="9"/>
  <c r="Z156" i="9" s="1"/>
  <c r="L388" i="14"/>
  <c r="E300" i="7"/>
  <c r="L37" i="5"/>
  <c r="Z23" i="9"/>
  <c r="Z24" i="9" s="1"/>
  <c r="K187" i="7"/>
  <c r="K192" i="7" s="1"/>
  <c r="K197" i="7"/>
  <c r="K207" i="7" s="1"/>
  <c r="K209" i="7" s="1"/>
  <c r="Z33" i="9"/>
  <c r="K199" i="7" l="1"/>
  <c r="Z109" i="9"/>
  <c r="L393" i="14" s="1"/>
  <c r="AA20" i="9" l="1"/>
  <c r="DJ72" i="3"/>
  <c r="N85" i="13" s="1"/>
  <c r="BC89" i="3"/>
  <c r="BC73" i="3"/>
  <c r="N76" i="13" s="1"/>
  <c r="N150" i="13" s="1"/>
  <c r="BC88" i="3"/>
  <c r="BC118" i="3"/>
  <c r="DJ88" i="3" l="1"/>
  <c r="DN88" i="3"/>
  <c r="BG91" i="3"/>
  <c r="DN89" i="3"/>
  <c r="N74" i="13"/>
  <c r="N152" i="13" s="1"/>
  <c r="BD90" i="3"/>
  <c r="DJ89" i="3"/>
  <c r="BC91" i="3"/>
  <c r="BC90" i="3"/>
  <c r="BC160" i="3"/>
  <c r="J188" i="13" s="1"/>
  <c r="DJ104" i="3"/>
  <c r="N33" i="13" l="1"/>
  <c r="DJ67" i="3"/>
  <c r="N30" i="13" s="1"/>
  <c r="DJ68" i="3"/>
  <c r="N31" i="13" s="1"/>
  <c r="DJ69" i="3"/>
  <c r="N32" i="13" s="1"/>
  <c r="BC70" i="3"/>
  <c r="BC105" i="3" l="1"/>
  <c r="DN70" i="3"/>
  <c r="BC71" i="3"/>
  <c r="DN71" i="3" s="1"/>
  <c r="P62" i="2"/>
  <c r="BC119" i="3"/>
  <c r="BC33" i="3"/>
  <c r="BC34" i="3"/>
  <c r="N53" i="13" s="1"/>
  <c r="BC35" i="3"/>
  <c r="BC87" i="3" l="1"/>
  <c r="DJ71" i="3"/>
  <c r="BC82" i="3"/>
  <c r="P125" i="2"/>
  <c r="P124" i="2" s="1"/>
  <c r="P142" i="2"/>
  <c r="BC54" i="3" l="1"/>
  <c r="BC57" i="3"/>
  <c r="DN57" i="3" s="1"/>
  <c r="BC150" i="3"/>
  <c r="J4" i="14"/>
  <c r="DN87" i="3"/>
  <c r="R83" i="13" s="1"/>
  <c r="N248" i="14"/>
  <c r="N254" i="14" s="1"/>
  <c r="DJ87" i="3"/>
  <c r="N83" i="13" s="1"/>
  <c r="D987" i="7"/>
  <c r="T987" i="7" s="1"/>
  <c r="Q142" i="2"/>
  <c r="E987" i="7"/>
  <c r="U987" i="7" s="1"/>
  <c r="AK4" i="14" l="1"/>
  <c r="AG4" i="14"/>
  <c r="J7" i="14"/>
  <c r="R254" i="14"/>
  <c r="R142" i="2"/>
  <c r="AK7" i="14" l="1"/>
  <c r="AG7" i="14"/>
  <c r="J19" i="14"/>
  <c r="U125" i="2"/>
  <c r="U62" i="2" s="1"/>
  <c r="U142" i="2" l="1"/>
  <c r="H987" i="7"/>
  <c r="X987" i="7" s="1"/>
  <c r="V125" i="2"/>
  <c r="V62" i="2" s="1"/>
  <c r="V142" i="2" l="1"/>
  <c r="I987" i="7"/>
  <c r="Y987" i="7" s="1"/>
  <c r="W125" i="2"/>
  <c r="W62" i="2" s="1"/>
  <c r="W142" i="2" l="1"/>
  <c r="J987" i="7"/>
  <c r="Z987" i="7" s="1"/>
  <c r="Y125" i="2"/>
  <c r="Y62" i="2" s="1"/>
  <c r="Y142" i="2" s="1"/>
  <c r="X125" i="2"/>
  <c r="X62" i="2" s="1"/>
  <c r="X142" i="2" s="1"/>
  <c r="N249" i="7"/>
  <c r="N255" i="7" s="1"/>
  <c r="N250" i="7"/>
  <c r="N256" i="7" s="1"/>
  <c r="N251" i="7"/>
  <c r="N257" i="7" s="1"/>
  <c r="P63" i="2"/>
  <c r="P105" i="2"/>
  <c r="Q106" i="2" s="1"/>
  <c r="P107" i="2"/>
  <c r="Q108" i="2" s="1"/>
  <c r="P109" i="2"/>
  <c r="G12" i="10"/>
  <c r="G13" i="10"/>
  <c r="G14" i="10"/>
  <c r="P99" i="2" l="1"/>
  <c r="P100" i="2" s="1"/>
  <c r="P92" i="2"/>
  <c r="P93" i="2" s="1"/>
  <c r="P81" i="2"/>
  <c r="P119" i="2" s="1"/>
  <c r="P120" i="2" s="1"/>
  <c r="P64" i="2"/>
  <c r="P110" i="2"/>
  <c r="Q110" i="2"/>
  <c r="I13" i="10"/>
  <c r="D984" i="7"/>
  <c r="T984" i="7" s="1"/>
  <c r="G15" i="10"/>
  <c r="G17" i="10" s="1"/>
  <c r="G19" i="10" s="1"/>
  <c r="P106" i="2"/>
  <c r="P85" i="2"/>
  <c r="P143" i="2" s="1"/>
  <c r="O249" i="7"/>
  <c r="O255" i="7" s="1"/>
  <c r="N252" i="7"/>
  <c r="N258" i="7" s="1"/>
  <c r="H12" i="10"/>
  <c r="P108" i="2"/>
  <c r="P83" i="2" l="1"/>
  <c r="P82" i="2"/>
  <c r="P121" i="2"/>
  <c r="P127" i="2"/>
  <c r="P114" i="2"/>
  <c r="P115" i="2" s="1"/>
  <c r="S107" i="2"/>
  <c r="P250" i="7"/>
  <c r="E985" i="7"/>
  <c r="U985" i="7" s="1"/>
  <c r="D985" i="7"/>
  <c r="T985" i="7" s="1"/>
  <c r="P86" i="2"/>
  <c r="G149" i="7"/>
  <c r="G150" i="7" s="1"/>
  <c r="G172" i="7" s="1"/>
  <c r="P141" i="2"/>
  <c r="N253" i="7"/>
  <c r="O250" i="7"/>
  <c r="H13" i="10"/>
  <c r="S105" i="2"/>
  <c r="P128" i="2" l="1"/>
  <c r="U6" i="1"/>
  <c r="P117" i="2"/>
  <c r="P148" i="2"/>
  <c r="L36" i="5"/>
  <c r="P133" i="2"/>
  <c r="DR68" i="3"/>
  <c r="V31" i="13" s="1"/>
  <c r="T107" i="2"/>
  <c r="T60" i="2" s="1"/>
  <c r="G985" i="7" s="1"/>
  <c r="W985" i="7" s="1"/>
  <c r="D986" i="7"/>
  <c r="T986" i="7" s="1"/>
  <c r="E984" i="7"/>
  <c r="U984" i="7" s="1"/>
  <c r="G171" i="7"/>
  <c r="O251" i="7"/>
  <c r="O257" i="7" s="1"/>
  <c r="H14" i="10"/>
  <c r="H15" i="10" s="1"/>
  <c r="H17" i="10" s="1"/>
  <c r="P249" i="7"/>
  <c r="I12" i="10"/>
  <c r="T105" i="2"/>
  <c r="O256" i="7"/>
  <c r="P256" i="7" s="1"/>
  <c r="S109" i="2"/>
  <c r="Q63" i="2"/>
  <c r="Q92" i="2" s="1"/>
  <c r="Q93" i="2" s="1"/>
  <c r="Q64" i="2" l="1"/>
  <c r="Q99" i="2"/>
  <c r="DR51" i="3"/>
  <c r="V68" i="13" s="1"/>
  <c r="J27" i="13"/>
  <c r="R250" i="7"/>
  <c r="S250" i="7" s="1"/>
  <c r="K13" i="10"/>
  <c r="D988" i="7"/>
  <c r="T988" i="7" s="1"/>
  <c r="DR67" i="3"/>
  <c r="V30" i="13" s="1"/>
  <c r="U107" i="2"/>
  <c r="V107" i="2" s="1"/>
  <c r="W107" i="2" s="1"/>
  <c r="BK53" i="3"/>
  <c r="E986" i="7"/>
  <c r="U986" i="7" s="1"/>
  <c r="O252" i="7"/>
  <c r="O258" i="7" s="1"/>
  <c r="Q85" i="2"/>
  <c r="Q141" i="2" s="1"/>
  <c r="C300" i="14" s="1"/>
  <c r="Q81" i="2"/>
  <c r="Q119" i="2" s="1"/>
  <c r="P251" i="7"/>
  <c r="P257" i="7" s="1"/>
  <c r="I14" i="10"/>
  <c r="I15" i="10" s="1"/>
  <c r="I17" i="10" s="1"/>
  <c r="T109" i="2"/>
  <c r="T59" i="2"/>
  <c r="G984" i="7" s="1"/>
  <c r="W984" i="7" s="1"/>
  <c r="U105" i="2"/>
  <c r="P255" i="7"/>
  <c r="R63" i="2"/>
  <c r="Q100" i="2" l="1"/>
  <c r="Q101" i="2"/>
  <c r="R99" i="2"/>
  <c r="R92" i="2"/>
  <c r="R93" i="2" s="1"/>
  <c r="R64" i="2"/>
  <c r="S64" i="2"/>
  <c r="O701" i="7"/>
  <c r="O703" i="7" s="1"/>
  <c r="DR53" i="3"/>
  <c r="DR50" i="3"/>
  <c r="V67" i="13" s="1"/>
  <c r="J26" i="13"/>
  <c r="E988" i="7"/>
  <c r="U988" i="7" s="1"/>
  <c r="V60" i="2"/>
  <c r="I985" i="7" s="1"/>
  <c r="Y985" i="7" s="1"/>
  <c r="DR69" i="3"/>
  <c r="V32" i="13" s="1"/>
  <c r="U60" i="2"/>
  <c r="H985" i="7" s="1"/>
  <c r="X985" i="7" s="1"/>
  <c r="Q120" i="2"/>
  <c r="Q121" i="2"/>
  <c r="DR52" i="3"/>
  <c r="V69" i="13" s="1"/>
  <c r="O253" i="7"/>
  <c r="P252" i="7"/>
  <c r="P253" i="7" s="1"/>
  <c r="X107" i="2"/>
  <c r="W60" i="2"/>
  <c r="J985" i="7" s="1"/>
  <c r="Z985" i="7" s="1"/>
  <c r="U59" i="2"/>
  <c r="H984" i="7" s="1"/>
  <c r="X984" i="7" s="1"/>
  <c r="V105" i="2"/>
  <c r="U109" i="2"/>
  <c r="T61" i="2"/>
  <c r="R249" i="7"/>
  <c r="K12" i="10"/>
  <c r="T250" i="7"/>
  <c r="R81" i="2"/>
  <c r="R85" i="2"/>
  <c r="R141" i="2" s="1"/>
  <c r="D300" i="14" s="1"/>
  <c r="Q82" i="2"/>
  <c r="Q114" i="2"/>
  <c r="Q127" i="2"/>
  <c r="Q83" i="2"/>
  <c r="H149" i="7"/>
  <c r="H171" i="7" s="1"/>
  <c r="Q86" i="2"/>
  <c r="R119" i="2" l="1"/>
  <c r="S119" i="2" s="1"/>
  <c r="R83" i="2"/>
  <c r="R100" i="2"/>
  <c r="R101" i="2"/>
  <c r="S100" i="2"/>
  <c r="Q148" i="2"/>
  <c r="V6" i="1"/>
  <c r="G986" i="7"/>
  <c r="W986" i="7" s="1"/>
  <c r="P258" i="7"/>
  <c r="S249" i="7"/>
  <c r="Y107" i="2"/>
  <c r="X60" i="2"/>
  <c r="Q117" i="2"/>
  <c r="Q115" i="2"/>
  <c r="R86" i="2"/>
  <c r="R82" i="2"/>
  <c r="R127" i="2"/>
  <c r="R114" i="2"/>
  <c r="R251" i="7"/>
  <c r="K14" i="10"/>
  <c r="K15" i="10" s="1"/>
  <c r="Q143" i="2"/>
  <c r="U250" i="7"/>
  <c r="V109" i="2"/>
  <c r="U61" i="2"/>
  <c r="Q128" i="2"/>
  <c r="D5" i="15"/>
  <c r="D7" i="15" s="1"/>
  <c r="M36" i="5"/>
  <c r="V59" i="2"/>
  <c r="I984" i="7" s="1"/>
  <c r="Y984" i="7" s="1"/>
  <c r="W105" i="2"/>
  <c r="R121" i="2" l="1"/>
  <c r="R120" i="2"/>
  <c r="U93" i="2"/>
  <c r="R148" i="2"/>
  <c r="W6" i="1"/>
  <c r="Y60" i="2"/>
  <c r="Z107" i="2"/>
  <c r="I417" i="14"/>
  <c r="BO191" i="3"/>
  <c r="BO73" i="3"/>
  <c r="G371" i="14" s="1"/>
  <c r="H371" i="14" s="1"/>
  <c r="S697" i="7"/>
  <c r="BO149" i="3"/>
  <c r="N5" i="13"/>
  <c r="BO89" i="3"/>
  <c r="BO87" i="3"/>
  <c r="S121" i="2"/>
  <c r="T119" i="2"/>
  <c r="D981" i="7"/>
  <c r="T981" i="7" s="1"/>
  <c r="E596" i="7"/>
  <c r="E604" i="7" s="1"/>
  <c r="H986" i="7"/>
  <c r="X986" i="7" s="1"/>
  <c r="D792" i="7"/>
  <c r="C20" i="12"/>
  <c r="R252" i="7"/>
  <c r="Q133" i="2"/>
  <c r="R143" i="2"/>
  <c r="T249" i="7"/>
  <c r="X105" i="2"/>
  <c r="W59" i="2"/>
  <c r="J984" i="7" s="1"/>
  <c r="Z984" i="7" s="1"/>
  <c r="R128" i="2"/>
  <c r="N36" i="5"/>
  <c r="W109" i="2"/>
  <c r="V61" i="2"/>
  <c r="V250" i="7"/>
  <c r="H147" i="7"/>
  <c r="L180" i="7"/>
  <c r="L182" i="7" s="1"/>
  <c r="E584" i="7"/>
  <c r="AA18" i="9"/>
  <c r="H20" i="10"/>
  <c r="H19" i="10" s="1"/>
  <c r="D995" i="7"/>
  <c r="Q149" i="2"/>
  <c r="R115" i="2"/>
  <c r="R117" i="2"/>
  <c r="I986" i="7" l="1"/>
  <c r="Y986" i="7" s="1"/>
  <c r="V93" i="2"/>
  <c r="DV191" i="3"/>
  <c r="DZ191" i="3"/>
  <c r="DZ149" i="3"/>
  <c r="DZ87" i="3"/>
  <c r="BO57" i="3"/>
  <c r="V4" i="14"/>
  <c r="BO54" i="3"/>
  <c r="Z60" i="2"/>
  <c r="AA107" i="2"/>
  <c r="BO150" i="3"/>
  <c r="N6" i="13"/>
  <c r="BO192" i="3"/>
  <c r="BO142" i="3"/>
  <c r="BO141" i="3"/>
  <c r="I423" i="14"/>
  <c r="I435" i="14" s="1"/>
  <c r="BO88" i="3"/>
  <c r="BO118" i="3"/>
  <c r="BO120" i="3"/>
  <c r="DZ120" i="3" s="1"/>
  <c r="BO90" i="3"/>
  <c r="AA135" i="9"/>
  <c r="M399" i="14"/>
  <c r="M406" i="14" s="1"/>
  <c r="H988" i="7"/>
  <c r="X988" i="7" s="1"/>
  <c r="U119" i="2"/>
  <c r="T121" i="2"/>
  <c r="D736" i="7"/>
  <c r="E597" i="7"/>
  <c r="U85" i="2"/>
  <c r="D997" i="7"/>
  <c r="T995" i="7"/>
  <c r="D19" i="15"/>
  <c r="D20" i="15" s="1"/>
  <c r="D21" i="15" s="1"/>
  <c r="S252" i="7"/>
  <c r="S251" i="7" s="1"/>
  <c r="V85" i="2"/>
  <c r="X59" i="2"/>
  <c r="Y105" i="2"/>
  <c r="H169" i="7"/>
  <c r="H150" i="7"/>
  <c r="H172" i="7" s="1"/>
  <c r="R149" i="2"/>
  <c r="F551" i="7"/>
  <c r="W61" i="2"/>
  <c r="X109" i="2"/>
  <c r="W250" i="7"/>
  <c r="U249" i="7"/>
  <c r="J986" i="7" l="1"/>
  <c r="Z986" i="7" s="1"/>
  <c r="W93" i="2"/>
  <c r="V7" i="14"/>
  <c r="AW7" i="14" s="1"/>
  <c r="AW4" i="14"/>
  <c r="DV192" i="3"/>
  <c r="DZ192" i="3"/>
  <c r="DZ57" i="3"/>
  <c r="AB107" i="2"/>
  <c r="AA60" i="2"/>
  <c r="Y59" i="2"/>
  <c r="Z105" i="2"/>
  <c r="BO143" i="3"/>
  <c r="V17" i="14"/>
  <c r="AF140" i="2"/>
  <c r="Z76" i="13"/>
  <c r="Z150" i="13" s="1"/>
  <c r="N10" i="13"/>
  <c r="Z74" i="13"/>
  <c r="Z152" i="13" s="1"/>
  <c r="N8" i="13"/>
  <c r="BO194" i="3"/>
  <c r="D446" i="14"/>
  <c r="D441" i="14"/>
  <c r="M180" i="7"/>
  <c r="M182" i="7" s="1"/>
  <c r="E792" i="7"/>
  <c r="G296" i="7"/>
  <c r="G315" i="7" s="1"/>
  <c r="E995" i="7"/>
  <c r="U995" i="7" s="1"/>
  <c r="D1024" i="7"/>
  <c r="D1036" i="7" s="1"/>
  <c r="E5" i="15"/>
  <c r="F5" i="15" s="1"/>
  <c r="F7" i="15" s="1"/>
  <c r="G7" i="15" s="1"/>
  <c r="H7" i="15" s="1"/>
  <c r="I7" i="15" s="1"/>
  <c r="J7" i="15" s="1"/>
  <c r="K7" i="15" s="1"/>
  <c r="L7" i="15" s="1"/>
  <c r="D1022" i="7"/>
  <c r="D1034" i="7" s="1"/>
  <c r="V119" i="2"/>
  <c r="U121" i="2"/>
  <c r="AB18" i="9"/>
  <c r="D20" i="12"/>
  <c r="F596" i="7"/>
  <c r="F602" i="7" s="1"/>
  <c r="G602" i="7" s="1"/>
  <c r="F597" i="7"/>
  <c r="F601" i="7" s="1"/>
  <c r="I20" i="10"/>
  <c r="I19" i="10" s="1"/>
  <c r="E981" i="7"/>
  <c r="U981" i="7" s="1"/>
  <c r="U83" i="2"/>
  <c r="U140" i="2"/>
  <c r="U143" i="2" s="1"/>
  <c r="U114" i="2"/>
  <c r="U117" i="2" s="1"/>
  <c r="T518" i="7"/>
  <c r="E598" i="7"/>
  <c r="E599" i="7" s="1"/>
  <c r="O62" i="6"/>
  <c r="O63" i="6" s="1"/>
  <c r="D998" i="7"/>
  <c r="D798" i="7"/>
  <c r="D799" i="7" s="1"/>
  <c r="D992" i="7"/>
  <c r="H23" i="10"/>
  <c r="D801" i="7"/>
  <c r="D803" i="7" s="1"/>
  <c r="E587" i="7"/>
  <c r="E588" i="7" s="1"/>
  <c r="O23" i="6"/>
  <c r="L185" i="7"/>
  <c r="L190" i="7" s="1"/>
  <c r="AA22" i="9"/>
  <c r="T252" i="7"/>
  <c r="T251" i="7" s="1"/>
  <c r="H154" i="7"/>
  <c r="H175" i="7" s="1"/>
  <c r="E19" i="15"/>
  <c r="E20" i="15" s="1"/>
  <c r="W85" i="2"/>
  <c r="X61" i="2"/>
  <c r="Y109" i="2"/>
  <c r="V249" i="7"/>
  <c r="D737" i="7"/>
  <c r="E585" i="7"/>
  <c r="E586" i="7" s="1"/>
  <c r="AA19" i="9"/>
  <c r="AA143" i="9" s="1"/>
  <c r="H22" i="10"/>
  <c r="C299" i="14"/>
  <c r="O21" i="6"/>
  <c r="X250" i="7"/>
  <c r="V83" i="2"/>
  <c r="V127" i="2"/>
  <c r="AA6" i="1" s="1"/>
  <c r="AA8" i="1" s="1"/>
  <c r="V82" i="2"/>
  <c r="V114" i="2"/>
  <c r="V86" i="2"/>
  <c r="V140" i="2"/>
  <c r="X93" i="2" l="1"/>
  <c r="V19" i="14"/>
  <c r="DZ194" i="3"/>
  <c r="AC232" i="1"/>
  <c r="AC225" i="1"/>
  <c r="AC219" i="1"/>
  <c r="AC222" i="1"/>
  <c r="AC229" i="1"/>
  <c r="Q36" i="5"/>
  <c r="Z6" i="1"/>
  <c r="Z8" i="1" s="1"/>
  <c r="Y61" i="2"/>
  <c r="Z109" i="2"/>
  <c r="AA105" i="2"/>
  <c r="Z59" i="2"/>
  <c r="AB60" i="2"/>
  <c r="AC107" i="2"/>
  <c r="C13" i="12"/>
  <c r="AA180" i="9"/>
  <c r="C12" i="12"/>
  <c r="C21" i="12" s="1"/>
  <c r="C22" i="12" s="1"/>
  <c r="AA177" i="9"/>
  <c r="AA150" i="9"/>
  <c r="AA156" i="9" s="1"/>
  <c r="M388" i="14"/>
  <c r="AB135" i="9"/>
  <c r="N399" i="14"/>
  <c r="N406" i="14" s="1"/>
  <c r="F20" i="15"/>
  <c r="E7" i="15"/>
  <c r="F8" i="15" s="1"/>
  <c r="E6" i="15"/>
  <c r="F604" i="7"/>
  <c r="W119" i="2"/>
  <c r="V121" i="2"/>
  <c r="E997" i="7"/>
  <c r="Z11" i="1"/>
  <c r="U147" i="2"/>
  <c r="H602" i="7"/>
  <c r="G604" i="7"/>
  <c r="E801" i="7"/>
  <c r="E803" i="7" s="1"/>
  <c r="F598" i="7"/>
  <c r="V518" i="7"/>
  <c r="T998" i="7"/>
  <c r="D999" i="7"/>
  <c r="D804" i="7"/>
  <c r="D805" i="7" s="1"/>
  <c r="T992" i="7"/>
  <c r="D993" i="7"/>
  <c r="D802" i="7"/>
  <c r="D996" i="7"/>
  <c r="T996" i="7" s="1"/>
  <c r="P23" i="6"/>
  <c r="G299" i="7"/>
  <c r="G300" i="7" s="1"/>
  <c r="M185" i="7"/>
  <c r="M187" i="7" s="1"/>
  <c r="AB22" i="9"/>
  <c r="I23" i="10"/>
  <c r="E589" i="7"/>
  <c r="L187" i="7"/>
  <c r="L199" i="7" s="1"/>
  <c r="L197" i="7"/>
  <c r="L207" i="7" s="1"/>
  <c r="L209" i="7" s="1"/>
  <c r="U252" i="7"/>
  <c r="U251" i="7" s="1"/>
  <c r="W249" i="7"/>
  <c r="H152" i="7"/>
  <c r="C23" i="12"/>
  <c r="V115" i="2"/>
  <c r="V117" i="2"/>
  <c r="AA23" i="9"/>
  <c r="M37" i="5"/>
  <c r="Y250" i="7"/>
  <c r="Z82" i="2"/>
  <c r="Y85" i="2"/>
  <c r="Z86" i="2" s="1"/>
  <c r="V147" i="2"/>
  <c r="AA43" i="1" s="1"/>
  <c r="AA45" i="1" s="1"/>
  <c r="V128" i="2"/>
  <c r="R36" i="5"/>
  <c r="W114" i="2"/>
  <c r="W83" i="2"/>
  <c r="W127" i="2"/>
  <c r="AB6" i="1" s="1"/>
  <c r="AB8" i="1" s="1"/>
  <c r="W82" i="2"/>
  <c r="AA11" i="1"/>
  <c r="V143" i="2"/>
  <c r="W86" i="2"/>
  <c r="W140" i="2"/>
  <c r="BX72" i="3" l="1"/>
  <c r="BW72" i="3" s="1"/>
  <c r="BX191" i="3"/>
  <c r="Y93" i="2"/>
  <c r="U149" i="2"/>
  <c r="Z43" i="1"/>
  <c r="Z45" i="1" s="1"/>
  <c r="BX159" i="3" s="1"/>
  <c r="BW159" i="3" s="1"/>
  <c r="AD232" i="1"/>
  <c r="AD234" i="1" s="1"/>
  <c r="AB9" i="1"/>
  <c r="AD219" i="1"/>
  <c r="AD221" i="1" s="1"/>
  <c r="AD222" i="1"/>
  <c r="AD224" i="1" s="1"/>
  <c r="AD225" i="1"/>
  <c r="AD227" i="1" s="1"/>
  <c r="AD229" i="1"/>
  <c r="AD73" i="1" s="1"/>
  <c r="AD107" i="2"/>
  <c r="AD60" i="2" s="1"/>
  <c r="AC60" i="2"/>
  <c r="AC73" i="1"/>
  <c r="AC62" i="1"/>
  <c r="Z13" i="1"/>
  <c r="AC61" i="1"/>
  <c r="AB105" i="2"/>
  <c r="AA59" i="2"/>
  <c r="AC63" i="1"/>
  <c r="AA51" i="1"/>
  <c r="AA13" i="1"/>
  <c r="AB232" i="1"/>
  <c r="AB219" i="1"/>
  <c r="AB225" i="1"/>
  <c r="AB229" i="1"/>
  <c r="AB222" i="1"/>
  <c r="AB62" i="1" s="1"/>
  <c r="Z61" i="2"/>
  <c r="AA109" i="2"/>
  <c r="AA9" i="1"/>
  <c r="AA48" i="1"/>
  <c r="AA316" i="1"/>
  <c r="AA318" i="1" s="1"/>
  <c r="AA373" i="1"/>
  <c r="AA46" i="1"/>
  <c r="AC72" i="1"/>
  <c r="H20" i="12"/>
  <c r="I981" i="7"/>
  <c r="Y981" i="7" s="1"/>
  <c r="D13" i="12"/>
  <c r="AB180" i="9"/>
  <c r="S690" i="7"/>
  <c r="S699" i="7" s="1"/>
  <c r="BM429" i="14"/>
  <c r="BO160" i="3"/>
  <c r="V188" i="13" s="1"/>
  <c r="BO163" i="3"/>
  <c r="G357" i="14" s="1"/>
  <c r="BO169" i="3"/>
  <c r="V192" i="13" s="1"/>
  <c r="G20" i="12"/>
  <c r="H1022" i="7"/>
  <c r="H1034" i="7" s="1"/>
  <c r="AF18" i="9"/>
  <c r="C335" i="14"/>
  <c r="D617" i="7"/>
  <c r="AB150" i="9"/>
  <c r="N388" i="14"/>
  <c r="E21" i="15"/>
  <c r="D619" i="7" s="1"/>
  <c r="I596" i="7"/>
  <c r="AE18" i="9"/>
  <c r="H981" i="7"/>
  <c r="X981" i="7" s="1"/>
  <c r="H584" i="7"/>
  <c r="H792" i="7"/>
  <c r="G1022" i="7"/>
  <c r="G1034" i="7" s="1"/>
  <c r="W121" i="2"/>
  <c r="X119" i="2"/>
  <c r="E835" i="7"/>
  <c r="F599" i="7"/>
  <c r="F606" i="7"/>
  <c r="F607" i="7" s="1"/>
  <c r="AA552" i="7"/>
  <c r="V545" i="7"/>
  <c r="I602" i="7"/>
  <c r="I604" i="7" s="1"/>
  <c r="H604" i="7"/>
  <c r="M197" i="7"/>
  <c r="M207" i="7" s="1"/>
  <c r="M209" i="7" s="1"/>
  <c r="E802" i="7"/>
  <c r="E996" i="7"/>
  <c r="U996" i="7" s="1"/>
  <c r="G317" i="7"/>
  <c r="M190" i="7"/>
  <c r="V252" i="7"/>
  <c r="V251" i="7" s="1"/>
  <c r="L192" i="7"/>
  <c r="Y86" i="2"/>
  <c r="I584" i="7"/>
  <c r="I792" i="7"/>
  <c r="I826" i="7" s="1"/>
  <c r="Y140" i="2"/>
  <c r="AD11" i="1" s="1"/>
  <c r="W147" i="2"/>
  <c r="AB43" i="1" s="1"/>
  <c r="AB45" i="1" s="1"/>
  <c r="W128" i="2"/>
  <c r="S36" i="5"/>
  <c r="V149" i="2"/>
  <c r="W115" i="2"/>
  <c r="W117" i="2"/>
  <c r="AB11" i="1"/>
  <c r="W143" i="2"/>
  <c r="Y82" i="2"/>
  <c r="Y114" i="2"/>
  <c r="Z115" i="2" s="1"/>
  <c r="Y127" i="2"/>
  <c r="Y83" i="2"/>
  <c r="O31" i="6"/>
  <c r="X86" i="2"/>
  <c r="X140" i="2"/>
  <c r="X249" i="7"/>
  <c r="M199" i="7"/>
  <c r="M192" i="7"/>
  <c r="Z250" i="7"/>
  <c r="AA24" i="9"/>
  <c r="AA109" i="9"/>
  <c r="M393" i="14" s="1"/>
  <c r="H155" i="7"/>
  <c r="H176" i="7" s="1"/>
  <c r="H153" i="7"/>
  <c r="H174" i="7"/>
  <c r="X82" i="2"/>
  <c r="X114" i="2"/>
  <c r="X127" i="2"/>
  <c r="AC6" i="1" s="1"/>
  <c r="AC8" i="1" s="1"/>
  <c r="X83" i="2"/>
  <c r="BW160" i="3" l="1"/>
  <c r="AF148" i="2" s="1"/>
  <c r="BX193" i="3"/>
  <c r="BW193" i="3" s="1"/>
  <c r="ED72" i="3"/>
  <c r="BW191" i="3"/>
  <c r="Z93" i="2"/>
  <c r="Z51" i="1"/>
  <c r="S62" i="6" s="1"/>
  <c r="S63" i="6" s="1"/>
  <c r="I1215" i="7"/>
  <c r="AB316" i="1"/>
  <c r="AB318" i="1" s="1"/>
  <c r="AB373" i="1"/>
  <c r="AB46" i="1"/>
  <c r="AB48" i="1"/>
  <c r="AD63" i="1"/>
  <c r="AB51" i="1"/>
  <c r="AB13" i="1"/>
  <c r="AB63" i="1"/>
  <c r="AC227" i="1"/>
  <c r="AC224" i="1"/>
  <c r="AD61" i="1"/>
  <c r="AC231" i="1"/>
  <c r="AB73" i="1"/>
  <c r="AD62" i="1"/>
  <c r="AC221" i="1"/>
  <c r="AB61" i="1"/>
  <c r="AC105" i="2"/>
  <c r="AB59" i="2"/>
  <c r="AD231" i="1"/>
  <c r="AD236" i="1" s="1"/>
  <c r="AC75" i="1"/>
  <c r="AD72" i="1"/>
  <c r="AD75" i="1" s="1"/>
  <c r="AD13" i="1"/>
  <c r="AB72" i="1"/>
  <c r="AC234" i="1"/>
  <c r="Z316" i="1"/>
  <c r="Z318" i="1" s="1"/>
  <c r="Z48" i="1"/>
  <c r="Z46" i="1"/>
  <c r="Z373" i="1"/>
  <c r="AE232" i="1"/>
  <c r="AE234" i="1" s="1"/>
  <c r="AC9" i="1"/>
  <c r="AE225" i="1"/>
  <c r="AE227" i="1" s="1"/>
  <c r="AE222" i="1"/>
  <c r="AE224" i="1" s="1"/>
  <c r="AE229" i="1"/>
  <c r="AE219" i="1"/>
  <c r="AE221" i="1" s="1"/>
  <c r="AD6" i="1"/>
  <c r="AD8" i="1" s="1"/>
  <c r="Z128" i="2"/>
  <c r="AA61" i="2"/>
  <c r="AB109" i="2"/>
  <c r="AA18" i="1"/>
  <c r="AA362" i="1" s="1"/>
  <c r="AA14" i="1"/>
  <c r="AA335" i="1"/>
  <c r="AA53" i="1"/>
  <c r="AA15" i="1"/>
  <c r="Z335" i="1"/>
  <c r="Z14" i="1"/>
  <c r="Z53" i="1"/>
  <c r="Z18" i="1"/>
  <c r="J1215" i="7"/>
  <c r="I995" i="7"/>
  <c r="I20" i="12"/>
  <c r="J981" i="7"/>
  <c r="Z981" i="7" s="1"/>
  <c r="G350" i="14"/>
  <c r="I550" i="7"/>
  <c r="I1107" i="7"/>
  <c r="S692" i="7"/>
  <c r="S694" i="7" s="1"/>
  <c r="T695" i="7" s="1"/>
  <c r="AF135" i="9"/>
  <c r="R399" i="14"/>
  <c r="AG18" i="9"/>
  <c r="J584" i="7"/>
  <c r="AE135" i="9"/>
  <c r="Q399" i="14"/>
  <c r="H20" i="15"/>
  <c r="G20" i="15"/>
  <c r="AE19" i="9"/>
  <c r="AE143" i="9" s="1"/>
  <c r="AA33" i="9"/>
  <c r="H826" i="7"/>
  <c r="Y119" i="2"/>
  <c r="X121" i="2"/>
  <c r="J792" i="7"/>
  <c r="J826" i="7" s="1"/>
  <c r="I1022" i="7"/>
  <c r="I1034" i="7" s="1"/>
  <c r="H1024" i="7"/>
  <c r="H1036" i="7" s="1"/>
  <c r="I551" i="7"/>
  <c r="G1024" i="7"/>
  <c r="G1036" i="7" s="1"/>
  <c r="H995" i="7"/>
  <c r="H997" i="7" s="1"/>
  <c r="H992" i="7"/>
  <c r="X992" i="7" s="1"/>
  <c r="G11" i="15"/>
  <c r="G12" i="15" s="1"/>
  <c r="G14" i="15" s="1"/>
  <c r="W252" i="7"/>
  <c r="W251" i="7" s="1"/>
  <c r="Y143" i="2"/>
  <c r="H798" i="7"/>
  <c r="H585" i="7"/>
  <c r="H586" i="7" s="1"/>
  <c r="S21" i="6"/>
  <c r="X147" i="2"/>
  <c r="AC43" i="1" s="1"/>
  <c r="AC45" i="1" s="1"/>
  <c r="X128" i="2"/>
  <c r="T36" i="5"/>
  <c r="AA250" i="7"/>
  <c r="Y147" i="2"/>
  <c r="AD43" i="1" s="1"/>
  <c r="AD45" i="1" s="1"/>
  <c r="Y128" i="2"/>
  <c r="U36" i="5"/>
  <c r="X117" i="2"/>
  <c r="X115" i="2"/>
  <c r="Y249" i="7"/>
  <c r="Y117" i="2"/>
  <c r="Y115" i="2"/>
  <c r="X143" i="2"/>
  <c r="AC11" i="1"/>
  <c r="W149" i="2"/>
  <c r="AB367" i="1" l="1"/>
  <c r="AA358" i="1"/>
  <c r="AB98" i="1"/>
  <c r="AB309" i="1"/>
  <c r="AF193" i="9"/>
  <c r="AF200" i="9" s="1"/>
  <c r="AF202" i="9" s="1"/>
  <c r="BX140" i="3"/>
  <c r="BW140" i="3" s="1"/>
  <c r="Z362" i="1"/>
  <c r="BW192" i="3"/>
  <c r="BX192" i="3"/>
  <c r="AA93" i="2"/>
  <c r="AD237" i="1"/>
  <c r="AD96" i="1" s="1"/>
  <c r="W22" i="6" s="1"/>
  <c r="AB75" i="1"/>
  <c r="AC236" i="1"/>
  <c r="AD335" i="1"/>
  <c r="AD14" i="1"/>
  <c r="AD53" i="1"/>
  <c r="AD18" i="1"/>
  <c r="AD362" i="1" s="1"/>
  <c r="AE15" i="1"/>
  <c r="AD105" i="2"/>
  <c r="AD59" i="2" s="1"/>
  <c r="AC59" i="2"/>
  <c r="AD46" i="1"/>
  <c r="AD373" i="1"/>
  <c r="AD316" i="1"/>
  <c r="AD318" i="1" s="1"/>
  <c r="AD48" i="1"/>
  <c r="AD51" i="1"/>
  <c r="AC51" i="1"/>
  <c r="AC13" i="1"/>
  <c r="AD15" i="1" s="1"/>
  <c r="AF232" i="1"/>
  <c r="AF234" i="1" s="1"/>
  <c r="AD9" i="1"/>
  <c r="AF219" i="1"/>
  <c r="AF221" i="1" s="1"/>
  <c r="AE9" i="1"/>
  <c r="AF222" i="1"/>
  <c r="AF224" i="1" s="1"/>
  <c r="AF225" i="1"/>
  <c r="AF227" i="1" s="1"/>
  <c r="AF229" i="1"/>
  <c r="AF231" i="1" s="1"/>
  <c r="AA92" i="1"/>
  <c r="AA54" i="1"/>
  <c r="AE61" i="1"/>
  <c r="Z261" i="1"/>
  <c r="AE231" i="1"/>
  <c r="AE236" i="1" s="1"/>
  <c r="AE73" i="1"/>
  <c r="AC48" i="1"/>
  <c r="AC373" i="1"/>
  <c r="AC46" i="1"/>
  <c r="AC316" i="1"/>
  <c r="AC318" i="1" s="1"/>
  <c r="Y121" i="2"/>
  <c r="Z119" i="2"/>
  <c r="Z92" i="1"/>
  <c r="Z54" i="1"/>
  <c r="AE62" i="1"/>
  <c r="AE72" i="1"/>
  <c r="AA261" i="1"/>
  <c r="AE63" i="1"/>
  <c r="AB335" i="1"/>
  <c r="AB53" i="1"/>
  <c r="AB14" i="1"/>
  <c r="AB18" i="1"/>
  <c r="AB362" i="1" s="1"/>
  <c r="AB15" i="1"/>
  <c r="AB61" i="2"/>
  <c r="AC109" i="2"/>
  <c r="I997" i="7"/>
  <c r="Y995" i="7"/>
  <c r="T62" i="6"/>
  <c r="T63" i="6" s="1"/>
  <c r="I998" i="7"/>
  <c r="J1107" i="7"/>
  <c r="I992" i="7"/>
  <c r="K1215" i="7"/>
  <c r="J995" i="7"/>
  <c r="G12" i="12"/>
  <c r="G21" i="12" s="1"/>
  <c r="AE177" i="9"/>
  <c r="S695" i="7"/>
  <c r="U695" i="7"/>
  <c r="V695" i="7"/>
  <c r="S696" i="7"/>
  <c r="S698" i="7" s="1"/>
  <c r="AG135" i="9"/>
  <c r="S399" i="14"/>
  <c r="S406" i="14" s="1"/>
  <c r="I801" i="7"/>
  <c r="I803" i="7" s="1"/>
  <c r="AF22" i="9"/>
  <c r="J551" i="7"/>
  <c r="AH18" i="9"/>
  <c r="K584" i="7"/>
  <c r="AI18" i="9"/>
  <c r="L584" i="7"/>
  <c r="G299" i="14"/>
  <c r="G612" i="7"/>
  <c r="AF19" i="9"/>
  <c r="AF143" i="9" s="1"/>
  <c r="H11" i="15"/>
  <c r="H12" i="15" s="1"/>
  <c r="H14" i="15" s="1"/>
  <c r="H15" i="15" s="1"/>
  <c r="J550" i="7"/>
  <c r="I555" i="7"/>
  <c r="I556" i="7" s="1"/>
  <c r="R406" i="14"/>
  <c r="I20" i="15"/>
  <c r="G1023" i="7"/>
  <c r="G1035" i="7" s="1"/>
  <c r="AE22" i="9"/>
  <c r="I598" i="7"/>
  <c r="I606" i="7" s="1"/>
  <c r="I607" i="7" s="1"/>
  <c r="H587" i="7"/>
  <c r="H802" i="7"/>
  <c r="X995" i="7"/>
  <c r="H998" i="7"/>
  <c r="H999" i="7" s="1"/>
  <c r="H801" i="7"/>
  <c r="S23" i="6"/>
  <c r="I587" i="7"/>
  <c r="I588" i="7" s="1"/>
  <c r="I1024" i="7"/>
  <c r="I1036" i="7" s="1"/>
  <c r="K172" i="13"/>
  <c r="K792" i="7"/>
  <c r="K826" i="7" s="1"/>
  <c r="J1022" i="7"/>
  <c r="J1034" i="7" s="1"/>
  <c r="L792" i="7"/>
  <c r="L826" i="7" s="1"/>
  <c r="K1022" i="7"/>
  <c r="K1034" i="7" s="1"/>
  <c r="T23" i="6"/>
  <c r="H13" i="12" s="1"/>
  <c r="H993" i="7"/>
  <c r="G15" i="15"/>
  <c r="F614" i="7" s="1"/>
  <c r="G24" i="15"/>
  <c r="X252" i="7"/>
  <c r="Y252" i="7" s="1"/>
  <c r="I585" i="7"/>
  <c r="I586" i="7" s="1"/>
  <c r="I798" i="7"/>
  <c r="H799" i="7"/>
  <c r="H833" i="7" s="1"/>
  <c r="Z249" i="7"/>
  <c r="Y149" i="2"/>
  <c r="X149" i="2"/>
  <c r="K171" i="13"/>
  <c r="H1023" i="7"/>
  <c r="H1035" i="7" s="1"/>
  <c r="T21" i="6"/>
  <c r="BW169" i="3" l="1"/>
  <c r="ED140" i="3"/>
  <c r="AA367" i="1"/>
  <c r="Z358" i="1"/>
  <c r="AA309" i="1"/>
  <c r="AA98" i="1"/>
  <c r="AE193" i="9"/>
  <c r="AE200" i="9" s="1"/>
  <c r="AE202" i="9" s="1"/>
  <c r="AD358" i="1"/>
  <c r="AE367" i="1"/>
  <c r="AE309" i="1"/>
  <c r="AE98" i="1"/>
  <c r="AI193" i="9"/>
  <c r="AI200" i="9" s="1"/>
  <c r="AI202" i="9" s="1"/>
  <c r="BX195" i="3"/>
  <c r="BX194" i="3" s="1"/>
  <c r="AG116" i="9"/>
  <c r="AG16" i="9"/>
  <c r="AC367" i="1"/>
  <c r="AB358" i="1"/>
  <c r="AC309" i="1"/>
  <c r="AC98" i="1"/>
  <c r="AG193" i="9"/>
  <c r="AG200" i="9" s="1"/>
  <c r="AG202" i="9" s="1"/>
  <c r="AA360" i="1"/>
  <c r="AA39" i="1"/>
  <c r="BW141" i="3"/>
  <c r="BW195" i="3"/>
  <c r="AB93" i="2"/>
  <c r="AC237" i="1"/>
  <c r="AC96" i="1" s="1"/>
  <c r="V22" i="6" s="1"/>
  <c r="AE237" i="1"/>
  <c r="AE96" i="1" s="1"/>
  <c r="AF62" i="1"/>
  <c r="AG224" i="1"/>
  <c r="AF236" i="1"/>
  <c r="AF61" i="1"/>
  <c r="AG221" i="1"/>
  <c r="AD109" i="2"/>
  <c r="AD61" i="2" s="1"/>
  <c r="AC61" i="2"/>
  <c r="AD261" i="1"/>
  <c r="AG234" i="1"/>
  <c r="AF72" i="1"/>
  <c r="AD54" i="1"/>
  <c r="AD92" i="1"/>
  <c r="AB261" i="1"/>
  <c r="AE75" i="1"/>
  <c r="AC18" i="1"/>
  <c r="AC362" i="1" s="1"/>
  <c r="AC15" i="1"/>
  <c r="AC53" i="1"/>
  <c r="AC14" i="1"/>
  <c r="AC335" i="1"/>
  <c r="AF63" i="1"/>
  <c r="AG227" i="1"/>
  <c r="AB92" i="1"/>
  <c r="AB54" i="1"/>
  <c r="AA119" i="2"/>
  <c r="Z121" i="2"/>
  <c r="AF73" i="1"/>
  <c r="AG231" i="1"/>
  <c r="J997" i="7"/>
  <c r="Z995" i="7"/>
  <c r="I993" i="7"/>
  <c r="Y992" i="7"/>
  <c r="I999" i="7"/>
  <c r="Y998" i="7"/>
  <c r="U62" i="6"/>
  <c r="U63" i="6" s="1"/>
  <c r="J998" i="7"/>
  <c r="I802" i="7"/>
  <c r="I996" i="7"/>
  <c r="Y996" i="7" s="1"/>
  <c r="K1107" i="7"/>
  <c r="J992" i="7"/>
  <c r="H12" i="12"/>
  <c r="H21" i="12" s="1"/>
  <c r="H22" i="12" s="1"/>
  <c r="G13" i="12"/>
  <c r="AE180" i="9"/>
  <c r="AF180" i="9"/>
  <c r="AF177" i="9"/>
  <c r="Q37" i="5"/>
  <c r="AF23" i="9"/>
  <c r="AF109" i="9" s="1"/>
  <c r="R393" i="14" s="1"/>
  <c r="R37" i="5"/>
  <c r="K173" i="13"/>
  <c r="J555" i="7"/>
  <c r="J559" i="7" s="1"/>
  <c r="J560" i="7" s="1"/>
  <c r="I559" i="7"/>
  <c r="AI19" i="9"/>
  <c r="AI143" i="9" s="1"/>
  <c r="L585" i="7"/>
  <c r="G335" i="14"/>
  <c r="H617" i="7"/>
  <c r="AG19" i="9"/>
  <c r="AG143" i="9" s="1"/>
  <c r="J585" i="7"/>
  <c r="K550" i="7"/>
  <c r="AF150" i="9"/>
  <c r="AF156" i="9" s="1"/>
  <c r="R388" i="14"/>
  <c r="J801" i="7"/>
  <c r="J803" i="7" s="1"/>
  <c r="AG22" i="9"/>
  <c r="J587" i="7"/>
  <c r="J588" i="7" s="1"/>
  <c r="K551" i="7"/>
  <c r="I15" i="15"/>
  <c r="G614" i="7"/>
  <c r="AH135" i="9"/>
  <c r="T399" i="14"/>
  <c r="T406" i="14" s="1"/>
  <c r="M550" i="7"/>
  <c r="U399" i="14"/>
  <c r="AI135" i="9"/>
  <c r="H299" i="14"/>
  <c r="H612" i="7"/>
  <c r="F335" i="14"/>
  <c r="G617" i="7"/>
  <c r="J552" i="7"/>
  <c r="AE150" i="9"/>
  <c r="AE156" i="9" s="1"/>
  <c r="Q388" i="14"/>
  <c r="H589" i="7"/>
  <c r="H588" i="7"/>
  <c r="J20" i="15"/>
  <c r="J798" i="7"/>
  <c r="L798" i="7"/>
  <c r="L799" i="7" s="1"/>
  <c r="L833" i="7" s="1"/>
  <c r="G22" i="12"/>
  <c r="AE23" i="9"/>
  <c r="H996" i="7"/>
  <c r="X996" i="7" s="1"/>
  <c r="I599" i="7"/>
  <c r="X998" i="7"/>
  <c r="H804" i="7"/>
  <c r="H805" i="7" s="1"/>
  <c r="I552" i="7"/>
  <c r="H803" i="7"/>
  <c r="H836" i="7" s="1"/>
  <c r="I589" i="7"/>
  <c r="I617" i="7"/>
  <c r="U23" i="6"/>
  <c r="J1024" i="7"/>
  <c r="J1036" i="7" s="1"/>
  <c r="K1024" i="7"/>
  <c r="K1036" i="7" s="1"/>
  <c r="X251" i="7"/>
  <c r="G48" i="15"/>
  <c r="G25" i="15"/>
  <c r="H24" i="15"/>
  <c r="AB20" i="9"/>
  <c r="I804" i="7"/>
  <c r="I805" i="7" s="1"/>
  <c r="I799" i="7"/>
  <c r="W62" i="6"/>
  <c r="W63" i="6" s="1"/>
  <c r="K612" i="7"/>
  <c r="K1023" i="7"/>
  <c r="K1035" i="7" s="1"/>
  <c r="Y134" i="2" s="1"/>
  <c r="W21" i="6"/>
  <c r="AI177" i="9" s="1"/>
  <c r="AA249" i="7"/>
  <c r="V62" i="6"/>
  <c r="V63" i="6" s="1"/>
  <c r="Z252" i="7"/>
  <c r="Y251" i="7"/>
  <c r="I612" i="7"/>
  <c r="I1023" i="7"/>
  <c r="I1035" i="7" s="1"/>
  <c r="U21" i="6"/>
  <c r="X22" i="6" l="1"/>
  <c r="AJ178" i="9"/>
  <c r="AJ112" i="9"/>
  <c r="AJ16" i="9"/>
  <c r="AJ116" i="9"/>
  <c r="AF133" i="2"/>
  <c r="AA359" i="1"/>
  <c r="AB359" i="1"/>
  <c r="AB360" i="1"/>
  <c r="AB39" i="1"/>
  <c r="T39" i="6"/>
  <c r="H27" i="12"/>
  <c r="AD360" i="1"/>
  <c r="AD39" i="1"/>
  <c r="W39" i="6" s="1"/>
  <c r="AE359" i="1"/>
  <c r="T14" i="6"/>
  <c r="AF116" i="9"/>
  <c r="AF16" i="9"/>
  <c r="AD367" i="1"/>
  <c r="AC358" i="1"/>
  <c r="AD98" i="1"/>
  <c r="AD309" i="1"/>
  <c r="AH193" i="9"/>
  <c r="AH200" i="9" s="1"/>
  <c r="AH202" i="9" s="1"/>
  <c r="AH16" i="9"/>
  <c r="AH116" i="9"/>
  <c r="Z359" i="1"/>
  <c r="Z39" i="1"/>
  <c r="Z360" i="1"/>
  <c r="BW194" i="3"/>
  <c r="AC93" i="2"/>
  <c r="AD93" i="2"/>
  <c r="AF237" i="1"/>
  <c r="AF96" i="1" s="1"/>
  <c r="C65" i="6"/>
  <c r="AF75" i="1"/>
  <c r="AG236" i="1"/>
  <c r="AB119" i="2"/>
  <c r="AA121" i="2"/>
  <c r="AC92" i="1"/>
  <c r="AC54" i="1"/>
  <c r="AC261" i="1"/>
  <c r="J999" i="7"/>
  <c r="Z998" i="7"/>
  <c r="J993" i="7"/>
  <c r="Z992" i="7"/>
  <c r="J802" i="7"/>
  <c r="J996" i="7"/>
  <c r="Z996" i="7" s="1"/>
  <c r="AG177" i="9"/>
  <c r="I12" i="12"/>
  <c r="I21" i="12" s="1"/>
  <c r="AG180" i="9"/>
  <c r="I13" i="12"/>
  <c r="AB33" i="9"/>
  <c r="AG23" i="9"/>
  <c r="AG24" i="9" s="1"/>
  <c r="S37" i="5"/>
  <c r="AF24" i="9"/>
  <c r="J804" i="7"/>
  <c r="J805" i="7" s="1"/>
  <c r="J556" i="7"/>
  <c r="J557" i="7" s="1"/>
  <c r="K552" i="7"/>
  <c r="I560" i="7"/>
  <c r="K555" i="7"/>
  <c r="K559" i="7" s="1"/>
  <c r="K560" i="7" s="1"/>
  <c r="H614" i="7"/>
  <c r="J15" i="15"/>
  <c r="J586" i="7"/>
  <c r="J589" i="7"/>
  <c r="AH19" i="9"/>
  <c r="AH143" i="9" s="1"/>
  <c r="K585" i="7"/>
  <c r="L550" i="7"/>
  <c r="L801" i="7"/>
  <c r="L803" i="7" s="1"/>
  <c r="AI22" i="9"/>
  <c r="M551" i="7"/>
  <c r="M552" i="7" s="1"/>
  <c r="L587" i="7"/>
  <c r="L588" i="7" s="1"/>
  <c r="U406" i="14"/>
  <c r="AG150" i="9"/>
  <c r="AG156" i="9" s="1"/>
  <c r="S388" i="14"/>
  <c r="L586" i="7"/>
  <c r="K801" i="7"/>
  <c r="K803" i="7" s="1"/>
  <c r="AH22" i="9"/>
  <c r="K587" i="7"/>
  <c r="K588" i="7" s="1"/>
  <c r="L551" i="7"/>
  <c r="J799" i="7"/>
  <c r="J833" i="7" s="1"/>
  <c r="I557" i="7"/>
  <c r="K20" i="15"/>
  <c r="L20" i="15"/>
  <c r="K798" i="7"/>
  <c r="K799" i="7" s="1"/>
  <c r="K833" i="7" s="1"/>
  <c r="AE109" i="9"/>
  <c r="Q393" i="14" s="1"/>
  <c r="AE24" i="9"/>
  <c r="V23" i="6"/>
  <c r="AH180" i="9" s="1"/>
  <c r="K802" i="7"/>
  <c r="J617" i="7"/>
  <c r="L802" i="7"/>
  <c r="K617" i="7"/>
  <c r="W23" i="6"/>
  <c r="AI180" i="9" s="1"/>
  <c r="H48" i="15"/>
  <c r="H25" i="15"/>
  <c r="I14" i="15"/>
  <c r="I24" i="15" s="1"/>
  <c r="I833" i="7"/>
  <c r="AA252" i="7"/>
  <c r="Z251" i="7"/>
  <c r="J612" i="7"/>
  <c r="J1023" i="7"/>
  <c r="J1035" i="7" s="1"/>
  <c r="X134" i="2" s="1"/>
  <c r="V21" i="6"/>
  <c r="AH177" i="9" s="1"/>
  <c r="Y22" i="6" l="1"/>
  <c r="AK112" i="9"/>
  <c r="AK178" i="9"/>
  <c r="AI13" i="9"/>
  <c r="W50" i="6"/>
  <c r="AI116" i="9"/>
  <c r="AI16" i="9"/>
  <c r="S39" i="6"/>
  <c r="G27" i="12"/>
  <c r="AD359" i="1"/>
  <c r="AC359" i="1"/>
  <c r="AC360" i="1"/>
  <c r="AC39" i="1"/>
  <c r="V39" i="6" s="1"/>
  <c r="AF13" i="9"/>
  <c r="T50" i="6"/>
  <c r="U39" i="6"/>
  <c r="I27" i="12"/>
  <c r="J27" i="12" s="1"/>
  <c r="AF11" i="9"/>
  <c r="H9" i="12"/>
  <c r="U14" i="6"/>
  <c r="AG237" i="1"/>
  <c r="AG96" i="1" s="1"/>
  <c r="AC119" i="2"/>
  <c r="AB121" i="2"/>
  <c r="I22" i="12"/>
  <c r="U37" i="5"/>
  <c r="AG109" i="9"/>
  <c r="S393" i="14" s="1"/>
  <c r="AH23" i="9"/>
  <c r="AH24" i="9" s="1"/>
  <c r="T37" i="5"/>
  <c r="K556" i="7"/>
  <c r="K557" i="7" s="1"/>
  <c r="L804" i="7"/>
  <c r="L805" i="7" s="1"/>
  <c r="M555" i="7"/>
  <c r="M556" i="7" s="1"/>
  <c r="M557" i="7" s="1"/>
  <c r="L552" i="7"/>
  <c r="L555" i="7"/>
  <c r="L559" i="7" s="1"/>
  <c r="L560" i="7" s="1"/>
  <c r="K589" i="7"/>
  <c r="K586" i="7"/>
  <c r="L589" i="7"/>
  <c r="AI150" i="9"/>
  <c r="AI156" i="9" s="1"/>
  <c r="U388" i="14"/>
  <c r="AH150" i="9"/>
  <c r="AH156" i="9" s="1"/>
  <c r="T388" i="14"/>
  <c r="I614" i="7"/>
  <c r="K15" i="15"/>
  <c r="AI23" i="9"/>
  <c r="K804" i="7"/>
  <c r="K805" i="7" s="1"/>
  <c r="I25" i="15"/>
  <c r="I48" i="15"/>
  <c r="J14" i="15"/>
  <c r="J24" i="15" s="1"/>
  <c r="AA251" i="7"/>
  <c r="Z22" i="6" l="1"/>
  <c r="AL178" i="9"/>
  <c r="AL112" i="9"/>
  <c r="U50" i="6"/>
  <c r="AG13" i="9"/>
  <c r="S50" i="6"/>
  <c r="AE13" i="9"/>
  <c r="V50" i="6"/>
  <c r="AH13" i="9"/>
  <c r="AG11" i="9"/>
  <c r="I9" i="12"/>
  <c r="V14" i="6"/>
  <c r="AD119" i="2"/>
  <c r="AD121" i="2" s="1"/>
  <c r="AC121" i="2"/>
  <c r="AH109" i="9"/>
  <c r="T393" i="14" s="1"/>
  <c r="M559" i="7"/>
  <c r="M560" i="7" s="1"/>
  <c r="D563" i="7" s="1"/>
  <c r="D564" i="7" s="1"/>
  <c r="L556" i="7"/>
  <c r="L557" i="7" s="1"/>
  <c r="AI109" i="9"/>
  <c r="U393" i="14" s="1"/>
  <c r="AI24" i="9"/>
  <c r="L15" i="15"/>
  <c r="K614" i="7" s="1"/>
  <c r="J614" i="7"/>
  <c r="J25" i="15"/>
  <c r="J48" i="15"/>
  <c r="K14" i="15"/>
  <c r="K24" i="15" s="1"/>
  <c r="AH11" i="9" l="1"/>
  <c r="W14" i="6"/>
  <c r="L14" i="15"/>
  <c r="L24" i="15" s="1"/>
  <c r="L25" i="15" s="1"/>
  <c r="K25" i="15"/>
  <c r="K48" i="15"/>
  <c r="X14" i="6" l="1"/>
  <c r="AI11" i="9"/>
  <c r="L48" i="15"/>
  <c r="D53" i="15" s="1"/>
  <c r="D54" i="15" s="1"/>
  <c r="Y14" i="6" l="1"/>
  <c r="AJ11" i="9"/>
  <c r="D52" i="15"/>
  <c r="D55" i="15" s="1"/>
  <c r="N52" i="15"/>
  <c r="N53" i="15"/>
  <c r="N54" i="15" s="1"/>
  <c r="Z14" i="6" l="1"/>
  <c r="AK11" i="9"/>
  <c r="N55" i="15"/>
  <c r="G56" i="15"/>
  <c r="H56" i="15"/>
  <c r="AA14" i="6" l="1"/>
  <c r="AL11" i="9"/>
  <c r="D833" i="7"/>
  <c r="D836" i="7"/>
  <c r="E836" i="7"/>
  <c r="D837" i="7"/>
  <c r="D826" i="7"/>
  <c r="E826" i="7"/>
  <c r="D832" i="7"/>
  <c r="D835" i="7"/>
  <c r="AB14" i="6" l="1"/>
  <c r="AN11" i="9" s="1"/>
  <c r="AM11" i="9"/>
  <c r="D838" i="7"/>
  <c r="I836" i="7"/>
  <c r="J836" i="7" l="1"/>
  <c r="I835" i="7"/>
  <c r="I832" i="7"/>
  <c r="H832" i="7" l="1"/>
  <c r="H835" i="7"/>
  <c r="J832" i="7"/>
  <c r="I837" i="7"/>
  <c r="K836" i="7"/>
  <c r="J835" i="7"/>
  <c r="H837" i="7"/>
  <c r="L836" i="7" l="1"/>
  <c r="K835" i="7"/>
  <c r="J837" i="7"/>
  <c r="K832" i="7"/>
  <c r="I838" i="7"/>
  <c r="H838" i="7"/>
  <c r="K837" i="7" l="1"/>
  <c r="L832" i="7"/>
  <c r="J838" i="7"/>
  <c r="L835" i="7"/>
  <c r="L837" i="7" l="1"/>
  <c r="K838" i="7"/>
  <c r="L838" i="7" l="1"/>
  <c r="Z28" i="9"/>
  <c r="Z110" i="9" l="1"/>
  <c r="N24" i="6" l="1"/>
  <c r="Z186" i="9" s="1"/>
  <c r="Z27" i="9" l="1"/>
  <c r="Z178" i="9" l="1"/>
  <c r="Z112" i="9" l="1"/>
  <c r="AA178" i="9"/>
  <c r="AA112" i="9" l="1"/>
  <c r="AC178" i="9" l="1"/>
  <c r="AB178" i="9"/>
  <c r="AD178" i="9"/>
  <c r="AC112" i="9" l="1"/>
  <c r="AD112" i="9"/>
  <c r="AB112" i="9"/>
  <c r="AH178" i="9" l="1"/>
  <c r="AH112" i="9" l="1"/>
  <c r="AI178" i="9"/>
  <c r="AI112" i="9" l="1"/>
  <c r="N11" i="6"/>
  <c r="Z120" i="9"/>
  <c r="Z119" i="9" s="1"/>
  <c r="Z7" i="9"/>
  <c r="Z25" i="9" s="1"/>
  <c r="N57" i="6" l="1"/>
  <c r="DL28" i="3" l="1"/>
  <c r="DL52" i="3"/>
  <c r="P69" i="13" s="1"/>
  <c r="DL71" i="3"/>
  <c r="DL76" i="3"/>
  <c r="DL79" i="3"/>
  <c r="DL19" i="3"/>
  <c r="DL50" i="3"/>
  <c r="P67" i="13" s="1"/>
  <c r="DL51" i="3"/>
  <c r="P68" i="13" s="1"/>
  <c r="DL67" i="3"/>
  <c r="P30" i="13" s="1"/>
  <c r="DL68" i="3"/>
  <c r="P31" i="13" s="1"/>
  <c r="DL69" i="3"/>
  <c r="P32" i="13" s="1"/>
  <c r="DL77" i="3"/>
  <c r="DV79" i="3"/>
  <c r="BJ84" i="3"/>
  <c r="DR80" i="3" l="1"/>
  <c r="DV80" i="3"/>
  <c r="DR77" i="3"/>
  <c r="DV77" i="3"/>
  <c r="BK84" i="3"/>
  <c r="BJ85" i="3"/>
  <c r="DV81" i="3"/>
  <c r="Z84" i="13" s="1"/>
  <c r="DR81" i="3" l="1"/>
  <c r="V84" i="13" s="1"/>
  <c r="I4" i="13"/>
  <c r="BJ44" i="3"/>
  <c r="U62" i="13" s="1"/>
  <c r="U95" i="13" s="1"/>
  <c r="BK44" i="3"/>
  <c r="V62" i="13" s="1"/>
  <c r="V95" i="13" s="1"/>
  <c r="BK85" i="3"/>
  <c r="DQ72" i="3" l="1"/>
  <c r="U85" i="13" s="1"/>
  <c r="U245" i="14"/>
  <c r="U253" i="14" s="1"/>
  <c r="I5" i="13"/>
  <c r="BJ73" i="3"/>
  <c r="BJ160" i="3" s="1"/>
  <c r="Q188" i="13" s="1"/>
  <c r="BJ89" i="3"/>
  <c r="BN91" i="3" s="1"/>
  <c r="BK45" i="3"/>
  <c r="V63" i="13" s="1"/>
  <c r="BJ45" i="3"/>
  <c r="U63" i="13" s="1"/>
  <c r="BK43" i="3"/>
  <c r="V61" i="13" s="1"/>
  <c r="V91" i="13" s="1"/>
  <c r="BJ43" i="3"/>
  <c r="U61" i="13" s="1"/>
  <c r="U91" i="13" s="1"/>
  <c r="I6" i="13" l="1"/>
  <c r="I327" i="14"/>
  <c r="J4" i="13"/>
  <c r="J5" i="13"/>
  <c r="DU89" i="3"/>
  <c r="DQ89" i="3"/>
  <c r="BJ90" i="3"/>
  <c r="BJ91" i="3"/>
  <c r="BJ163" i="3"/>
  <c r="I20" i="13"/>
  <c r="DQ104" i="3"/>
  <c r="DR72" i="3"/>
  <c r="V85" i="13" s="1"/>
  <c r="V245" i="14"/>
  <c r="V253" i="14" s="1"/>
  <c r="BJ88" i="3"/>
  <c r="J20" i="13"/>
  <c r="BJ46" i="3"/>
  <c r="U64" i="13" s="1"/>
  <c r="BK46" i="3"/>
  <c r="V64" i="13" s="1"/>
  <c r="BK89" i="3"/>
  <c r="BK73" i="3"/>
  <c r="BK160" i="3" s="1"/>
  <c r="R188" i="13" s="1"/>
  <c r="U33" i="13" l="1"/>
  <c r="BL5" i="13"/>
  <c r="BL4" i="13"/>
  <c r="J6" i="13"/>
  <c r="BL6" i="13" s="1"/>
  <c r="BK163" i="3"/>
  <c r="D357" i="14" s="1"/>
  <c r="O690" i="7"/>
  <c r="DQ88" i="3"/>
  <c r="DU88" i="3"/>
  <c r="DR104" i="3"/>
  <c r="DV104" i="3"/>
  <c r="DV89" i="3"/>
  <c r="BL90" i="3"/>
  <c r="BO91" i="3"/>
  <c r="DR89" i="3"/>
  <c r="BK90" i="3"/>
  <c r="BK91" i="3"/>
  <c r="I9" i="13"/>
  <c r="BJ119" i="3"/>
  <c r="C172" i="13"/>
  <c r="BJ120" i="3"/>
  <c r="DQ117" i="3"/>
  <c r="BK88" i="3"/>
  <c r="AB20" i="5" l="1"/>
  <c r="Z33" i="13"/>
  <c r="U282" i="14"/>
  <c r="U151" i="13"/>
  <c r="Q13" i="14"/>
  <c r="AR13" i="14" s="1"/>
  <c r="AR11" i="14"/>
  <c r="V33" i="13"/>
  <c r="AX4" i="13"/>
  <c r="R699" i="7"/>
  <c r="O699" i="7"/>
  <c r="Q699" i="7"/>
  <c r="P699" i="7"/>
  <c r="DV117" i="3"/>
  <c r="Z151" i="13" s="1"/>
  <c r="J9" i="13"/>
  <c r="O692" i="7"/>
  <c r="O694" i="7" s="1"/>
  <c r="DQ120" i="3"/>
  <c r="DU120" i="3"/>
  <c r="DR88" i="3"/>
  <c r="DV88" i="3"/>
  <c r="AN11" i="14"/>
  <c r="J327" i="14"/>
  <c r="D350" i="14" s="1"/>
  <c r="BK120" i="3"/>
  <c r="DR117" i="3"/>
  <c r="BK118" i="3"/>
  <c r="BK119" i="3"/>
  <c r="V282" i="14" l="1"/>
  <c r="V151" i="13"/>
  <c r="AN13" i="14"/>
  <c r="J10" i="13"/>
  <c r="V74" i="13"/>
  <c r="V152" i="13" s="1"/>
  <c r="BL9" i="13"/>
  <c r="O696" i="7"/>
  <c r="O698" i="7" s="1"/>
  <c r="R695" i="7"/>
  <c r="Q695" i="7"/>
  <c r="P695" i="7"/>
  <c r="O695" i="7"/>
  <c r="DR120" i="3"/>
  <c r="DV120" i="3"/>
  <c r="D516" i="7"/>
  <c r="AP10" i="13" l="1"/>
  <c r="AT10" i="13"/>
  <c r="AV10" i="13"/>
  <c r="D526" i="7"/>
  <c r="D523" i="7"/>
  <c r="D518" i="7"/>
  <c r="D529" i="7" l="1"/>
  <c r="D520" i="7"/>
  <c r="D538" i="7" l="1"/>
  <c r="D530" i="7"/>
  <c r="M591" i="7" s="1"/>
  <c r="D531" i="7" l="1"/>
  <c r="F534" i="7"/>
  <c r="D539" i="7"/>
  <c r="D542" i="7"/>
  <c r="D543" i="7" s="1"/>
  <c r="G534" i="7" l="1"/>
  <c r="H534" i="7" s="1"/>
  <c r="I534" i="7" s="1"/>
  <c r="F535" i="7"/>
  <c r="D546" i="7"/>
  <c r="E542" i="7" s="1"/>
  <c r="G535" i="7" l="1"/>
  <c r="H535" i="7" s="1"/>
  <c r="I535" i="7" s="1"/>
  <c r="E544" i="7"/>
  <c r="E545" i="7"/>
  <c r="E543" i="7"/>
  <c r="U520" i="7" l="1"/>
  <c r="U527" i="7" s="1"/>
  <c r="U528" i="7" s="1"/>
  <c r="U522" i="7" l="1"/>
  <c r="U523" i="7" l="1"/>
  <c r="U549" i="7" l="1"/>
  <c r="V547" i="7" l="1"/>
  <c r="V551" i="7" s="1"/>
  <c r="T549" i="7"/>
  <c r="T551" i="7"/>
  <c r="V554" i="7" l="1"/>
  <c r="E38" i="15" s="1"/>
  <c r="D38" i="15" s="1"/>
  <c r="V549" i="7"/>
  <c r="V556" i="7" l="1"/>
  <c r="U550" i="7"/>
  <c r="V555" i="7"/>
  <c r="T550" i="7"/>
  <c r="D65" i="15" l="1"/>
  <c r="N64" i="15" s="1"/>
  <c r="N57" i="15"/>
  <c r="E41" i="15" l="1"/>
  <c r="F28" i="15" l="1"/>
  <c r="D41" i="15"/>
  <c r="E28" i="15" s="1"/>
  <c r="AA27" i="9" l="1"/>
  <c r="R138" i="2" l="1"/>
  <c r="R133" i="2" l="1"/>
  <c r="F550" i="7" l="1"/>
  <c r="F552" i="7" s="1"/>
  <c r="P62" i="6"/>
  <c r="P63" i="6" s="1"/>
  <c r="E998" i="7"/>
  <c r="E992" i="7" l="1"/>
  <c r="U992" i="7" s="1"/>
  <c r="I22" i="10"/>
  <c r="E798" i="7"/>
  <c r="E832" i="7" s="1"/>
  <c r="P21" i="6"/>
  <c r="G297" i="7"/>
  <c r="G301" i="7" s="1"/>
  <c r="G318" i="7" s="1"/>
  <c r="D11" i="15"/>
  <c r="D12" i="15" s="1"/>
  <c r="AB19" i="9"/>
  <c r="AB143" i="9" s="1"/>
  <c r="AB156" i="9" s="1"/>
  <c r="U998" i="7"/>
  <c r="E999" i="7"/>
  <c r="D1023" i="7" l="1"/>
  <c r="D1035" i="7" s="1"/>
  <c r="D12" i="12"/>
  <c r="D21" i="12" s="1"/>
  <c r="AB177" i="9"/>
  <c r="D299" i="14"/>
  <c r="D612" i="7"/>
  <c r="D14" i="15"/>
  <c r="D15" i="15" s="1"/>
  <c r="E804" i="7"/>
  <c r="E805" i="7" s="1"/>
  <c r="E838" i="7" s="1"/>
  <c r="E799" i="7"/>
  <c r="E833" i="7" s="1"/>
  <c r="E993" i="7"/>
  <c r="N37" i="5"/>
  <c r="AB23" i="9"/>
  <c r="AB24" i="9" s="1"/>
  <c r="G316" i="7"/>
  <c r="G298" i="7"/>
  <c r="D23" i="12"/>
  <c r="E837" i="7" l="1"/>
  <c r="D24" i="15"/>
  <c r="D25" i="15" s="1"/>
  <c r="AB109" i="9"/>
  <c r="N393" i="14" s="1"/>
  <c r="P31" i="6"/>
  <c r="D22" i="12"/>
  <c r="O54" i="6" l="1"/>
  <c r="O24" i="6" l="1"/>
  <c r="C14" i="12" l="1"/>
  <c r="AA186" i="9"/>
  <c r="AA28" i="9"/>
  <c r="AA110" i="9"/>
  <c r="C24" i="12" l="1"/>
  <c r="AA30" i="9" l="1"/>
  <c r="AA29" i="9"/>
  <c r="C25" i="12"/>
  <c r="AA179" i="9"/>
  <c r="AA184" i="9" s="1"/>
  <c r="AA188" i="9" s="1"/>
  <c r="AA191" i="9" s="1"/>
  <c r="AA197" i="9" l="1"/>
  <c r="O28" i="6"/>
  <c r="C16" i="12"/>
  <c r="C18" i="12" l="1"/>
  <c r="AA204" i="9"/>
  <c r="O48" i="6"/>
  <c r="M9" i="12" s="1"/>
  <c r="AA31" i="9"/>
  <c r="AA111" i="9"/>
  <c r="C26" i="12"/>
  <c r="O38" i="6"/>
  <c r="E417" i="7" l="1"/>
  <c r="O47" i="6"/>
  <c r="AA15" i="9"/>
  <c r="O52" i="6"/>
  <c r="AA14" i="9"/>
  <c r="AA7" i="9" l="1"/>
  <c r="AA25" i="9" s="1"/>
  <c r="AA120" i="9"/>
  <c r="AA119" i="9" s="1"/>
  <c r="AA118" i="9" s="1"/>
  <c r="O11" i="6"/>
  <c r="E591" i="7" l="1"/>
  <c r="E592" i="7" s="1"/>
  <c r="T521" i="7"/>
  <c r="C7" i="12"/>
  <c r="T515" i="7"/>
  <c r="O57" i="6"/>
  <c r="O53" i="6"/>
  <c r="C28" i="12" l="1"/>
  <c r="V521" i="7"/>
  <c r="V529" i="7" s="1"/>
  <c r="T529" i="7"/>
  <c r="K40" i="14" l="1"/>
  <c r="J40" i="14" s="1"/>
  <c r="K44" i="14"/>
  <c r="J42" i="14" l="1"/>
  <c r="J44" i="14" s="1"/>
  <c r="I40" i="14"/>
  <c r="L40" i="14"/>
  <c r="H40" i="14" l="1"/>
  <c r="I42" i="14"/>
  <c r="J43" i="14"/>
  <c r="L42" i="14"/>
  <c r="M40" i="14"/>
  <c r="J46" i="14" l="1"/>
  <c r="K47" i="14" s="1"/>
  <c r="J65" i="14"/>
  <c r="G40" i="14"/>
  <c r="H42" i="14"/>
  <c r="I44" i="14"/>
  <c r="M42" i="14"/>
  <c r="N40" i="14"/>
  <c r="L43" i="14"/>
  <c r="L65" i="14" s="1"/>
  <c r="H44" i="14" l="1"/>
  <c r="G42" i="14"/>
  <c r="F40" i="14"/>
  <c r="F42" i="14" s="1"/>
  <c r="I43" i="14"/>
  <c r="AI42" i="14"/>
  <c r="L46" i="14"/>
  <c r="L47" i="14" s="1"/>
  <c r="M43" i="14"/>
  <c r="N42" i="14"/>
  <c r="O40" i="14"/>
  <c r="L44" i="14"/>
  <c r="AJ42" i="14"/>
  <c r="M44" i="14" l="1"/>
  <c r="AJ44" i="14" s="1"/>
  <c r="M65" i="14"/>
  <c r="I46" i="14"/>
  <c r="J47" i="14" s="1"/>
  <c r="I65" i="14"/>
  <c r="O42" i="14"/>
  <c r="AL42" i="14" s="1"/>
  <c r="P40" i="14"/>
  <c r="AI44" i="14"/>
  <c r="AH42" i="14"/>
  <c r="G44" i="14"/>
  <c r="H43" i="14"/>
  <c r="H65" i="14" s="1"/>
  <c r="AK42" i="14"/>
  <c r="AJ43" i="14"/>
  <c r="M46" i="14"/>
  <c r="M47" i="14" s="1"/>
  <c r="N43" i="14"/>
  <c r="N65" i="14" s="1"/>
  <c r="P42" i="14" l="1"/>
  <c r="AM42" i="14" s="1"/>
  <c r="Q40" i="14"/>
  <c r="F44" i="14"/>
  <c r="F43" i="14" s="1"/>
  <c r="AH44" i="14"/>
  <c r="H46" i="14"/>
  <c r="AI43" i="14"/>
  <c r="G43" i="14"/>
  <c r="G65" i="14" s="1"/>
  <c r="O43" i="14"/>
  <c r="O65" i="14" s="1"/>
  <c r="AK43" i="14"/>
  <c r="N46" i="14"/>
  <c r="N47" i="14" s="1"/>
  <c r="N44" i="14"/>
  <c r="AK44" i="14" s="1"/>
  <c r="F46" i="14" l="1"/>
  <c r="F65" i="14"/>
  <c r="Q42" i="14"/>
  <c r="AN42" i="14" s="1"/>
  <c r="R40" i="14"/>
  <c r="P43" i="14"/>
  <c r="P65" i="14" s="1"/>
  <c r="AH43" i="14"/>
  <c r="G46" i="14"/>
  <c r="H47" i="14" s="1"/>
  <c r="I47" i="14"/>
  <c r="AL43" i="14"/>
  <c r="O46" i="14"/>
  <c r="O47" i="14" s="1"/>
  <c r="O44" i="14"/>
  <c r="AL44" i="14" s="1"/>
  <c r="R42" i="14" l="1"/>
  <c r="AO42" i="14" s="1"/>
  <c r="S40" i="14"/>
  <c r="Q43" i="14"/>
  <c r="P44" i="14"/>
  <c r="AM44" i="14" s="1"/>
  <c r="P46" i="14"/>
  <c r="P47" i="14" s="1"/>
  <c r="AM43" i="14"/>
  <c r="G47" i="14"/>
  <c r="BI125" i="3"/>
  <c r="DP140" i="3"/>
  <c r="BI169" i="3"/>
  <c r="AN43" i="14" l="1"/>
  <c r="Q65" i="14"/>
  <c r="DP169" i="3"/>
  <c r="P192" i="13"/>
  <c r="DT169" i="3"/>
  <c r="S42" i="14"/>
  <c r="AP42" i="14" s="1"/>
  <c r="T40" i="14"/>
  <c r="Q44" i="14"/>
  <c r="AN44" i="14" s="1"/>
  <c r="R43" i="14"/>
  <c r="Q46" i="14"/>
  <c r="Q47" i="14" s="1"/>
  <c r="T281" i="14"/>
  <c r="T149" i="13"/>
  <c r="DP125" i="3"/>
  <c r="DT125" i="3"/>
  <c r="BI172" i="3"/>
  <c r="BI149" i="3"/>
  <c r="BI130" i="3"/>
  <c r="T75" i="13" s="1"/>
  <c r="R44" i="14" l="1"/>
  <c r="AO44" i="14" s="1"/>
  <c r="R65" i="14"/>
  <c r="DP149" i="3"/>
  <c r="DT149" i="3"/>
  <c r="T42" i="14"/>
  <c r="AQ42" i="14" s="1"/>
  <c r="U40" i="14"/>
  <c r="AO43" i="14"/>
  <c r="R46" i="14"/>
  <c r="R47" i="14" s="1"/>
  <c r="S43" i="14"/>
  <c r="S65" i="14" s="1"/>
  <c r="BI150" i="3"/>
  <c r="U42" i="14" l="1"/>
  <c r="AR42" i="14" s="1"/>
  <c r="V40" i="14"/>
  <c r="T43" i="14"/>
  <c r="T65" i="14" s="1"/>
  <c r="S46" i="14"/>
  <c r="S47" i="14" s="1"/>
  <c r="AP43" i="14"/>
  <c r="S44" i="14"/>
  <c r="AP44" i="14" s="1"/>
  <c r="BI183" i="3"/>
  <c r="BI184" i="3"/>
  <c r="BI185" i="3" s="1"/>
  <c r="V42" i="14" l="1"/>
  <c r="AS42" i="14" s="1"/>
  <c r="W40" i="14"/>
  <c r="U43" i="14"/>
  <c r="T46" i="14"/>
  <c r="T47" i="14" s="1"/>
  <c r="T44" i="14"/>
  <c r="AQ44" i="14" s="1"/>
  <c r="AQ43" i="14"/>
  <c r="BI173" i="3"/>
  <c r="I7" i="13"/>
  <c r="DQ125" i="3"/>
  <c r="DQ140" i="3"/>
  <c r="BJ169" i="3"/>
  <c r="BJ195" i="3"/>
  <c r="DU195" i="3" s="1"/>
  <c r="U44" i="14" l="1"/>
  <c r="AR44" i="14" s="1"/>
  <c r="U65" i="14"/>
  <c r="W42" i="14"/>
  <c r="AT42" i="14" s="1"/>
  <c r="X40" i="14"/>
  <c r="DQ169" i="3"/>
  <c r="Q192" i="13"/>
  <c r="DU169" i="3"/>
  <c r="AR43" i="14"/>
  <c r="U46" i="14"/>
  <c r="U47" i="14" s="1"/>
  <c r="V43" i="14"/>
  <c r="V65" i="14" s="1"/>
  <c r="BJ197" i="3"/>
  <c r="BJ194" i="3"/>
  <c r="DU194" i="3" s="1"/>
  <c r="I11" i="13"/>
  <c r="I12" i="13" s="1"/>
  <c r="U281" i="14"/>
  <c r="U149" i="13"/>
  <c r="U76" i="13"/>
  <c r="U150" i="13" s="1"/>
  <c r="BL7" i="13"/>
  <c r="BJ130" i="3"/>
  <c r="U75" i="13" s="1"/>
  <c r="BJ149" i="3"/>
  <c r="DV125" i="3"/>
  <c r="I8" i="13"/>
  <c r="DQ149" i="3" l="1"/>
  <c r="DU149" i="3"/>
  <c r="BJ202" i="3"/>
  <c r="BJ205" i="3" s="1"/>
  <c r="DU197" i="3"/>
  <c r="Y40" i="14"/>
  <c r="X42" i="14"/>
  <c r="AU42" i="14" s="1"/>
  <c r="AS43" i="14"/>
  <c r="W43" i="14"/>
  <c r="W65" i="14" s="1"/>
  <c r="V44" i="14"/>
  <c r="AS44" i="14" s="1"/>
  <c r="V46" i="14"/>
  <c r="V47" i="14" s="1"/>
  <c r="I14" i="13"/>
  <c r="DR125" i="3"/>
  <c r="BK149" i="3"/>
  <c r="Y42" i="14" l="1"/>
  <c r="AV42" i="14" s="1"/>
  <c r="Z40" i="14"/>
  <c r="I16" i="13"/>
  <c r="DR149" i="3"/>
  <c r="DV149" i="3"/>
  <c r="BJ208" i="3"/>
  <c r="X43" i="14"/>
  <c r="AT43" i="14"/>
  <c r="W44" i="14"/>
  <c r="AT44" i="14" s="1"/>
  <c r="W46" i="14"/>
  <c r="DV140" i="3"/>
  <c r="Z149" i="13" s="1"/>
  <c r="J7" i="13"/>
  <c r="BJ172" i="3"/>
  <c r="I17" i="13"/>
  <c r="BK169" i="3"/>
  <c r="BK195" i="3"/>
  <c r="DV195" i="3" s="1"/>
  <c r="DR140" i="3"/>
  <c r="Z42" i="14" l="1"/>
  <c r="AW42" i="14" s="1"/>
  <c r="AA40" i="14"/>
  <c r="AA42" i="14" s="1"/>
  <c r="AX42" i="14" s="1"/>
  <c r="AU43" i="14"/>
  <c r="X65" i="14"/>
  <c r="BJ210" i="3"/>
  <c r="BN209" i="3"/>
  <c r="I19" i="13"/>
  <c r="BL19" i="13" s="1"/>
  <c r="X44" i="14"/>
  <c r="AU44" i="14" s="1"/>
  <c r="X46" i="14"/>
  <c r="X47" i="14" s="1"/>
  <c r="Y43" i="14"/>
  <c r="W47" i="14"/>
  <c r="R192" i="13"/>
  <c r="DR169" i="3"/>
  <c r="BK197" i="3"/>
  <c r="BK202" i="3" s="1"/>
  <c r="BK194" i="3"/>
  <c r="DV194" i="3" s="1"/>
  <c r="V76" i="13"/>
  <c r="V150" i="13" s="1"/>
  <c r="C171" i="13"/>
  <c r="C173" i="13" s="1"/>
  <c r="V281" i="14"/>
  <c r="V149" i="13"/>
  <c r="J11" i="13"/>
  <c r="BL11" i="13" s="1"/>
  <c r="J8" i="13"/>
  <c r="BJ184" i="3"/>
  <c r="BJ185" i="3" s="1"/>
  <c r="BJ183" i="3"/>
  <c r="BJ173" i="3" s="1"/>
  <c r="Z43" i="14" l="1"/>
  <c r="AA43" i="14" s="1"/>
  <c r="AA44" i="14" s="1"/>
  <c r="AX44" i="14" s="1"/>
  <c r="AV43" i="14"/>
  <c r="Y65" i="14"/>
  <c r="Y44" i="14"/>
  <c r="AV44" i="14" s="1"/>
  <c r="Y46" i="14"/>
  <c r="J14" i="13"/>
  <c r="L19" i="13"/>
  <c r="BK208" i="3"/>
  <c r="BK210" i="3" s="1"/>
  <c r="BK205" i="3"/>
  <c r="AX8" i="13"/>
  <c r="AX7" i="13"/>
  <c r="J12" i="13"/>
  <c r="Z65" i="14" l="1"/>
  <c r="Z46" i="14"/>
  <c r="Z47" i="14" s="1"/>
  <c r="AW43" i="14"/>
  <c r="Z44" i="14"/>
  <c r="AW44" i="14" s="1"/>
  <c r="AA65" i="14"/>
  <c r="AA46" i="14"/>
  <c r="AX43" i="14"/>
  <c r="Y47" i="14"/>
  <c r="BL183" i="3"/>
  <c r="BL173" i="3" s="1"/>
  <c r="BK183" i="3"/>
  <c r="BK184" i="3"/>
  <c r="BK185" i="3" s="1"/>
  <c r="AA47" i="14" l="1"/>
  <c r="BL184" i="3"/>
  <c r="BM185" i="3" s="1"/>
  <c r="BL185" i="3" l="1"/>
  <c r="J15" i="13" l="1"/>
  <c r="J16" i="13"/>
  <c r="J17" i="13"/>
  <c r="J19" i="13"/>
  <c r="BK172" i="3"/>
  <c r="BK173" i="3" s="1"/>
  <c r="AB28" i="9" l="1"/>
  <c r="AB110" i="9"/>
  <c r="D24" i="12" l="1"/>
  <c r="P24" i="6"/>
  <c r="AB186" i="9" s="1"/>
  <c r="D14" i="12" l="1"/>
  <c r="AB30" i="9" l="1"/>
  <c r="AB179" i="9"/>
  <c r="AB184" i="9" s="1"/>
  <c r="AB188" i="9" s="1"/>
  <c r="AB191" i="9" s="1"/>
  <c r="AB197" i="9" l="1"/>
  <c r="AB198" i="9"/>
  <c r="D25" i="12"/>
  <c r="D16" i="12"/>
  <c r="P28" i="6"/>
  <c r="AB204" i="9" s="1"/>
  <c r="AB29" i="9" l="1"/>
  <c r="D1025" i="7"/>
  <c r="D1037" i="7" s="1"/>
  <c r="D18" i="12"/>
  <c r="P29" i="6"/>
  <c r="P49" i="6" s="1"/>
  <c r="P48" i="6"/>
  <c r="AB31" i="9"/>
  <c r="G302" i="7"/>
  <c r="G319" i="7" s="1"/>
  <c r="G303" i="7"/>
  <c r="D26" i="12"/>
  <c r="P38" i="6"/>
  <c r="AB111" i="9"/>
  <c r="P11" i="6" l="1"/>
  <c r="AB120" i="9"/>
  <c r="AB119" i="9" s="1"/>
  <c r="AB118" i="9" s="1"/>
  <c r="AB7" i="9"/>
  <c r="AB25" i="9" s="1"/>
  <c r="P52" i="6"/>
  <c r="AB14" i="9"/>
  <c r="AB15" i="9"/>
  <c r="P47" i="6"/>
  <c r="N9" i="12"/>
  <c r="AB27" i="9"/>
  <c r="D7" i="12" l="1"/>
  <c r="D28" i="12" s="1"/>
  <c r="P57" i="6"/>
  <c r="P53" i="6"/>
  <c r="P54" i="6" l="1"/>
  <c r="BO197" i="3" l="1"/>
  <c r="AC20" i="9"/>
  <c r="N14" i="13" l="1"/>
  <c r="DZ197" i="3"/>
  <c r="DV197" i="3"/>
  <c r="G1071" i="7" l="1"/>
  <c r="G1074" i="7" s="1"/>
  <c r="I1065" i="7"/>
  <c r="J1065" i="7"/>
  <c r="K1065" i="7"/>
  <c r="G1072" i="7" l="1"/>
  <c r="J1120" i="7"/>
  <c r="J1197" i="7" s="1"/>
  <c r="J1214" i="7"/>
  <c r="I1071" i="7"/>
  <c r="I1072" i="7" s="1"/>
  <c r="I1214" i="7"/>
  <c r="K1071" i="7"/>
  <c r="K1072" i="7" s="1"/>
  <c r="K1214" i="7"/>
  <c r="H1071" i="7"/>
  <c r="H1072" i="7" s="1"/>
  <c r="I1120" i="7"/>
  <c r="I1197" i="7" s="1"/>
  <c r="J1071" i="7"/>
  <c r="K1120" i="7"/>
  <c r="K1197" i="7" s="1"/>
  <c r="I1074" i="7" l="1"/>
  <c r="J1216" i="7"/>
  <c r="I1216" i="7"/>
  <c r="K1216" i="7"/>
  <c r="K1074" i="7"/>
  <c r="D1080" i="7" s="1"/>
  <c r="D1081" i="7" s="1"/>
  <c r="H1074" i="7"/>
  <c r="J1072" i="7"/>
  <c r="J1074" i="7"/>
  <c r="D1077" i="7" l="1"/>
  <c r="D1082" i="7" s="1"/>
  <c r="D1085" i="7" s="1"/>
  <c r="D1092" i="7" s="1"/>
  <c r="D1088" i="7" l="1"/>
  <c r="D1089" i="7" s="1"/>
  <c r="D1051" i="7"/>
  <c r="D1049" i="7" s="1"/>
  <c r="X1127" i="7" s="1"/>
  <c r="D1052" i="7" l="1"/>
  <c r="D1055" i="7"/>
  <c r="G1098" i="7" l="1"/>
  <c r="G1099" i="7" s="1"/>
  <c r="D1056" i="7"/>
  <c r="D1058" i="7" s="1"/>
  <c r="I1123" i="7" l="1"/>
  <c r="I1127" i="7" s="1"/>
  <c r="G1123" i="7"/>
  <c r="G1200" i="7" s="1"/>
  <c r="H1098" i="7"/>
  <c r="I1098" i="7" s="1"/>
  <c r="J1098" i="7" s="1"/>
  <c r="K1098" i="7" s="1"/>
  <c r="J1123" i="7"/>
  <c r="J1127" i="7" s="1"/>
  <c r="H1123" i="7"/>
  <c r="H1127" i="7" s="1"/>
  <c r="AF1126" i="7"/>
  <c r="AF1128" i="7" s="1"/>
  <c r="K1123" i="7"/>
  <c r="K1127" i="7" s="1"/>
  <c r="I1200" i="7" l="1"/>
  <c r="I1234" i="7" s="1"/>
  <c r="I1238" i="7" s="1"/>
  <c r="H1099" i="7"/>
  <c r="I1099" i="7" s="1"/>
  <c r="J1099" i="7" s="1"/>
  <c r="K1099" i="7" s="1"/>
  <c r="G1127" i="7"/>
  <c r="G1204" i="7" s="1"/>
  <c r="J1200" i="7"/>
  <c r="J1234" i="7" s="1"/>
  <c r="J1238" i="7" s="1"/>
  <c r="H1200" i="7"/>
  <c r="H1234" i="7" s="1"/>
  <c r="H1238" i="7" s="1"/>
  <c r="K1200" i="7"/>
  <c r="K1234" i="7" s="1"/>
  <c r="K1238" i="7" s="1"/>
  <c r="G1234" i="7"/>
  <c r="G1238" i="7" s="1"/>
  <c r="I1204" i="7" l="1"/>
  <c r="K1204" i="7"/>
  <c r="J1204" i="7"/>
  <c r="H1204" i="7"/>
  <c r="BM173" i="3"/>
  <c r="BO173" i="3" s="1"/>
  <c r="AC110" i="9" l="1"/>
  <c r="AC28" i="9"/>
  <c r="BO202" i="3" l="1"/>
  <c r="BO208" i="3" s="1"/>
  <c r="N15" i="13"/>
  <c r="Q24" i="6"/>
  <c r="AC186" i="9" s="1"/>
  <c r="BO210" i="3" l="1"/>
  <c r="BO209" i="3"/>
  <c r="BS209" i="3"/>
  <c r="AT15" i="13"/>
  <c r="AW15" i="13"/>
  <c r="AR15" i="13"/>
  <c r="AX15" i="13"/>
  <c r="AV15" i="13"/>
  <c r="N16" i="13"/>
  <c r="E14" i="12"/>
  <c r="AX16" i="13" l="1"/>
  <c r="N19" i="13"/>
  <c r="AX19" i="13" l="1"/>
  <c r="N17" i="13" l="1"/>
  <c r="AR17" i="13" l="1"/>
  <c r="AT17" i="13"/>
  <c r="AW17" i="13"/>
  <c r="AX17" i="13"/>
  <c r="AV17" i="13"/>
  <c r="BO205" i="3"/>
  <c r="BO172" i="3"/>
  <c r="BL208" i="3"/>
  <c r="BL209" i="3" s="1"/>
  <c r="BO184" i="3" l="1"/>
  <c r="BO183" i="3"/>
  <c r="BL210" i="3"/>
  <c r="K19" i="13"/>
  <c r="BO185" i="3" l="1"/>
  <c r="BP185" i="3"/>
  <c r="Z21" i="9" l="1"/>
  <c r="Z20" i="9" l="1"/>
  <c r="Z30" i="9"/>
  <c r="N28" i="6" l="1"/>
  <c r="Z179" i="9"/>
  <c r="Z184" i="9" s="1"/>
  <c r="Z188" i="9" s="1"/>
  <c r="Z191" i="9" s="1"/>
  <c r="N31" i="6"/>
  <c r="N54" i="6"/>
  <c r="N53" i="6"/>
  <c r="N38" i="6"/>
  <c r="Z197" i="9" l="1"/>
  <c r="Z198" i="9"/>
  <c r="AA198" i="9"/>
  <c r="N48" i="6"/>
  <c r="D417" i="7" s="1"/>
  <c r="Z204" i="9"/>
  <c r="Z31" i="9"/>
  <c r="E303" i="7"/>
  <c r="E302" i="7"/>
  <c r="E319" i="7" s="1"/>
  <c r="Z29" i="9"/>
  <c r="Z111" i="9"/>
  <c r="Z118" i="9" s="1"/>
  <c r="Z15" i="9"/>
  <c r="N52" i="6"/>
  <c r="Z14" i="9"/>
  <c r="N47" i="6" l="1"/>
  <c r="DU71" i="3" l="1"/>
  <c r="DQ71" i="3"/>
  <c r="BJ82" i="3"/>
  <c r="BJ87" i="3"/>
  <c r="BJ54" i="3" l="1"/>
  <c r="BJ57" i="3"/>
  <c r="BJ150" i="3"/>
  <c r="Q4" i="14"/>
  <c r="DQ87" i="3"/>
  <c r="U83" i="13" s="1"/>
  <c r="DU87" i="3"/>
  <c r="Y83" i="13" s="1"/>
  <c r="U248" i="14"/>
  <c r="U254" i="14" s="1"/>
  <c r="DR71" i="3"/>
  <c r="DV71" i="3"/>
  <c r="BK82" i="3"/>
  <c r="BK87" i="3"/>
  <c r="DQ57" i="3" l="1"/>
  <c r="DU57" i="3"/>
  <c r="BK54" i="3"/>
  <c r="BK57" i="3"/>
  <c r="AR4" i="14"/>
  <c r="AN4" i="14"/>
  <c r="Q7" i="14"/>
  <c r="DV87" i="3"/>
  <c r="Z83" i="13" s="1"/>
  <c r="R4" i="14"/>
  <c r="BK150" i="3"/>
  <c r="DR87" i="3"/>
  <c r="V83" i="13" s="1"/>
  <c r="V248" i="14"/>
  <c r="V254" i="14" s="1"/>
  <c r="BM87" i="3"/>
  <c r="BM57" i="3" s="1"/>
  <c r="BM82" i="3"/>
  <c r="DT71" i="3"/>
  <c r="DT57" i="3" l="1"/>
  <c r="DX57" i="3"/>
  <c r="DR57" i="3"/>
  <c r="DV57" i="3"/>
  <c r="DX87" i="3"/>
  <c r="AB83" i="13" s="1"/>
  <c r="BM54" i="3"/>
  <c r="T4" i="14"/>
  <c r="AR7" i="14"/>
  <c r="AN7" i="14"/>
  <c r="Q19" i="14"/>
  <c r="R7" i="14"/>
  <c r="AO4" i="14"/>
  <c r="AS4" i="14"/>
  <c r="BM150" i="3"/>
  <c r="DT87" i="3"/>
  <c r="X83" i="13" s="1"/>
  <c r="AQ4" i="14" l="1"/>
  <c r="AU4" i="14"/>
  <c r="T7" i="14"/>
  <c r="R19" i="14"/>
  <c r="AO7" i="14"/>
  <c r="AS7" i="14"/>
  <c r="O4" i="13"/>
  <c r="AS4" i="13" s="1"/>
  <c r="T19" i="14" l="1"/>
  <c r="AU7" i="14"/>
  <c r="AQ7" i="14"/>
  <c r="BP73" i="3"/>
  <c r="BP160" i="3" s="1"/>
  <c r="W188" i="13" s="1"/>
  <c r="BP89" i="3"/>
  <c r="BP104" i="3"/>
  <c r="EA104" i="3" s="1"/>
  <c r="AE33" i="13" s="1"/>
  <c r="T697" i="7"/>
  <c r="BT91" i="3" l="1"/>
  <c r="EA89" i="3"/>
  <c r="DW89" i="3"/>
  <c r="BQ90" i="3"/>
  <c r="EH87" i="3"/>
  <c r="DW87" i="3"/>
  <c r="AA83" i="13" s="1"/>
  <c r="DW104" i="3"/>
  <c r="AA33" i="13" s="1"/>
  <c r="BP117" i="3"/>
  <c r="EA117" i="3" s="1"/>
  <c r="EH104" i="3"/>
  <c r="BP88" i="3"/>
  <c r="EA88" i="3" s="1"/>
  <c r="EH89" i="3"/>
  <c r="BP91" i="3"/>
  <c r="BP90" i="3"/>
  <c r="V699" i="7"/>
  <c r="T698" i="7"/>
  <c r="T699" i="7"/>
  <c r="U699" i="7"/>
  <c r="R9" i="13" l="1"/>
  <c r="DZ117" i="3"/>
  <c r="O6" i="13"/>
  <c r="EH88" i="3"/>
  <c r="DW88" i="3"/>
  <c r="O9" i="13"/>
  <c r="AS9" i="13" s="1"/>
  <c r="DW117" i="3"/>
  <c r="EH117" i="3"/>
  <c r="N20" i="13"/>
  <c r="N9" i="13"/>
  <c r="O9" i="5"/>
  <c r="P23" i="5" s="1"/>
  <c r="P29" i="5" s="1"/>
  <c r="BO60" i="3"/>
  <c r="N11" i="13" l="1"/>
  <c r="N12" i="13" s="1"/>
  <c r="DW140" i="3"/>
  <c r="AA149" i="13" s="1"/>
  <c r="BP195" i="3"/>
  <c r="BP141" i="3"/>
  <c r="O7" i="13"/>
  <c r="AS7" i="13" s="1"/>
  <c r="O23" i="5"/>
  <c r="J16" i="10" s="1"/>
  <c r="O10" i="5"/>
  <c r="O8" i="5"/>
  <c r="J9" i="10"/>
  <c r="P10" i="5"/>
  <c r="O14" i="5"/>
  <c r="O13" i="5"/>
  <c r="T123" i="2"/>
  <c r="T125" i="2" s="1"/>
  <c r="T62" i="2" s="1"/>
  <c r="P31" i="5"/>
  <c r="P34" i="5" s="1"/>
  <c r="K16" i="10"/>
  <c r="K17" i="10" s="1"/>
  <c r="DW195" i="3" l="1"/>
  <c r="EA195" i="3"/>
  <c r="W17" i="14"/>
  <c r="BT143" i="3"/>
  <c r="BP143" i="3"/>
  <c r="AA76" i="13"/>
  <c r="AA150" i="13" s="1"/>
  <c r="BP197" i="3"/>
  <c r="EA197" i="3" s="1"/>
  <c r="BP194" i="3"/>
  <c r="O31" i="5"/>
  <c r="S123" i="2"/>
  <c r="S125" i="2" s="1"/>
  <c r="O29" i="5"/>
  <c r="O11" i="13"/>
  <c r="O12" i="13" s="1"/>
  <c r="O8" i="13"/>
  <c r="AS8" i="13" s="1"/>
  <c r="AV9" i="13"/>
  <c r="AP9" i="13"/>
  <c r="AT9" i="13"/>
  <c r="T142" i="2"/>
  <c r="G987" i="7"/>
  <c r="W987" i="7" s="1"/>
  <c r="DW194" i="3" l="1"/>
  <c r="EA194" i="3"/>
  <c r="O14" i="13"/>
  <c r="AS14" i="13" s="1"/>
  <c r="AT14" i="13" s="1"/>
  <c r="DW197" i="3"/>
  <c r="BP202" i="3"/>
  <c r="O16" i="13" s="1"/>
  <c r="AS16" i="13" s="1"/>
  <c r="O34" i="5"/>
  <c r="AR14" i="13"/>
  <c r="AW14" i="13"/>
  <c r="T85" i="2"/>
  <c r="G988" i="7"/>
  <c r="W988" i="7" s="1"/>
  <c r="T127" i="2" l="1"/>
  <c r="BP208" i="3"/>
  <c r="BT209" i="3" s="1"/>
  <c r="BP205" i="3"/>
  <c r="AR16" i="13"/>
  <c r="AV16" i="13"/>
  <c r="AT16" i="13"/>
  <c r="AW16" i="13"/>
  <c r="T83" i="2"/>
  <c r="U82" i="2"/>
  <c r="T114" i="2"/>
  <c r="T140" i="2"/>
  <c r="U86" i="2"/>
  <c r="Y6" i="1" l="1"/>
  <c r="T148" i="2"/>
  <c r="O19" i="13"/>
  <c r="AS19" i="13" s="1"/>
  <c r="AT19" i="13" s="1"/>
  <c r="BP209" i="3"/>
  <c r="AA222" i="1"/>
  <c r="AA62" i="1" s="1"/>
  <c r="Y9" i="1"/>
  <c r="Z9" i="1"/>
  <c r="AJ8" i="1"/>
  <c r="AA232" i="1"/>
  <c r="AB234" i="1" s="1"/>
  <c r="AA219" i="1"/>
  <c r="AA221" i="1" s="1"/>
  <c r="AA229" i="1"/>
  <c r="AB231" i="1" s="1"/>
  <c r="AA225" i="1"/>
  <c r="AA227" i="1" s="1"/>
  <c r="BP210" i="3"/>
  <c r="AR19" i="13"/>
  <c r="AV19" i="13"/>
  <c r="AW19" i="13"/>
  <c r="T143" i="2"/>
  <c r="Y11" i="1"/>
  <c r="T117" i="2"/>
  <c r="U115" i="2"/>
  <c r="Y43" i="1"/>
  <c r="U128" i="2"/>
  <c r="P36" i="5"/>
  <c r="Y45" i="1" l="1"/>
  <c r="Y48" i="1" s="1"/>
  <c r="GD158" i="3"/>
  <c r="GD159" i="3" s="1"/>
  <c r="Y20" i="13" s="1"/>
  <c r="AO20" i="13" s="1"/>
  <c r="BX117" i="3"/>
  <c r="AA224" i="1"/>
  <c r="AB224" i="1"/>
  <c r="AB227" i="1"/>
  <c r="AA73" i="1"/>
  <c r="AA63" i="1"/>
  <c r="AA231" i="1"/>
  <c r="AB221" i="1"/>
  <c r="AA234" i="1"/>
  <c r="AA61" i="1"/>
  <c r="AA72" i="1"/>
  <c r="Y51" i="1"/>
  <c r="T149" i="2"/>
  <c r="R4" i="13"/>
  <c r="M584" i="7"/>
  <c r="M588" i="7" s="1"/>
  <c r="K20" i="10"/>
  <c r="K19" i="10" s="1"/>
  <c r="G792" i="7"/>
  <c r="G826" i="7" s="1"/>
  <c r="F20" i="12"/>
  <c r="J20" i="12" s="1"/>
  <c r="H596" i="7"/>
  <c r="I296" i="7"/>
  <c r="I315" i="7" s="1"/>
  <c r="G584" i="7"/>
  <c r="F1022" i="7"/>
  <c r="F1034" i="7" s="1"/>
  <c r="G981" i="7"/>
  <c r="W981" i="7" s="1"/>
  <c r="O180" i="7"/>
  <c r="O182" i="7" s="1"/>
  <c r="AD18" i="9"/>
  <c r="I597" i="7"/>
  <c r="Y373" i="1" l="1"/>
  <c r="Y119" i="1"/>
  <c r="Z119" i="1" s="1"/>
  <c r="Y316" i="1"/>
  <c r="Y318" i="1" s="1"/>
  <c r="Y124" i="1"/>
  <c r="Y46" i="1"/>
  <c r="AO22" i="13"/>
  <c r="AX20" i="13"/>
  <c r="AA75" i="1"/>
  <c r="AA236" i="1"/>
  <c r="AB236" i="1"/>
  <c r="AD85" i="13"/>
  <c r="AJ13" i="1"/>
  <c r="Y14" i="1"/>
  <c r="Y335" i="1"/>
  <c r="Y53" i="1"/>
  <c r="Y18" i="1"/>
  <c r="Y15" i="1"/>
  <c r="Z15" i="1"/>
  <c r="W697" i="7"/>
  <c r="BS89" i="3"/>
  <c r="BS73" i="3"/>
  <c r="BS160" i="3" s="1"/>
  <c r="Z188" i="13" s="1"/>
  <c r="G995" i="7"/>
  <c r="H1215" i="7"/>
  <c r="F1024" i="7"/>
  <c r="F1036" i="7" s="1"/>
  <c r="AD135" i="9"/>
  <c r="P399" i="14"/>
  <c r="AB237" i="1" l="1"/>
  <c r="AB96" i="1" s="1"/>
  <c r="U22" i="6" s="1"/>
  <c r="AD22" i="6" s="1"/>
  <c r="AA237" i="1"/>
  <c r="AA96" i="1" s="1"/>
  <c r="T22" i="6" s="1"/>
  <c r="Y66" i="1"/>
  <c r="Y207" i="1" s="1"/>
  <c r="Z207" i="1" s="1"/>
  <c r="AA207" i="1" s="1"/>
  <c r="AB207" i="1" s="1"/>
  <c r="AC207" i="1" s="1"/>
  <c r="AD207" i="1" s="1"/>
  <c r="AE207" i="1" s="1"/>
  <c r="AF207" i="1" s="1"/>
  <c r="AG207" i="1" s="1"/>
  <c r="AH207" i="1" s="1"/>
  <c r="AI207" i="1" s="1"/>
  <c r="DZ89" i="3"/>
  <c r="BT90" i="3"/>
  <c r="AV4" i="13"/>
  <c r="AT4" i="13"/>
  <c r="AW4" i="13"/>
  <c r="AR4" i="13"/>
  <c r="AP4" i="13"/>
  <c r="BX104" i="3"/>
  <c r="BX73" i="3"/>
  <c r="BX89" i="3"/>
  <c r="Y261" i="1"/>
  <c r="Y266" i="1" s="1"/>
  <c r="Y269" i="1" s="1"/>
  <c r="Y23" i="1"/>
  <c r="Y92" i="1"/>
  <c r="Y54" i="1"/>
  <c r="AA119" i="1"/>
  <c r="BS91" i="3"/>
  <c r="BS90" i="3"/>
  <c r="K22" i="10"/>
  <c r="I297" i="7"/>
  <c r="R21" i="6"/>
  <c r="AD21" i="6" s="1"/>
  <c r="G798" i="7"/>
  <c r="H1107" i="7"/>
  <c r="H1120" i="7" s="1"/>
  <c r="H1197" i="7" s="1"/>
  <c r="AD19" i="9"/>
  <c r="AD143" i="9" s="1"/>
  <c r="F11" i="15"/>
  <c r="F12" i="15" s="1"/>
  <c r="F14" i="15" s="1"/>
  <c r="G585" i="7"/>
  <c r="G992" i="7"/>
  <c r="H550" i="7"/>
  <c r="Q406" i="14"/>
  <c r="G997" i="7"/>
  <c r="W995" i="7"/>
  <c r="G998" i="7"/>
  <c r="R62" i="6"/>
  <c r="R63" i="6" s="1"/>
  <c r="C71" i="6" s="1"/>
  <c r="G801" i="7"/>
  <c r="G587" i="7"/>
  <c r="G588" i="7" s="1"/>
  <c r="H598" i="7"/>
  <c r="R23" i="6"/>
  <c r="AD23" i="6" s="1"/>
  <c r="O185" i="7"/>
  <c r="H551" i="7"/>
  <c r="H555" i="7" s="1"/>
  <c r="AD22" i="9"/>
  <c r="I299" i="7"/>
  <c r="K23" i="10"/>
  <c r="AG178" i="9" l="1"/>
  <c r="Y167" i="1"/>
  <c r="Y169" i="1" s="1"/>
  <c r="Z115" i="1"/>
  <c r="Z111" i="1" s="1"/>
  <c r="Y122" i="1"/>
  <c r="Y113" i="1"/>
  <c r="Y30" i="1"/>
  <c r="GF197" i="3"/>
  <c r="GD197" i="3" s="1"/>
  <c r="Y14" i="13" s="1"/>
  <c r="BX160" i="3"/>
  <c r="R20" i="13"/>
  <c r="BX141" i="3"/>
  <c r="R7" i="13"/>
  <c r="BX91" i="3"/>
  <c r="BX90" i="3"/>
  <c r="BX88" i="3"/>
  <c r="BX118" i="3"/>
  <c r="AB119" i="1"/>
  <c r="Y271" i="1"/>
  <c r="Y275" i="1" s="1"/>
  <c r="Y268" i="1"/>
  <c r="Y340" i="1" s="1"/>
  <c r="Y342" i="1" s="1"/>
  <c r="M585" i="7"/>
  <c r="M592" i="7" s="1"/>
  <c r="DZ169" i="3"/>
  <c r="BS141" i="3"/>
  <c r="Z17" i="14" s="1"/>
  <c r="I317" i="7"/>
  <c r="I300" i="7"/>
  <c r="H552" i="7"/>
  <c r="F299" i="14"/>
  <c r="F612" i="7"/>
  <c r="P388" i="14"/>
  <c r="AD150" i="9"/>
  <c r="AD156" i="9" s="1"/>
  <c r="W690" i="7"/>
  <c r="F55" i="15"/>
  <c r="H55" i="15" s="1"/>
  <c r="I55" i="15" s="1"/>
  <c r="C89" i="6"/>
  <c r="G993" i="7"/>
  <c r="W992" i="7"/>
  <c r="G804" i="7"/>
  <c r="G799" i="7"/>
  <c r="G833" i="7" s="1"/>
  <c r="G832" i="7"/>
  <c r="H606" i="7"/>
  <c r="H607" i="7" s="1"/>
  <c r="H599" i="7"/>
  <c r="AD23" i="9"/>
  <c r="P37" i="5"/>
  <c r="F1023" i="7"/>
  <c r="F1035" i="7" s="1"/>
  <c r="AD177" i="9"/>
  <c r="F12" i="12"/>
  <c r="F21" i="12" s="1"/>
  <c r="E335" i="14"/>
  <c r="F617" i="7"/>
  <c r="G999" i="7"/>
  <c r="W998" i="7"/>
  <c r="O197" i="7"/>
  <c r="O207" i="7" s="1"/>
  <c r="O209" i="7" s="1"/>
  <c r="O190" i="7"/>
  <c r="O187" i="7"/>
  <c r="G802" i="7"/>
  <c r="G996" i="7"/>
  <c r="W996" i="7" s="1"/>
  <c r="H556" i="7"/>
  <c r="H559" i="7"/>
  <c r="H560" i="7" s="1"/>
  <c r="AG112" i="9"/>
  <c r="AD180" i="9"/>
  <c r="F13" i="12"/>
  <c r="G589" i="7"/>
  <c r="G586" i="7"/>
  <c r="F15" i="15"/>
  <c r="E614" i="7" s="1"/>
  <c r="F24" i="15"/>
  <c r="F56" i="15"/>
  <c r="I298" i="7"/>
  <c r="I316" i="7"/>
  <c r="I301" i="7"/>
  <c r="I318" i="7" s="1"/>
  <c r="H1216" i="7"/>
  <c r="G803" i="7"/>
  <c r="G836" i="7" s="1"/>
  <c r="G835" i="7"/>
  <c r="Z262" i="1" l="1"/>
  <c r="D71" i="6"/>
  <c r="Z336" i="1"/>
  <c r="Z371" i="1" s="1"/>
  <c r="AX14" i="13"/>
  <c r="AV14" i="13"/>
  <c r="AD76" i="13"/>
  <c r="AD150" i="13" s="1"/>
  <c r="BS143" i="3"/>
  <c r="AI140" i="2"/>
  <c r="AD149" i="13"/>
  <c r="BX169" i="3"/>
  <c r="R8" i="13"/>
  <c r="AR20" i="13"/>
  <c r="AV20" i="13"/>
  <c r="AT20" i="13"/>
  <c r="AP20" i="13"/>
  <c r="AW20" i="13"/>
  <c r="Y259" i="1"/>
  <c r="Z112" i="1"/>
  <c r="Z20" i="1"/>
  <c r="BX196" i="3" s="1"/>
  <c r="Z120" i="1"/>
  <c r="AC119" i="1"/>
  <c r="M589" i="7"/>
  <c r="M586" i="7"/>
  <c r="H557" i="7"/>
  <c r="F22" i="12"/>
  <c r="J22" i="12" s="1"/>
  <c r="J21" i="12"/>
  <c r="W699" i="7"/>
  <c r="W692" i="7"/>
  <c r="W694" i="7" s="1"/>
  <c r="G805" i="7"/>
  <c r="G838" i="7" s="1"/>
  <c r="G837" i="7"/>
  <c r="O199" i="7"/>
  <c r="O192" i="7"/>
  <c r="F32" i="15"/>
  <c r="F34" i="15" s="1"/>
  <c r="F38" i="15" s="1"/>
  <c r="F25" i="15"/>
  <c r="D85" i="6"/>
  <c r="AD24" i="9"/>
  <c r="AD109" i="9"/>
  <c r="P393" i="14" s="1"/>
  <c r="BW196" i="3" l="1"/>
  <c r="BW197" i="3" s="1"/>
  <c r="BX197" i="3"/>
  <c r="AR8" i="13"/>
  <c r="AT8" i="13"/>
  <c r="AP8" i="13"/>
  <c r="AN22" i="13"/>
  <c r="AT7" i="13"/>
  <c r="AP7" i="13"/>
  <c r="AW7" i="13"/>
  <c r="AR7" i="13"/>
  <c r="AV7" i="13"/>
  <c r="AD119" i="1"/>
  <c r="Z124" i="1"/>
  <c r="Z23" i="1"/>
  <c r="Z121" i="1"/>
  <c r="Y370" i="1"/>
  <c r="Y343" i="1"/>
  <c r="Y277" i="1"/>
  <c r="D57" i="15"/>
  <c r="F41" i="15"/>
  <c r="G28" i="15" s="1"/>
  <c r="F43" i="15"/>
  <c r="W696" i="7"/>
  <c r="W698" i="7" s="1"/>
  <c r="W695" i="7"/>
  <c r="N58" i="15"/>
  <c r="G10" i="6"/>
  <c r="AR22" i="13" l="1"/>
  <c r="AP22" i="13"/>
  <c r="Z122" i="1"/>
  <c r="Z167" i="1"/>
  <c r="Z169" i="1" s="1"/>
  <c r="Z66" i="1"/>
  <c r="AA115" i="1"/>
  <c r="Z113" i="1"/>
  <c r="Y374" i="1"/>
  <c r="Y364" i="1"/>
  <c r="Y32" i="1"/>
  <c r="Y35" i="1" s="1"/>
  <c r="Y38" i="1"/>
  <c r="Y344" i="1"/>
  <c r="Y283" i="1"/>
  <c r="Y284" i="1" s="1"/>
  <c r="Y95" i="1" s="1"/>
  <c r="Y279" i="1"/>
  <c r="AE119" i="1"/>
  <c r="S10" i="9"/>
  <c r="F10" i="6"/>
  <c r="H10" i="6"/>
  <c r="G15" i="6"/>
  <c r="N60" i="15"/>
  <c r="D58" i="15"/>
  <c r="D60" i="15" s="1"/>
  <c r="R54" i="15"/>
  <c r="R55" i="15" s="1"/>
  <c r="G32" i="15"/>
  <c r="G34" i="15" s="1"/>
  <c r="AF119" i="1" l="1"/>
  <c r="Y366" i="1"/>
  <c r="Y375" i="1"/>
  <c r="Y308" i="1"/>
  <c r="Y81" i="1" s="1"/>
  <c r="Y83" i="1" s="1"/>
  <c r="Y37" i="1"/>
  <c r="Y365" i="1"/>
  <c r="AJ35" i="1"/>
  <c r="AA336" i="1"/>
  <c r="AA371" i="1" s="1"/>
  <c r="AA262" i="1"/>
  <c r="AA111" i="1"/>
  <c r="G36" i="15"/>
  <c r="G38" i="15" s="1"/>
  <c r="D84" i="15"/>
  <c r="D86" i="15" s="1"/>
  <c r="D92" i="15" s="1"/>
  <c r="D93" i="15" s="1"/>
  <c r="D95" i="15" s="1"/>
  <c r="D97" i="15" s="1"/>
  <c r="D67" i="15"/>
  <c r="D69" i="15" s="1"/>
  <c r="D82" i="15"/>
  <c r="D62" i="15"/>
  <c r="N66" i="15"/>
  <c r="N68" i="15" s="1"/>
  <c r="N62" i="15"/>
  <c r="N84" i="15"/>
  <c r="N86" i="15" s="1"/>
  <c r="N92" i="15" s="1"/>
  <c r="N93" i="15" s="1"/>
  <c r="N95" i="15" s="1"/>
  <c r="N97" i="15" s="1"/>
  <c r="R10" i="9"/>
  <c r="F15" i="6"/>
  <c r="G41" i="6"/>
  <c r="G44" i="6"/>
  <c r="G42" i="6"/>
  <c r="G43" i="6" s="1"/>
  <c r="G55" i="6"/>
  <c r="G45" i="6"/>
  <c r="R57" i="15"/>
  <c r="R61" i="15"/>
  <c r="T10" i="9"/>
  <c r="I10" i="6"/>
  <c r="H15" i="6"/>
  <c r="Y205" i="1" l="1"/>
  <c r="Y68" i="1" s="1"/>
  <c r="Y376" i="1"/>
  <c r="Y40" i="1"/>
  <c r="AA20" i="1"/>
  <c r="AA112" i="1"/>
  <c r="AA120" i="1"/>
  <c r="AG119" i="1"/>
  <c r="H45" i="6"/>
  <c r="H44" i="6"/>
  <c r="H55" i="6"/>
  <c r="H41" i="6"/>
  <c r="C122" i="6" s="1"/>
  <c r="H42" i="6"/>
  <c r="H43" i="6" s="1"/>
  <c r="C127" i="6" s="1"/>
  <c r="N69" i="15"/>
  <c r="D70" i="15"/>
  <c r="D71" i="15" s="1"/>
  <c r="F55" i="6"/>
  <c r="F45" i="6"/>
  <c r="F41" i="6"/>
  <c r="F44" i="6"/>
  <c r="F42" i="6"/>
  <c r="F43" i="6" s="1"/>
  <c r="D73" i="15"/>
  <c r="D75" i="15" s="1"/>
  <c r="G43" i="15"/>
  <c r="G41" i="15"/>
  <c r="H28" i="15" s="1"/>
  <c r="U10" i="9"/>
  <c r="I15" i="6"/>
  <c r="J10" i="6"/>
  <c r="AA121" i="1" l="1"/>
  <c r="Y60" i="1"/>
  <c r="Y64" i="1" s="1"/>
  <c r="Y70" i="1" s="1"/>
  <c r="AA124" i="1"/>
  <c r="AA23" i="1"/>
  <c r="AH119" i="1"/>
  <c r="H32" i="15"/>
  <c r="H34" i="15" s="1"/>
  <c r="N70" i="15"/>
  <c r="I45" i="6"/>
  <c r="C135" i="6" s="1"/>
  <c r="I41" i="6"/>
  <c r="I55" i="6"/>
  <c r="I42" i="6"/>
  <c r="I43" i="6" s="1"/>
  <c r="I44" i="6"/>
  <c r="C133" i="6" s="1"/>
  <c r="J15" i="6"/>
  <c r="K10" i="6"/>
  <c r="V10" i="9"/>
  <c r="AI119" i="1" l="1"/>
  <c r="Y84" i="1"/>
  <c r="Y2" i="1" s="1"/>
  <c r="AA167" i="1"/>
  <c r="AA169" i="1" s="1"/>
  <c r="AA122" i="1"/>
  <c r="AA66" i="1"/>
  <c r="AB115" i="1"/>
  <c r="AA113" i="1"/>
  <c r="H36" i="15"/>
  <c r="H38" i="15" s="1"/>
  <c r="K15" i="6"/>
  <c r="L10" i="6"/>
  <c r="W10" i="9"/>
  <c r="J44" i="6"/>
  <c r="D133" i="6" s="1"/>
  <c r="J45" i="6"/>
  <c r="D135" i="6" s="1"/>
  <c r="J41" i="6"/>
  <c r="D132" i="6" s="1"/>
  <c r="J55" i="6"/>
  <c r="J42" i="6"/>
  <c r="J43" i="6" s="1"/>
  <c r="D134" i="6" s="1"/>
  <c r="C132" i="6"/>
  <c r="D122" i="6"/>
  <c r="D127" i="6"/>
  <c r="C134" i="6"/>
  <c r="AB111" i="1" l="1"/>
  <c r="AB336" i="1"/>
  <c r="AB371" i="1" s="1"/>
  <c r="AB262" i="1"/>
  <c r="H43" i="15"/>
  <c r="H41" i="15"/>
  <c r="I28" i="15" s="1"/>
  <c r="M10" i="6"/>
  <c r="L15" i="6"/>
  <c r="X10" i="9"/>
  <c r="K55" i="6"/>
  <c r="K45" i="6"/>
  <c r="E135" i="6" s="1"/>
  <c r="K44" i="6"/>
  <c r="E133" i="6" s="1"/>
  <c r="K41" i="6"/>
  <c r="E132" i="6" s="1"/>
  <c r="K42" i="6"/>
  <c r="K43" i="6" s="1"/>
  <c r="E134" i="6" s="1"/>
  <c r="AB20" i="1" l="1"/>
  <c r="AB112" i="1"/>
  <c r="AB120" i="1"/>
  <c r="L42" i="6"/>
  <c r="L43" i="6" s="1"/>
  <c r="L44" i="6"/>
  <c r="L41" i="6"/>
  <c r="L45" i="6"/>
  <c r="L55" i="6"/>
  <c r="Y10" i="9"/>
  <c r="M15" i="6"/>
  <c r="N10" i="6"/>
  <c r="I32" i="15"/>
  <c r="I34" i="15" s="1"/>
  <c r="AB121" i="1" l="1"/>
  <c r="AB124" i="1"/>
  <c r="AB23" i="1"/>
  <c r="I36" i="15"/>
  <c r="I38" i="15" s="1"/>
  <c r="M44" i="6"/>
  <c r="M55" i="6"/>
  <c r="M45" i="6"/>
  <c r="M41" i="6"/>
  <c r="M42" i="6"/>
  <c r="M43" i="6" s="1"/>
  <c r="Z10" i="9"/>
  <c r="N15" i="6"/>
  <c r="O10" i="6"/>
  <c r="AC115" i="1" l="1"/>
  <c r="AB122" i="1"/>
  <c r="AB167" i="1"/>
  <c r="AB169" i="1" s="1"/>
  <c r="AB66" i="1"/>
  <c r="AB113" i="1"/>
  <c r="I43" i="15"/>
  <c r="I41" i="15"/>
  <c r="J28" i="15" s="1"/>
  <c r="T522" i="7"/>
  <c r="T516" i="7"/>
  <c r="T517" i="7" s="1"/>
  <c r="T519" i="7" s="1"/>
  <c r="T520" i="7" s="1"/>
  <c r="O15" i="6"/>
  <c r="P10" i="6"/>
  <c r="AA10" i="9"/>
  <c r="C8" i="12"/>
  <c r="C10" i="12" s="1"/>
  <c r="N42" i="6"/>
  <c r="N43" i="6" s="1"/>
  <c r="N55" i="6"/>
  <c r="N41" i="6"/>
  <c r="N45" i="6"/>
  <c r="N44" i="6"/>
  <c r="AC336" i="1" l="1"/>
  <c r="AC371" i="1" s="1"/>
  <c r="AC262" i="1"/>
  <c r="AC111" i="1"/>
  <c r="Q10" i="6"/>
  <c r="P15" i="6"/>
  <c r="D8" i="12"/>
  <c r="D10" i="12" s="1"/>
  <c r="AB10" i="9"/>
  <c r="T527" i="7"/>
  <c r="T528" i="7" s="1"/>
  <c r="T523" i="7"/>
  <c r="V520" i="7"/>
  <c r="J32" i="15"/>
  <c r="J34" i="15" s="1"/>
  <c r="O44" i="6"/>
  <c r="M7" i="12" s="1"/>
  <c r="F516" i="7"/>
  <c r="O42" i="6"/>
  <c r="O55" i="6"/>
  <c r="O41" i="6"/>
  <c r="O45" i="6"/>
  <c r="M8" i="12" s="1"/>
  <c r="AC112" i="1" l="1"/>
  <c r="AC20" i="1"/>
  <c r="AC120" i="1"/>
  <c r="J36" i="15"/>
  <c r="J38" i="15" s="1"/>
  <c r="V523" i="7"/>
  <c r="U524" i="7" s="1"/>
  <c r="O43" i="6"/>
  <c r="M6" i="12" s="1"/>
  <c r="M5" i="12"/>
  <c r="M4" i="12"/>
  <c r="F515" i="7"/>
  <c r="F523" i="7" s="1"/>
  <c r="P41" i="6"/>
  <c r="N4" i="12" s="1"/>
  <c r="P42" i="6"/>
  <c r="P55" i="6"/>
  <c r="P44" i="6"/>
  <c r="N7" i="12" s="1"/>
  <c r="P45" i="6"/>
  <c r="N8" i="12" s="1"/>
  <c r="AC10" i="9"/>
  <c r="E8" i="12"/>
  <c r="R10" i="6"/>
  <c r="AC124" i="1" l="1"/>
  <c r="AC23" i="1"/>
  <c r="AC121" i="1"/>
  <c r="T524" i="7"/>
  <c r="T531" i="7" s="1"/>
  <c r="U531" i="7" s="1"/>
  <c r="U533" i="7" s="1"/>
  <c r="P43" i="6"/>
  <c r="N6" i="12" s="1"/>
  <c r="N5" i="12"/>
  <c r="S10" i="6"/>
  <c r="AD10" i="9"/>
  <c r="F8" i="12"/>
  <c r="J41" i="15"/>
  <c r="K28" i="15" s="1"/>
  <c r="J43" i="15"/>
  <c r="AC66" i="1" l="1"/>
  <c r="AD115" i="1"/>
  <c r="AC167" i="1"/>
  <c r="AC169" i="1" s="1"/>
  <c r="AC122" i="1"/>
  <c r="AC113" i="1"/>
  <c r="T532" i="7"/>
  <c r="T10" i="6"/>
  <c r="H8" i="12" s="1"/>
  <c r="AE10" i="9"/>
  <c r="G8" i="12"/>
  <c r="K32" i="15"/>
  <c r="K34" i="15" s="1"/>
  <c r="AD111" i="1" l="1"/>
  <c r="AD336" i="1"/>
  <c r="AD371" i="1" s="1"/>
  <c r="AD262" i="1"/>
  <c r="AF10" i="9"/>
  <c r="U10" i="6"/>
  <c r="I8" i="12" s="1"/>
  <c r="K36" i="15"/>
  <c r="K38" i="15" s="1"/>
  <c r="AD20" i="1" l="1"/>
  <c r="AD112" i="1"/>
  <c r="AD120" i="1"/>
  <c r="AG10" i="9"/>
  <c r="V10" i="6"/>
  <c r="K41" i="15"/>
  <c r="L28" i="15" s="1"/>
  <c r="K43" i="15"/>
  <c r="AD121" i="1" l="1"/>
  <c r="AD124" i="1"/>
  <c r="AD23" i="1"/>
  <c r="L32" i="15"/>
  <c r="L34" i="15" s="1"/>
  <c r="W10" i="6"/>
  <c r="X10" i="6" s="1"/>
  <c r="AJ10" i="9" s="1"/>
  <c r="AH10" i="9"/>
  <c r="AD122" i="1" l="1"/>
  <c r="AD167" i="1"/>
  <c r="AD169" i="1" s="1"/>
  <c r="AE115" i="1"/>
  <c r="AD66" i="1"/>
  <c r="AD113" i="1"/>
  <c r="Y10" i="6"/>
  <c r="AK10" i="9" s="1"/>
  <c r="L36" i="15"/>
  <c r="L38" i="15" s="1"/>
  <c r="AI10" i="9"/>
  <c r="Z10" i="6" l="1"/>
  <c r="AL10" i="9" s="1"/>
  <c r="AE336" i="1"/>
  <c r="AE371" i="1" s="1"/>
  <c r="AE262" i="1"/>
  <c r="AE111" i="1"/>
  <c r="L41" i="15"/>
  <c r="L43" i="15"/>
  <c r="Q11" i="6"/>
  <c r="F591" i="7" s="1"/>
  <c r="AE20" i="1" l="1"/>
  <c r="AJ20" i="9" s="1"/>
  <c r="AE112" i="1"/>
  <c r="AE120" i="1"/>
  <c r="AA10" i="6"/>
  <c r="AM10" i="9" s="1"/>
  <c r="Q15" i="6"/>
  <c r="E7" i="12"/>
  <c r="E10" i="12" s="1"/>
  <c r="AD28" i="9"/>
  <c r="G1106" i="7"/>
  <c r="AC7" i="9"/>
  <c r="AC25" i="9" s="1"/>
  <c r="AC120" i="9"/>
  <c r="AC119" i="9" s="1"/>
  <c r="AE124" i="1" l="1"/>
  <c r="AE23" i="1"/>
  <c r="AB10" i="6"/>
  <c r="AN10" i="9" s="1"/>
  <c r="AE121" i="1"/>
  <c r="G1119" i="7"/>
  <c r="AD110" i="9"/>
  <c r="R24" i="6"/>
  <c r="X31" i="6" l="1"/>
  <c r="AE167" i="1"/>
  <c r="AE169" i="1" s="1"/>
  <c r="AE122" i="1"/>
  <c r="AE66" i="1"/>
  <c r="AJ33" i="9" s="1"/>
  <c r="AF115" i="1"/>
  <c r="AE113" i="1"/>
  <c r="AD186" i="9"/>
  <c r="F14" i="12"/>
  <c r="G1196" i="7"/>
  <c r="G1128" i="7"/>
  <c r="G1129" i="7" s="1"/>
  <c r="AF336" i="1" l="1"/>
  <c r="AF371" i="1" s="1"/>
  <c r="AF262" i="1"/>
  <c r="AF111" i="1"/>
  <c r="G1202" i="7"/>
  <c r="G1230" i="7"/>
  <c r="AF112" i="1" l="1"/>
  <c r="AF20" i="1"/>
  <c r="AK20" i="9" s="1"/>
  <c r="AF120" i="1"/>
  <c r="G1239" i="7"/>
  <c r="G1240" i="7" s="1"/>
  <c r="N180" i="7"/>
  <c r="N182" i="7" s="1"/>
  <c r="H296" i="7"/>
  <c r="H315" i="7" s="1"/>
  <c r="F584" i="7"/>
  <c r="G596" i="7"/>
  <c r="F792" i="7"/>
  <c r="F826" i="7" s="1"/>
  <c r="F981" i="7"/>
  <c r="V981" i="7" s="1"/>
  <c r="E1022" i="7"/>
  <c r="E1034" i="7" s="1"/>
  <c r="AC18" i="9"/>
  <c r="O399" i="14" s="1"/>
  <c r="J20" i="10"/>
  <c r="G597" i="7"/>
  <c r="H597" i="7"/>
  <c r="E20" i="12"/>
  <c r="AF124" i="1" l="1"/>
  <c r="AF23" i="1"/>
  <c r="AF121" i="1"/>
  <c r="M792" i="7"/>
  <c r="M826" i="7" s="1"/>
  <c r="O406" i="14"/>
  <c r="P406" i="14"/>
  <c r="AC135" i="9"/>
  <c r="Y31" i="6" l="1"/>
  <c r="AF66" i="1"/>
  <c r="AK33" i="9" s="1"/>
  <c r="AF167" i="1"/>
  <c r="AF169" i="1" s="1"/>
  <c r="AF122" i="1"/>
  <c r="AG115" i="1"/>
  <c r="AF113" i="1"/>
  <c r="AE178" i="9"/>
  <c r="H297" i="7"/>
  <c r="H298" i="7" s="1"/>
  <c r="G550" i="7"/>
  <c r="F585" i="7"/>
  <c r="F586" i="7" s="1"/>
  <c r="F798" i="7"/>
  <c r="F799" i="7" s="1"/>
  <c r="F833" i="7" s="1"/>
  <c r="F992" i="7"/>
  <c r="F993" i="7" s="1"/>
  <c r="G1107" i="7"/>
  <c r="G1214" i="7"/>
  <c r="AC19" i="9"/>
  <c r="AC143" i="9" s="1"/>
  <c r="J22" i="10"/>
  <c r="E299" i="14"/>
  <c r="E11" i="15"/>
  <c r="E12" i="15" s="1"/>
  <c r="E14" i="15" s="1"/>
  <c r="Q21" i="6"/>
  <c r="AG111" i="1" l="1"/>
  <c r="AG336" i="1"/>
  <c r="AG371" i="1" s="1"/>
  <c r="AG262" i="1"/>
  <c r="AC177" i="9"/>
  <c r="AF112" i="9"/>
  <c r="AF178" i="9"/>
  <c r="Q41" i="6"/>
  <c r="G1113" i="7" s="1"/>
  <c r="G1112" i="7" s="1"/>
  <c r="X1133" i="7" s="1"/>
  <c r="T1126" i="7" s="1"/>
  <c r="T1127" i="7" s="1"/>
  <c r="T1130" i="7" s="1"/>
  <c r="AE112" i="9"/>
  <c r="Q57" i="6"/>
  <c r="M798" i="7"/>
  <c r="M832" i="7" s="1"/>
  <c r="V992" i="7"/>
  <c r="F832" i="7"/>
  <c r="F592" i="7"/>
  <c r="E12" i="12"/>
  <c r="E15" i="15"/>
  <c r="D614" i="7" s="1"/>
  <c r="E24" i="15"/>
  <c r="E43" i="15"/>
  <c r="E56" i="15"/>
  <c r="E1023" i="7"/>
  <c r="E1035" i="7" s="1"/>
  <c r="G1108" i="7"/>
  <c r="G1120" i="7"/>
  <c r="J171" i="13"/>
  <c r="E612" i="7"/>
  <c r="H316" i="7"/>
  <c r="AG112" i="1" l="1"/>
  <c r="AG20" i="1"/>
  <c r="AL20" i="9" s="1"/>
  <c r="AG120" i="1"/>
  <c r="AG1128" i="7"/>
  <c r="AI1126" i="7" s="1"/>
  <c r="O4" i="12"/>
  <c r="X1126" i="7"/>
  <c r="AA1126" i="7" s="1"/>
  <c r="E21" i="12"/>
  <c r="E22" i="12" s="1"/>
  <c r="E28" i="12"/>
  <c r="E25" i="15"/>
  <c r="E32" i="15"/>
  <c r="E34" i="15" s="1"/>
  <c r="G1130" i="7"/>
  <c r="G1131" i="7" s="1"/>
  <c r="G1121" i="7"/>
  <c r="G1197" i="7"/>
  <c r="Q44" i="6"/>
  <c r="O7" i="12" s="1"/>
  <c r="E23" i="12"/>
  <c r="T1131" i="7"/>
  <c r="U1129" i="7" s="1"/>
  <c r="V1129" i="7" s="1"/>
  <c r="AG121" i="1" l="1"/>
  <c r="AG124" i="1"/>
  <c r="AG23" i="1"/>
  <c r="AC30" i="9"/>
  <c r="X1129" i="7"/>
  <c r="AC1129" i="7" s="1"/>
  <c r="U1130" i="7"/>
  <c r="V1130" i="7" s="1"/>
  <c r="E24" i="12"/>
  <c r="G1198" i="7"/>
  <c r="G1203" i="7"/>
  <c r="Z31" i="6" l="1"/>
  <c r="AG122" i="1"/>
  <c r="AH115" i="1"/>
  <c r="AG167" i="1"/>
  <c r="AG169" i="1" s="1"/>
  <c r="AG66" i="1"/>
  <c r="AL33" i="9" s="1"/>
  <c r="AG113" i="1"/>
  <c r="X1130" i="7"/>
  <c r="Y1130" i="7" s="1"/>
  <c r="X1131" i="7"/>
  <c r="Y1131" i="7" s="1"/>
  <c r="AC111" i="9"/>
  <c r="AC179" i="9"/>
  <c r="AH111" i="1" l="1"/>
  <c r="AH336" i="1"/>
  <c r="AH371" i="1" s="1"/>
  <c r="AH262" i="1"/>
  <c r="E26" i="12"/>
  <c r="Q38" i="6"/>
  <c r="AH112" i="1" l="1"/>
  <c r="AH20" i="1"/>
  <c r="AM20" i="9" s="1"/>
  <c r="AH120" i="1"/>
  <c r="AC29" i="9"/>
  <c r="E1025" i="7"/>
  <c r="E1037" i="7" s="1"/>
  <c r="E25" i="12"/>
  <c r="AC14" i="9"/>
  <c r="AC15" i="9"/>
  <c r="Q52" i="6"/>
  <c r="AH121" i="1" l="1"/>
  <c r="AH124" i="1"/>
  <c r="AH23" i="1"/>
  <c r="AC27" i="9"/>
  <c r="Q55" i="6"/>
  <c r="Q53" i="6"/>
  <c r="AH167" i="1" l="1"/>
  <c r="AH169" i="1" s="1"/>
  <c r="AI115" i="1"/>
  <c r="AH122" i="1"/>
  <c r="AH66" i="1"/>
  <c r="AM33" i="9" s="1"/>
  <c r="AH113" i="1"/>
  <c r="AA31" i="6"/>
  <c r="G1215" i="7"/>
  <c r="F995" i="7"/>
  <c r="E1024" i="7"/>
  <c r="E1036" i="7" s="1"/>
  <c r="AI262" i="1" l="1"/>
  <c r="AI336" i="1"/>
  <c r="AI371" i="1" s="1"/>
  <c r="AI111" i="1"/>
  <c r="F997" i="7"/>
  <c r="V995" i="7"/>
  <c r="G551" i="7"/>
  <c r="AC22" i="9"/>
  <c r="N185" i="7"/>
  <c r="G598" i="7"/>
  <c r="J23" i="10"/>
  <c r="H299" i="7"/>
  <c r="F587" i="7"/>
  <c r="F801" i="7"/>
  <c r="Q31" i="6"/>
  <c r="Q45" i="6" s="1"/>
  <c r="O8" i="12" s="1"/>
  <c r="Q23" i="6"/>
  <c r="G1216" i="7"/>
  <c r="AI112" i="1" l="1"/>
  <c r="AI20" i="1"/>
  <c r="AN20" i="9" s="1"/>
  <c r="AI120" i="1"/>
  <c r="AI121" i="1" s="1"/>
  <c r="E617" i="7"/>
  <c r="J172" i="13"/>
  <c r="J173" i="13" s="1"/>
  <c r="D335" i="14"/>
  <c r="AC150" i="9"/>
  <c r="AC156" i="9" s="1"/>
  <c r="O388" i="14"/>
  <c r="G1218" i="7"/>
  <c r="G1222" i="7" s="1"/>
  <c r="AC180" i="9"/>
  <c r="AC184" i="9" s="1"/>
  <c r="AC188" i="9" s="1"/>
  <c r="AC191" i="9" s="1"/>
  <c r="E13" i="12"/>
  <c r="Q28" i="6"/>
  <c r="AC204" i="9" s="1"/>
  <c r="F803" i="7"/>
  <c r="F836" i="7" s="1"/>
  <c r="F804" i="7"/>
  <c r="F835" i="7"/>
  <c r="M801" i="7"/>
  <c r="M835" i="7" s="1"/>
  <c r="G552" i="7"/>
  <c r="G555" i="7"/>
  <c r="F589" i="7"/>
  <c r="F588" i="7"/>
  <c r="F802" i="7"/>
  <c r="M802" i="7" s="1"/>
  <c r="M836" i="7" s="1"/>
  <c r="F996" i="7"/>
  <c r="V996" i="7" s="1"/>
  <c r="G599" i="7"/>
  <c r="G606" i="7"/>
  <c r="G607" i="7" s="1"/>
  <c r="F608" i="7" s="1"/>
  <c r="F609" i="7" s="1"/>
  <c r="N197" i="7"/>
  <c r="N207" i="7" s="1"/>
  <c r="N209" i="7" s="1"/>
  <c r="N187" i="7"/>
  <c r="N190" i="7"/>
  <c r="AC23" i="9"/>
  <c r="O37" i="5"/>
  <c r="Q42" i="6"/>
  <c r="H301" i="7"/>
  <c r="H318" i="7" s="1"/>
  <c r="H317" i="7"/>
  <c r="H300" i="7"/>
  <c r="AI167" i="1" l="1"/>
  <c r="AI169" i="1" s="1"/>
  <c r="AI66" i="1"/>
  <c r="AN33" i="9" s="1"/>
  <c r="AI122" i="1"/>
  <c r="AI113" i="1"/>
  <c r="AI124" i="1"/>
  <c r="AI23" i="1"/>
  <c r="AC197" i="9"/>
  <c r="O9" i="12" s="1"/>
  <c r="AC198" i="9"/>
  <c r="F837" i="7"/>
  <c r="F805" i="7"/>
  <c r="F838" i="7" s="1"/>
  <c r="H302" i="7"/>
  <c r="H319" i="7" s="1"/>
  <c r="H303" i="7"/>
  <c r="G1109" i="7"/>
  <c r="AC31" i="9"/>
  <c r="Q48" i="6"/>
  <c r="E18" i="12"/>
  <c r="Q29" i="6"/>
  <c r="Q49" i="6" s="1"/>
  <c r="N199" i="7"/>
  <c r="N192" i="7"/>
  <c r="G556" i="7"/>
  <c r="G557" i="7" s="1"/>
  <c r="G559" i="7"/>
  <c r="G560" i="7" s="1"/>
  <c r="D561" i="7" s="1"/>
  <c r="Q43" i="6"/>
  <c r="O6" i="12" s="1"/>
  <c r="O5" i="12"/>
  <c r="AC109" i="9"/>
  <c r="AC24" i="9"/>
  <c r="G1219" i="7"/>
  <c r="G1224" i="7" s="1"/>
  <c r="G1231" i="7" s="1"/>
  <c r="H1219" i="7"/>
  <c r="H1224" i="7" s="1"/>
  <c r="H1218" i="7"/>
  <c r="G1223" i="7"/>
  <c r="AB31" i="6" l="1"/>
  <c r="G1220" i="7"/>
  <c r="G1241" i="7"/>
  <c r="G1242" i="7" s="1"/>
  <c r="G1232" i="7"/>
  <c r="G1111" i="7"/>
  <c r="G1122" i="7"/>
  <c r="D565" i="7"/>
  <c r="D579" i="7"/>
  <c r="E579" i="7" s="1"/>
  <c r="AC33" i="9"/>
  <c r="O393" i="14"/>
  <c r="AC118" i="9"/>
  <c r="Q47" i="6"/>
  <c r="H1222" i="7"/>
  <c r="H1231" i="7" s="1"/>
  <c r="H1220" i="7"/>
  <c r="I1218" i="7"/>
  <c r="H1223" i="7"/>
  <c r="D566" i="7" l="1"/>
  <c r="D580" i="7" s="1"/>
  <c r="E580" i="7" s="1"/>
  <c r="D572" i="7"/>
  <c r="D577" i="7" s="1"/>
  <c r="E577" i="7" s="1"/>
  <c r="I1222" i="7"/>
  <c r="I1231" i="7" s="1"/>
  <c r="I1220" i="7"/>
  <c r="J1218" i="7"/>
  <c r="I1223" i="7"/>
  <c r="G1199" i="7"/>
  <c r="G1124" i="7"/>
  <c r="G1125" i="7" s="1"/>
  <c r="Q54" i="6"/>
  <c r="F572" i="7" l="1"/>
  <c r="G1233" i="7"/>
  <c r="G1235" i="7" s="1"/>
  <c r="G1201" i="7"/>
  <c r="K1218" i="7"/>
  <c r="J1223" i="7"/>
  <c r="J1222" i="7"/>
  <c r="J1231" i="7" s="1"/>
  <c r="J1220" i="7"/>
  <c r="E572" i="7"/>
  <c r="E574" i="7" s="1"/>
  <c r="D574" i="7"/>
  <c r="AD20" i="9"/>
  <c r="F23" i="12" l="1"/>
  <c r="R31" i="6"/>
  <c r="AD33" i="9"/>
  <c r="G1236" i="7"/>
  <c r="K1223" i="7"/>
  <c r="K1222" i="7"/>
  <c r="K1231" i="7" s="1"/>
  <c r="K1220" i="7"/>
  <c r="AD30" i="9"/>
  <c r="R26" i="6" l="1"/>
  <c r="AD179" i="9" s="1"/>
  <c r="F16" i="12"/>
  <c r="F24" i="12"/>
  <c r="AD184" i="9" l="1"/>
  <c r="AD188" i="9" s="1"/>
  <c r="AD191" i="9" s="1"/>
  <c r="R28" i="6"/>
  <c r="F1025" i="7"/>
  <c r="F1037" i="7" s="1"/>
  <c r="AD29" i="9"/>
  <c r="F25" i="12"/>
  <c r="AD111" i="9"/>
  <c r="F26" i="12"/>
  <c r="R38" i="6"/>
  <c r="AD197" i="9" l="1"/>
  <c r="P9" i="12" s="1"/>
  <c r="AD198" i="9"/>
  <c r="I303" i="7"/>
  <c r="AD204" i="9"/>
  <c r="R29" i="6"/>
  <c r="R49" i="6" s="1"/>
  <c r="F18" i="12"/>
  <c r="R48" i="6"/>
  <c r="R47" i="6" s="1"/>
  <c r="AD31" i="9"/>
  <c r="H1109" i="7"/>
  <c r="H1111" i="7" s="1"/>
  <c r="I302" i="7"/>
  <c r="I319" i="7" s="1"/>
  <c r="AE20" i="9"/>
  <c r="AD14" i="9"/>
  <c r="AD15" i="9"/>
  <c r="R52" i="6"/>
  <c r="H1122" i="7" l="1"/>
  <c r="H1199" i="7" s="1"/>
  <c r="AD27" i="9"/>
  <c r="AE33" i="9"/>
  <c r="G23" i="12"/>
  <c r="S31" i="6"/>
  <c r="H1124" i="7" l="1"/>
  <c r="H1125" i="7" s="1"/>
  <c r="H1233" i="7"/>
  <c r="H1235" i="7" s="1"/>
  <c r="H1201" i="7"/>
  <c r="H1236" i="7" l="1"/>
  <c r="R54" i="6" l="1"/>
  <c r="AF20" i="9"/>
  <c r="AF33" i="9" l="1"/>
  <c r="T31" i="6"/>
  <c r="H23" i="12"/>
  <c r="AG20" i="9" l="1"/>
  <c r="U31" i="6" l="1"/>
  <c r="I23" i="12"/>
  <c r="J23" i="12" s="1"/>
  <c r="AG33" i="9"/>
  <c r="AH20" i="9" l="1"/>
  <c r="AH33" i="9" l="1"/>
  <c r="V31" i="6"/>
  <c r="AI20" i="9" l="1"/>
  <c r="AI33" i="9" l="1"/>
  <c r="W31" i="6"/>
  <c r="N26" i="13" l="1"/>
  <c r="Z111" i="13"/>
  <c r="DV50" i="3"/>
  <c r="Z67" i="13" s="1"/>
  <c r="N27" i="13"/>
  <c r="Z112" i="13"/>
  <c r="DV51" i="3"/>
  <c r="Z68" i="13" s="1"/>
  <c r="F984" i="7"/>
  <c r="V984" i="7" s="1"/>
  <c r="J13" i="10"/>
  <c r="DV67" i="3"/>
  <c r="Z30" i="13" s="1"/>
  <c r="DV68" i="3"/>
  <c r="AF107" i="2" s="1"/>
  <c r="J12" i="10" l="1"/>
  <c r="Z31" i="13"/>
  <c r="Q250" i="7"/>
  <c r="Q249" i="7"/>
  <c r="F985" i="7"/>
  <c r="V985" i="7" s="1"/>
  <c r="Q256" i="7" l="1"/>
  <c r="R256" i="7" s="1"/>
  <c r="S256" i="7" s="1"/>
  <c r="T256" i="7" s="1"/>
  <c r="U256" i="7" s="1"/>
  <c r="V256" i="7" s="1"/>
  <c r="W256" i="7" s="1"/>
  <c r="X256" i="7" s="1"/>
  <c r="Y256" i="7" s="1"/>
  <c r="Z256" i="7" s="1"/>
  <c r="AA256" i="7" s="1"/>
  <c r="Q255" i="7"/>
  <c r="R255" i="7" s="1"/>
  <c r="S255" i="7" s="1"/>
  <c r="T255" i="7" s="1"/>
  <c r="U255" i="7" s="1"/>
  <c r="V255" i="7" s="1"/>
  <c r="W255" i="7" s="1"/>
  <c r="X255" i="7" s="1"/>
  <c r="Y255" i="7" s="1"/>
  <c r="Z255" i="7" s="1"/>
  <c r="AA255" i="7" s="1"/>
  <c r="DV52" i="3"/>
  <c r="Z69" i="13" s="1"/>
  <c r="BO69" i="3"/>
  <c r="BO70" i="3" l="1"/>
  <c r="DZ70" i="3" s="1"/>
  <c r="DZ69" i="3"/>
  <c r="AD32" i="13" s="1"/>
  <c r="DV69" i="3"/>
  <c r="Z32" i="13" s="1"/>
  <c r="BO53" i="3"/>
  <c r="DZ53" i="3" s="1"/>
  <c r="S93" i="2" l="1"/>
  <c r="T93" i="2"/>
  <c r="F987" i="7"/>
  <c r="V987" i="7" s="1"/>
  <c r="BO105" i="3"/>
  <c r="DV70" i="3"/>
  <c r="AF123" i="2" s="1"/>
  <c r="AB19" i="5" s="1"/>
  <c r="BO119" i="3"/>
  <c r="F986" i="7"/>
  <c r="V986" i="7" s="1"/>
  <c r="J14" i="10"/>
  <c r="J15" i="10" s="1"/>
  <c r="J17" i="10" s="1"/>
  <c r="J19" i="10" s="1"/>
  <c r="Q251" i="7"/>
  <c r="S701" i="7"/>
  <c r="S703" i="7" s="1"/>
  <c r="DV53" i="3"/>
  <c r="S142" i="2" l="1"/>
  <c r="Q257" i="7"/>
  <c r="R257" i="7" s="1"/>
  <c r="S257" i="7" s="1"/>
  <c r="T257" i="7" s="1"/>
  <c r="U257" i="7" s="1"/>
  <c r="V257" i="7" s="1"/>
  <c r="W257" i="7" s="1"/>
  <c r="X257" i="7" s="1"/>
  <c r="Y257" i="7" s="1"/>
  <c r="Z257" i="7" s="1"/>
  <c r="AA257" i="7" s="1"/>
  <c r="Q252" i="7"/>
  <c r="S81" i="2"/>
  <c r="S133" i="2" s="1"/>
  <c r="F988" i="7"/>
  <c r="V988" i="7" s="1"/>
  <c r="S85" i="2"/>
  <c r="S141" i="2" s="1"/>
  <c r="E300" i="14" s="1"/>
  <c r="S114" i="2" l="1"/>
  <c r="S82" i="2"/>
  <c r="T82" i="2"/>
  <c r="S83" i="2"/>
  <c r="S127" i="2"/>
  <c r="X6" i="1" s="1"/>
  <c r="S86" i="2"/>
  <c r="T86" i="2"/>
  <c r="Q253" i="7"/>
  <c r="R253" i="7"/>
  <c r="Q258" i="7"/>
  <c r="R258" i="7" s="1"/>
  <c r="S258" i="7" s="1"/>
  <c r="T258" i="7" s="1"/>
  <c r="U258" i="7" s="1"/>
  <c r="V258" i="7" s="1"/>
  <c r="W258" i="7" s="1"/>
  <c r="X258" i="7" s="1"/>
  <c r="Y258" i="7" s="1"/>
  <c r="Z258" i="7" s="1"/>
  <c r="AA258" i="7" s="1"/>
  <c r="S143" i="2" l="1"/>
  <c r="S128" i="2"/>
  <c r="T128" i="2"/>
  <c r="S148" i="2"/>
  <c r="O36" i="5"/>
  <c r="S115" i="2"/>
  <c r="T115" i="2"/>
  <c r="S117" i="2"/>
  <c r="F998" i="7" l="1"/>
  <c r="Q62" i="6"/>
  <c r="Q63" i="6" s="1"/>
  <c r="V998" i="7" l="1"/>
  <c r="F999" i="7"/>
  <c r="R5" i="13" l="1"/>
  <c r="BQ71" i="3"/>
  <c r="DX71" i="3" s="1"/>
  <c r="BR71" i="3"/>
  <c r="DY71" i="3" s="1"/>
  <c r="R6" i="13" l="1"/>
  <c r="R12" i="13" s="1"/>
  <c r="AW5" i="13" l="1"/>
  <c r="AR5" i="13"/>
  <c r="AD83" i="13"/>
  <c r="AP5" i="13"/>
  <c r="AT5" i="13"/>
  <c r="AV5" i="13"/>
  <c r="DZ104" i="3"/>
  <c r="AD33" i="13" s="1"/>
  <c r="BS118" i="3"/>
  <c r="AD74" i="13" l="1"/>
  <c r="R10" i="13"/>
  <c r="AG140" i="2"/>
  <c r="Z179" i="1"/>
  <c r="Z174" i="1" s="1"/>
  <c r="Y195" i="1"/>
  <c r="Y196" i="1"/>
  <c r="Y197" i="1" l="1"/>
  <c r="Y104" i="1"/>
  <c r="Y106" i="1" s="1"/>
  <c r="Z176" i="1"/>
  <c r="Z338" i="1" s="1"/>
  <c r="Z25" i="1"/>
  <c r="BX200" i="3" s="1"/>
  <c r="Z93" i="1"/>
  <c r="Y191" i="1"/>
  <c r="Y189" i="1" s="1"/>
  <c r="Y190" i="1" s="1"/>
  <c r="BW200" i="3" l="1"/>
  <c r="BW202" i="3" s="1"/>
  <c r="BX202" i="3"/>
  <c r="Y101" i="1"/>
  <c r="Y102" i="1" s="1"/>
  <c r="Y86" i="1"/>
  <c r="R11" i="6"/>
  <c r="AD120" i="9"/>
  <c r="AD119" i="9" s="1"/>
  <c r="AD118" i="9" s="1"/>
  <c r="H1106" i="7"/>
  <c r="AD7" i="9"/>
  <c r="AD25" i="9" s="1"/>
  <c r="Z30" i="1"/>
  <c r="AE28" i="9"/>
  <c r="AE110" i="9"/>
  <c r="Z177" i="1"/>
  <c r="Z264" i="1"/>
  <c r="Z266" i="1" s="1"/>
  <c r="S24" i="6"/>
  <c r="H1108" i="7" l="1"/>
  <c r="H1119" i="7"/>
  <c r="R15" i="6"/>
  <c r="G591" i="7"/>
  <c r="G592" i="7" s="1"/>
  <c r="R57" i="6"/>
  <c r="F7" i="12"/>
  <c r="Y87" i="1"/>
  <c r="Y105" i="1" s="1"/>
  <c r="R53" i="6"/>
  <c r="Z268" i="1"/>
  <c r="Z271" i="1"/>
  <c r="Z275" i="1" s="1"/>
  <c r="AE186" i="9"/>
  <c r="G14" i="12"/>
  <c r="G24" i="12"/>
  <c r="F28" i="12" l="1"/>
  <c r="F10" i="12"/>
  <c r="H1196" i="7"/>
  <c r="H1121" i="7"/>
  <c r="H1128" i="7"/>
  <c r="H1129" i="7" s="1"/>
  <c r="R45" i="6"/>
  <c r="P8" i="12" s="1"/>
  <c r="R44" i="6"/>
  <c r="P7" i="12" s="1"/>
  <c r="R55" i="6"/>
  <c r="R41" i="6"/>
  <c r="R42" i="6"/>
  <c r="Z259" i="1"/>
  <c r="Z340" i="1"/>
  <c r="Z342" i="1" s="1"/>
  <c r="R43" i="6" l="1"/>
  <c r="P6" i="12" s="1"/>
  <c r="P5" i="12"/>
  <c r="H1202" i="7"/>
  <c r="H1203" i="7" s="1"/>
  <c r="H1130" i="7"/>
  <c r="H1198" i="7"/>
  <c r="H1230" i="7"/>
  <c r="H1113" i="7"/>
  <c r="H1112" i="7" s="1"/>
  <c r="Y1133" i="7" s="1"/>
  <c r="P4" i="12"/>
  <c r="AD41" i="6"/>
  <c r="AE30" i="9"/>
  <c r="Z343" i="1"/>
  <c r="Z370" i="1"/>
  <c r="Z257" i="1"/>
  <c r="Z269" i="1"/>
  <c r="Z277" i="1" s="1"/>
  <c r="S26" i="6"/>
  <c r="H1239" i="7" l="1"/>
  <c r="H1240" i="7" s="1"/>
  <c r="H1241" i="7" s="1"/>
  <c r="H1242" i="7" s="1"/>
  <c r="H1232" i="7"/>
  <c r="H1131" i="7"/>
  <c r="Z283" i="1"/>
  <c r="Z284" i="1" s="1"/>
  <c r="Z95" i="1" s="1"/>
  <c r="Z279" i="1"/>
  <c r="Z364" i="1"/>
  <c r="Z374" i="1"/>
  <c r="AE179" i="9"/>
  <c r="AE184" i="9" s="1"/>
  <c r="AE188" i="9" s="1"/>
  <c r="AE191" i="9" s="1"/>
  <c r="S28" i="6"/>
  <c r="Z32" i="1"/>
  <c r="BX204" i="3" s="1"/>
  <c r="G16" i="12"/>
  <c r="Z38" i="1"/>
  <c r="Z344" i="1"/>
  <c r="BX208" i="3" l="1"/>
  <c r="BX210" i="3" s="1"/>
  <c r="BW204" i="3"/>
  <c r="BX205" i="3"/>
  <c r="Z206" i="1"/>
  <c r="Z205" i="1" s="1"/>
  <c r="Z68" i="1" s="1"/>
  <c r="Z35" i="1"/>
  <c r="AE31" i="9"/>
  <c r="I1109" i="7"/>
  <c r="AE204" i="9"/>
  <c r="S29" i="6"/>
  <c r="S49" i="6" s="1"/>
  <c r="S48" i="6"/>
  <c r="S47" i="6" s="1"/>
  <c r="G18" i="12"/>
  <c r="AE198" i="9"/>
  <c r="AE197" i="9"/>
  <c r="Q9" i="12" s="1"/>
  <c r="S38" i="6"/>
  <c r="G26" i="12"/>
  <c r="Z366" i="1"/>
  <c r="Z375" i="1"/>
  <c r="AE111" i="9"/>
  <c r="Z102" i="1"/>
  <c r="BW205" i="3" l="1"/>
  <c r="BW208" i="3"/>
  <c r="I1111" i="7"/>
  <c r="I1122" i="7"/>
  <c r="AE14" i="9"/>
  <c r="AE15" i="9"/>
  <c r="S52" i="6"/>
  <c r="AE29" i="9"/>
  <c r="G1025" i="7"/>
  <c r="G1037" i="7" s="1"/>
  <c r="Z37" i="1"/>
  <c r="Z308" i="1"/>
  <c r="Z307" i="1" s="1"/>
  <c r="G25" i="12"/>
  <c r="Z365" i="1"/>
  <c r="Z40" i="1"/>
  <c r="Z376" i="1"/>
  <c r="Z104" i="1"/>
  <c r="Z106" i="1" s="1"/>
  <c r="BW209" i="3" l="1"/>
  <c r="BW210" i="3"/>
  <c r="Z86" i="1"/>
  <c r="C91" i="6" s="1"/>
  <c r="C94" i="6" s="1"/>
  <c r="AE7" i="9"/>
  <c r="AE25" i="9" s="1"/>
  <c r="Z195" i="1"/>
  <c r="AE120" i="9"/>
  <c r="AE119" i="9" s="1"/>
  <c r="AE118" i="9" s="1"/>
  <c r="I1106" i="7"/>
  <c r="S11" i="6"/>
  <c r="I1124" i="7"/>
  <c r="I1125" i="7" s="1"/>
  <c r="I1199" i="7"/>
  <c r="Z81" i="1"/>
  <c r="F73" i="15" l="1"/>
  <c r="H73" i="15" s="1"/>
  <c r="F74" i="15" s="1"/>
  <c r="G74" i="15" s="1"/>
  <c r="C98" i="6"/>
  <c r="N72" i="15"/>
  <c r="N73" i="15" s="1"/>
  <c r="Z194" i="1"/>
  <c r="Z197" i="1"/>
  <c r="Z191" i="1"/>
  <c r="Z189" i="1" s="1"/>
  <c r="Z190" i="1" s="1"/>
  <c r="H591" i="7"/>
  <c r="H592" i="7" s="1"/>
  <c r="G7" i="12"/>
  <c r="S57" i="6"/>
  <c r="S15" i="6"/>
  <c r="I1119" i="7"/>
  <c r="I1108" i="7"/>
  <c r="AE27" i="9"/>
  <c r="Z83" i="1"/>
  <c r="I1201" i="7"/>
  <c r="I1233" i="7"/>
  <c r="I1235" i="7" s="1"/>
  <c r="Z87" i="1"/>
  <c r="Z105" i="1" s="1"/>
  <c r="S53" i="6"/>
  <c r="I1236" i="7" l="1"/>
  <c r="C100" i="6"/>
  <c r="N74" i="15"/>
  <c r="N76" i="15" s="1"/>
  <c r="S44" i="6"/>
  <c r="Q7" i="12" s="1"/>
  <c r="S55" i="6"/>
  <c r="S41" i="6"/>
  <c r="S45" i="6"/>
  <c r="Q8" i="12" s="1"/>
  <c r="S42" i="6"/>
  <c r="G10" i="12"/>
  <c r="G28" i="12"/>
  <c r="Z203" i="1"/>
  <c r="Z60" i="1" s="1"/>
  <c r="Z64" i="1" s="1"/>
  <c r="Z70" i="1" s="1"/>
  <c r="S54" i="6" s="1"/>
  <c r="AA179" i="1"/>
  <c r="AA174" i="1" s="1"/>
  <c r="Z196" i="1"/>
  <c r="I1128" i="7"/>
  <c r="I1129" i="7" s="1"/>
  <c r="I1121" i="7"/>
  <c r="I1196" i="7"/>
  <c r="C103" i="6" l="1"/>
  <c r="AE1" i="2"/>
  <c r="I1113" i="7"/>
  <c r="I1112" i="7" s="1"/>
  <c r="Z1133" i="7" s="1"/>
  <c r="Q4" i="12"/>
  <c r="S43" i="6"/>
  <c r="Q6" i="12" s="1"/>
  <c r="Q5" i="12"/>
  <c r="I1202" i="7"/>
  <c r="I1203" i="7" s="1"/>
  <c r="I1130" i="7"/>
  <c r="Z84" i="1"/>
  <c r="Z2" i="1" s="1"/>
  <c r="I1230" i="7"/>
  <c r="I1198" i="7"/>
  <c r="AA176" i="1"/>
  <c r="AA338" i="1" s="1"/>
  <c r="AA25" i="1"/>
  <c r="AA93" i="1"/>
  <c r="I1131" i="7" l="1"/>
  <c r="AA30" i="1"/>
  <c r="AF28" i="9"/>
  <c r="AF110" i="9"/>
  <c r="AA177" i="1"/>
  <c r="AA264" i="1"/>
  <c r="AA266" i="1" s="1"/>
  <c r="T24" i="6"/>
  <c r="I1239" i="7"/>
  <c r="I1240" i="7" s="1"/>
  <c r="I1241" i="7" s="1"/>
  <c r="I1242" i="7" s="1"/>
  <c r="I1232" i="7"/>
  <c r="AA268" i="1" l="1"/>
  <c r="AA271" i="1"/>
  <c r="AA275" i="1" s="1"/>
  <c r="AF186" i="9"/>
  <c r="H14" i="12"/>
  <c r="H24" i="12"/>
  <c r="AA259" i="1" l="1"/>
  <c r="AA340" i="1"/>
  <c r="AA342" i="1" s="1"/>
  <c r="AF30" i="9" l="1"/>
  <c r="AA343" i="1"/>
  <c r="AA370" i="1"/>
  <c r="AA257" i="1"/>
  <c r="AA269" i="1"/>
  <c r="AA277" i="1" s="1"/>
  <c r="T26" i="6"/>
  <c r="AF179" i="9" l="1"/>
  <c r="AF184" i="9" s="1"/>
  <c r="AF188" i="9" s="1"/>
  <c r="AF191" i="9" s="1"/>
  <c r="T28" i="6"/>
  <c r="AA283" i="1"/>
  <c r="AA284" i="1" s="1"/>
  <c r="AA95" i="1" s="1"/>
  <c r="AA279" i="1"/>
  <c r="AA38" i="1"/>
  <c r="AA344" i="1"/>
  <c r="AA32" i="1"/>
  <c r="H16" i="12"/>
  <c r="AA364" i="1"/>
  <c r="AA374" i="1"/>
  <c r="AF111" i="9" l="1"/>
  <c r="AA102" i="1"/>
  <c r="T38" i="6"/>
  <c r="H26" i="12"/>
  <c r="AF31" i="9"/>
  <c r="J1109" i="7"/>
  <c r="AF204" i="9"/>
  <c r="T29" i="6"/>
  <c r="T49" i="6" s="1"/>
  <c r="T48" i="6"/>
  <c r="T47" i="6" s="1"/>
  <c r="H18" i="12"/>
  <c r="AA35" i="1"/>
  <c r="AA375" i="1"/>
  <c r="AA366" i="1"/>
  <c r="AA206" i="1"/>
  <c r="AF198" i="9"/>
  <c r="AF197" i="9"/>
  <c r="R9" i="12" s="1"/>
  <c r="J1122" i="7" l="1"/>
  <c r="J1111" i="7"/>
  <c r="AA205" i="1"/>
  <c r="AA68" i="1" s="1"/>
  <c r="AA40" i="1"/>
  <c r="AA376" i="1"/>
  <c r="AF14" i="9"/>
  <c r="AF15" i="9"/>
  <c r="T52" i="6"/>
  <c r="AA104" i="1"/>
  <c r="AA106" i="1" s="1"/>
  <c r="AF29" i="9"/>
  <c r="H1025" i="7"/>
  <c r="H1037" i="7" s="1"/>
  <c r="AA37" i="1"/>
  <c r="AA365" i="1"/>
  <c r="AA308" i="1"/>
  <c r="AA307" i="1" s="1"/>
  <c r="H25" i="12"/>
  <c r="AA81" i="1" l="1"/>
  <c r="J1106" i="7"/>
  <c r="AA86" i="1"/>
  <c r="AF7" i="9"/>
  <c r="AF25" i="9" s="1"/>
  <c r="AA195" i="1"/>
  <c r="AF120" i="9"/>
  <c r="AF119" i="9" s="1"/>
  <c r="AF118" i="9" s="1"/>
  <c r="T11" i="6"/>
  <c r="J1124" i="7"/>
  <c r="J1125" i="7" s="1"/>
  <c r="J1199" i="7"/>
  <c r="AA194" i="1" l="1"/>
  <c r="AA197" i="1"/>
  <c r="AA191" i="1"/>
  <c r="AA189" i="1" s="1"/>
  <c r="AA190" i="1" s="1"/>
  <c r="AA87" i="1"/>
  <c r="AA105" i="1" s="1"/>
  <c r="T53" i="6"/>
  <c r="J1233" i="7"/>
  <c r="J1235" i="7" s="1"/>
  <c r="J1201" i="7"/>
  <c r="J1119" i="7"/>
  <c r="J1108" i="7"/>
  <c r="I591" i="7"/>
  <c r="I592" i="7" s="1"/>
  <c r="T57" i="6"/>
  <c r="H7" i="12"/>
  <c r="T15" i="6"/>
  <c r="AF27" i="9"/>
  <c r="AA83" i="1"/>
  <c r="J1236" i="7" l="1"/>
  <c r="T42" i="6"/>
  <c r="T41" i="6"/>
  <c r="T44" i="6"/>
  <c r="R7" i="12" s="1"/>
  <c r="T55" i="6"/>
  <c r="T45" i="6"/>
  <c r="R8" i="12" s="1"/>
  <c r="AB179" i="1"/>
  <c r="AB174" i="1" s="1"/>
  <c r="AA196" i="1"/>
  <c r="AA203" i="1"/>
  <c r="AA60" i="1" s="1"/>
  <c r="AA64" i="1" s="1"/>
  <c r="AA70" i="1" s="1"/>
  <c r="T54" i="6" s="1"/>
  <c r="H10" i="12"/>
  <c r="H28" i="12"/>
  <c r="J1196" i="7"/>
  <c r="J1128" i="7"/>
  <c r="J1129" i="7" s="1"/>
  <c r="J1121" i="7"/>
  <c r="AB25" i="1" l="1"/>
  <c r="AB93" i="1"/>
  <c r="AB176" i="1"/>
  <c r="AB338" i="1" s="1"/>
  <c r="J1113" i="7"/>
  <c r="J1112" i="7" s="1"/>
  <c r="AA1133" i="7" s="1"/>
  <c r="R4" i="12"/>
  <c r="J1230" i="7"/>
  <c r="J1198" i="7"/>
  <c r="R5" i="12"/>
  <c r="T43" i="6"/>
  <c r="R6" i="12" s="1"/>
  <c r="J1202" i="7"/>
  <c r="J1203" i="7" s="1"/>
  <c r="J1130" i="7"/>
  <c r="AA84" i="1"/>
  <c r="AA2" i="1" s="1"/>
  <c r="J1131" i="7" l="1"/>
  <c r="AG110" i="9"/>
  <c r="J1239" i="7"/>
  <c r="J1240" i="7" s="1"/>
  <c r="J1241" i="7" s="1"/>
  <c r="J1242" i="7" s="1"/>
  <c r="J1232" i="7"/>
  <c r="AB264" i="1"/>
  <c r="AB266" i="1" s="1"/>
  <c r="AB177" i="1"/>
  <c r="U24" i="6"/>
  <c r="AD24" i="6" s="1"/>
  <c r="AB30" i="1"/>
  <c r="AG28" i="9"/>
  <c r="AG186" i="9" l="1"/>
  <c r="I14" i="12"/>
  <c r="I24" i="12"/>
  <c r="J24" i="12" s="1"/>
  <c r="AB271" i="1"/>
  <c r="AB275" i="1" s="1"/>
  <c r="AB268" i="1"/>
  <c r="AB259" i="1" l="1"/>
  <c r="AB340" i="1"/>
  <c r="AB342" i="1" s="1"/>
  <c r="AG30" i="9" l="1"/>
  <c r="AB343" i="1"/>
  <c r="AB370" i="1"/>
  <c r="AB257" i="1"/>
  <c r="AB269" i="1"/>
  <c r="AB277" i="1" s="1"/>
  <c r="U26" i="6"/>
  <c r="AD26" i="6" s="1"/>
  <c r="AG179" i="9" l="1"/>
  <c r="AG184" i="9" s="1"/>
  <c r="AG188" i="9" s="1"/>
  <c r="AG191" i="9" s="1"/>
  <c r="U28" i="6"/>
  <c r="AD28" i="6" s="1"/>
  <c r="AB38" i="1"/>
  <c r="AB344" i="1"/>
  <c r="AB283" i="1"/>
  <c r="AB284" i="1" s="1"/>
  <c r="AB95" i="1" s="1"/>
  <c r="AB279" i="1"/>
  <c r="AB32" i="1"/>
  <c r="I16" i="12"/>
  <c r="AB364" i="1"/>
  <c r="AB374" i="1"/>
  <c r="AB35" i="1" l="1"/>
  <c r="U38" i="6"/>
  <c r="I26" i="12"/>
  <c r="J26" i="12" s="1"/>
  <c r="AG204" i="9"/>
  <c r="AG31" i="9"/>
  <c r="K1109" i="7"/>
  <c r="U29" i="6"/>
  <c r="U49" i="6" s="1"/>
  <c r="U48" i="6"/>
  <c r="U47" i="6" s="1"/>
  <c r="I18" i="12"/>
  <c r="AG111" i="9"/>
  <c r="AB102" i="1"/>
  <c r="AB375" i="1"/>
  <c r="AB366" i="1"/>
  <c r="AB206" i="1"/>
  <c r="AP197" i="9"/>
  <c r="AG198" i="9"/>
  <c r="AG197" i="9"/>
  <c r="S9" i="12" s="1"/>
  <c r="K1122" i="7" l="1"/>
  <c r="K1111" i="7"/>
  <c r="AB104" i="1"/>
  <c r="AB106" i="1" s="1"/>
  <c r="AG15" i="9"/>
  <c r="AG14" i="9"/>
  <c r="U52" i="6"/>
  <c r="AB40" i="1"/>
  <c r="AB376" i="1"/>
  <c r="AB37" i="1"/>
  <c r="AG29" i="9"/>
  <c r="I1025" i="7"/>
  <c r="I1037" i="7" s="1"/>
  <c r="AB365" i="1"/>
  <c r="AB308" i="1"/>
  <c r="AB307" i="1" s="1"/>
  <c r="I25" i="12"/>
  <c r="J25" i="12" s="1"/>
  <c r="AB205" i="1"/>
  <c r="AB68" i="1" s="1"/>
  <c r="AB81" i="1" l="1"/>
  <c r="K1106" i="7"/>
  <c r="AB86" i="1"/>
  <c r="AG7" i="9"/>
  <c r="AG25" i="9" s="1"/>
  <c r="AB195" i="1"/>
  <c r="AG120" i="9"/>
  <c r="AG119" i="9" s="1"/>
  <c r="AG118" i="9" s="1"/>
  <c r="U11" i="6"/>
  <c r="K1124" i="7"/>
  <c r="K1125" i="7" s="1"/>
  <c r="K1199" i="7"/>
  <c r="AB194" i="1" l="1"/>
  <c r="AB197" i="1"/>
  <c r="AB191" i="1"/>
  <c r="AB189" i="1" s="1"/>
  <c r="AB190" i="1" s="1"/>
  <c r="AB87" i="1"/>
  <c r="AB105" i="1" s="1"/>
  <c r="U53" i="6"/>
  <c r="K1233" i="7"/>
  <c r="K1235" i="7" s="1"/>
  <c r="K1201" i="7"/>
  <c r="K1119" i="7"/>
  <c r="K1108" i="7"/>
  <c r="J591" i="7"/>
  <c r="J592" i="7" s="1"/>
  <c r="U15" i="6"/>
  <c r="I7" i="12"/>
  <c r="U57" i="6"/>
  <c r="AB83" i="1"/>
  <c r="AG27" i="9"/>
  <c r="K1236" i="7" l="1"/>
  <c r="U42" i="6"/>
  <c r="U44" i="6"/>
  <c r="S7" i="12" s="1"/>
  <c r="U55" i="6"/>
  <c r="U41" i="6"/>
  <c r="U45" i="6"/>
  <c r="S8" i="12" s="1"/>
  <c r="AC179" i="1"/>
  <c r="AC174" i="1" s="1"/>
  <c r="AB196" i="1"/>
  <c r="AB203" i="1"/>
  <c r="AB60" i="1" s="1"/>
  <c r="AB64" i="1" s="1"/>
  <c r="AB70" i="1" s="1"/>
  <c r="U54" i="6" s="1"/>
  <c r="I10" i="12"/>
  <c r="I28" i="12"/>
  <c r="K1196" i="7"/>
  <c r="K1128" i="7"/>
  <c r="K1129" i="7" s="1"/>
  <c r="K1121" i="7"/>
  <c r="K1130" i="7" l="1"/>
  <c r="K1202" i="7"/>
  <c r="K1203" i="7" s="1"/>
  <c r="K1113" i="7"/>
  <c r="K1112" i="7" s="1"/>
  <c r="AB1133" i="7" s="1"/>
  <c r="S4" i="12"/>
  <c r="AB84" i="1"/>
  <c r="AB2" i="1" s="1"/>
  <c r="AC25" i="1"/>
  <c r="AC93" i="1"/>
  <c r="AC176" i="1"/>
  <c r="AC338" i="1" s="1"/>
  <c r="K1230" i="7"/>
  <c r="K1198" i="7"/>
  <c r="S5" i="12"/>
  <c r="U43" i="6"/>
  <c r="S6" i="12" s="1"/>
  <c r="K1131" i="7" l="1"/>
  <c r="AC264" i="1"/>
  <c r="AC266" i="1" s="1"/>
  <c r="AC177" i="1"/>
  <c r="V24" i="6"/>
  <c r="K1239" i="7"/>
  <c r="K1240" i="7" s="1"/>
  <c r="K1241" i="7" s="1"/>
  <c r="K1242" i="7" s="1"/>
  <c r="K1232" i="7"/>
  <c r="AH110" i="9"/>
  <c r="AH28" i="9"/>
  <c r="AC30" i="1"/>
  <c r="AH186" i="9" l="1"/>
  <c r="AC271" i="1"/>
  <c r="AC275" i="1" s="1"/>
  <c r="AC268" i="1"/>
  <c r="AC259" i="1" l="1"/>
  <c r="AC340" i="1"/>
  <c r="AC342" i="1" s="1"/>
  <c r="AH30" i="9" l="1"/>
  <c r="AC343" i="1"/>
  <c r="AC370" i="1"/>
  <c r="AC257" i="1"/>
  <c r="AC269" i="1"/>
  <c r="AC277" i="1" s="1"/>
  <c r="V26" i="6"/>
  <c r="AH179" i="9" l="1"/>
  <c r="AH184" i="9" s="1"/>
  <c r="AH188" i="9" s="1"/>
  <c r="AH191" i="9" s="1"/>
  <c r="V28" i="6"/>
  <c r="AC38" i="1"/>
  <c r="V38" i="6" s="1"/>
  <c r="AC344" i="1"/>
  <c r="AC283" i="1"/>
  <c r="AC284" i="1" s="1"/>
  <c r="AC95" i="1" s="1"/>
  <c r="AC279" i="1"/>
  <c r="AC32" i="1"/>
  <c r="AC364" i="1"/>
  <c r="AC374" i="1"/>
  <c r="AC206" i="1" l="1"/>
  <c r="AC205" i="1" s="1"/>
  <c r="AC68" i="1" s="1"/>
  <c r="AC35" i="1"/>
  <c r="AH111" i="9"/>
  <c r="AC102" i="1"/>
  <c r="AC375" i="1"/>
  <c r="AC366" i="1"/>
  <c r="AH204" i="9"/>
  <c r="AH31" i="9"/>
  <c r="V29" i="6"/>
  <c r="V49" i="6" s="1"/>
  <c r="V48" i="6"/>
  <c r="V47" i="6" s="1"/>
  <c r="AH15" i="9"/>
  <c r="AH14" i="9"/>
  <c r="V52" i="6"/>
  <c r="AH198" i="9"/>
  <c r="AH197" i="9"/>
  <c r="AC40" i="1" l="1"/>
  <c r="AC376" i="1"/>
  <c r="AC104" i="1"/>
  <c r="AC106" i="1" s="1"/>
  <c r="J1025" i="7"/>
  <c r="J1037" i="7" s="1"/>
  <c r="AC37" i="1"/>
  <c r="AH29" i="9"/>
  <c r="AC365" i="1"/>
  <c r="AC308" i="1"/>
  <c r="AC307" i="1" s="1"/>
  <c r="AH120" i="9" l="1"/>
  <c r="AH119" i="9" s="1"/>
  <c r="AH118" i="9" s="1"/>
  <c r="AC86" i="1"/>
  <c r="AH7" i="9"/>
  <c r="AH25" i="9" s="1"/>
  <c r="AC195" i="1"/>
  <c r="V11" i="6"/>
  <c r="AC81" i="1"/>
  <c r="AC194" i="1" l="1"/>
  <c r="AC197" i="1"/>
  <c r="AC191" i="1"/>
  <c r="AC189" i="1" s="1"/>
  <c r="AC190" i="1" s="1"/>
  <c r="K591" i="7"/>
  <c r="K592" i="7" s="1"/>
  <c r="V57" i="6"/>
  <c r="V15" i="6"/>
  <c r="AC83" i="1"/>
  <c r="AH27" i="9"/>
  <c r="AC87" i="1"/>
  <c r="AC105" i="1" s="1"/>
  <c r="V53" i="6"/>
  <c r="V41" i="6" l="1"/>
  <c r="V45" i="6"/>
  <c r="V42" i="6"/>
  <c r="V43" i="6" s="1"/>
  <c r="V44" i="6"/>
  <c r="V55" i="6"/>
  <c r="AD179" i="1"/>
  <c r="AD174" i="1" s="1"/>
  <c r="AC196" i="1"/>
  <c r="AC203" i="1"/>
  <c r="AC60" i="1" s="1"/>
  <c r="AC64" i="1" s="1"/>
  <c r="AC70" i="1" s="1"/>
  <c r="V54" i="6" s="1"/>
  <c r="AD25" i="1" l="1"/>
  <c r="AD93" i="1"/>
  <c r="AD176" i="1"/>
  <c r="AD338" i="1" s="1"/>
  <c r="AC84" i="1"/>
  <c r="AC2" i="1" s="1"/>
  <c r="AD177" i="1" l="1"/>
  <c r="AD264" i="1"/>
  <c r="AD266" i="1" s="1"/>
  <c r="W24" i="6"/>
  <c r="AI110" i="9"/>
  <c r="AI28" i="9"/>
  <c r="AD30" i="1"/>
  <c r="AI186" i="9" l="1"/>
  <c r="AD271" i="1"/>
  <c r="AD275" i="1" s="1"/>
  <c r="AD268" i="1"/>
  <c r="AD259" i="1" l="1"/>
  <c r="AD340" i="1"/>
  <c r="AD342" i="1" s="1"/>
  <c r="AI30" i="9" l="1"/>
  <c r="AD343" i="1"/>
  <c r="AD370" i="1"/>
  <c r="AD269" i="1"/>
  <c r="AD277" i="1" s="1"/>
  <c r="AD257" i="1"/>
  <c r="W26" i="6"/>
  <c r="AD283" i="1" l="1"/>
  <c r="AD284" i="1" s="1"/>
  <c r="AD95" i="1" s="1"/>
  <c r="AD279" i="1"/>
  <c r="AD38" i="1"/>
  <c r="W38" i="6" s="1"/>
  <c r="AD344" i="1"/>
  <c r="AI179" i="9"/>
  <c r="AI184" i="9" s="1"/>
  <c r="AI188" i="9" s="1"/>
  <c r="AI191" i="9" s="1"/>
  <c r="W28" i="6"/>
  <c r="AD32" i="1"/>
  <c r="AD364" i="1"/>
  <c r="AD374" i="1"/>
  <c r="AD206" i="1" l="1"/>
  <c r="AD205" i="1" s="1"/>
  <c r="AD68" i="1" s="1"/>
  <c r="AD35" i="1"/>
  <c r="AI31" i="9"/>
  <c r="AI204" i="9"/>
  <c r="W29" i="6"/>
  <c r="W49" i="6" s="1"/>
  <c r="W48" i="6"/>
  <c r="W47" i="6" s="1"/>
  <c r="AD375" i="1"/>
  <c r="AD366" i="1"/>
  <c r="AI198" i="9"/>
  <c r="AI197" i="9"/>
  <c r="AI15" i="9"/>
  <c r="AI14" i="9"/>
  <c r="W52" i="6"/>
  <c r="AI111" i="9"/>
  <c r="AD102" i="1"/>
  <c r="K1025" i="7" l="1"/>
  <c r="K1037" i="7" s="1"/>
  <c r="AD37" i="1"/>
  <c r="AI29" i="9"/>
  <c r="AD365" i="1"/>
  <c r="AD308" i="1"/>
  <c r="AD307" i="1" s="1"/>
  <c r="AD104" i="1"/>
  <c r="AD106" i="1" s="1"/>
  <c r="AD40" i="1"/>
  <c r="AD376" i="1"/>
  <c r="AD81" i="1" l="1"/>
  <c r="AI7" i="9"/>
  <c r="AI25" i="9" s="1"/>
  <c r="AD195" i="1"/>
  <c r="AI120" i="9"/>
  <c r="AI119" i="9" s="1"/>
  <c r="AI118" i="9" s="1"/>
  <c r="AD86" i="1"/>
  <c r="W11" i="6"/>
  <c r="AD87" i="1" l="1"/>
  <c r="AD105" i="1" s="1"/>
  <c r="W53" i="6"/>
  <c r="AD194" i="1"/>
  <c r="AD197" i="1"/>
  <c r="AD191" i="1"/>
  <c r="AD189" i="1" s="1"/>
  <c r="AD190" i="1" s="1"/>
  <c r="L591" i="7"/>
  <c r="L592" i="7" s="1"/>
  <c r="W57" i="6"/>
  <c r="W15" i="6"/>
  <c r="AD83" i="1"/>
  <c r="AI27" i="9"/>
  <c r="AD203" i="1" l="1"/>
  <c r="AD60" i="1" s="1"/>
  <c r="AD64" i="1" s="1"/>
  <c r="AD70" i="1" s="1"/>
  <c r="W54" i="6" s="1"/>
  <c r="AE179" i="1"/>
  <c r="AE174" i="1" s="1"/>
  <c r="AD196" i="1"/>
  <c r="W41" i="6"/>
  <c r="W45" i="6"/>
  <c r="W42" i="6"/>
  <c r="W43" i="6" s="1"/>
  <c r="W44" i="6"/>
  <c r="W55" i="6"/>
  <c r="AD84" i="1" l="1"/>
  <c r="AD2" i="1" s="1"/>
  <c r="AE25" i="1"/>
  <c r="AE93" i="1"/>
  <c r="AJ110" i="9" s="1"/>
  <c r="AE176" i="1"/>
  <c r="AE338" i="1" s="1"/>
  <c r="AE30" i="1" l="1"/>
  <c r="AJ28" i="9"/>
  <c r="AE177" i="1"/>
  <c r="AE264" i="1"/>
  <c r="AE266" i="1" s="1"/>
  <c r="X24" i="6"/>
  <c r="AJ186" i="9" s="1"/>
  <c r="AE268" i="1" l="1"/>
  <c r="AE271" i="1"/>
  <c r="AE275" i="1" s="1"/>
  <c r="AE259" i="1" l="1"/>
  <c r="AE340" i="1"/>
  <c r="AE342" i="1" s="1"/>
  <c r="AJ30" i="9" s="1"/>
  <c r="AE370" i="1" l="1"/>
  <c r="AE343" i="1"/>
  <c r="AE269" i="1"/>
  <c r="AE277" i="1" s="1"/>
  <c r="AE257" i="1"/>
  <c r="X26" i="6"/>
  <c r="X28" i="6" l="1"/>
  <c r="X29" i="6" s="1"/>
  <c r="X49" i="6" s="1"/>
  <c r="AJ179" i="9"/>
  <c r="AJ184" i="9" s="1"/>
  <c r="AJ188" i="9" s="1"/>
  <c r="AJ191" i="9" s="1"/>
  <c r="AE32" i="1"/>
  <c r="AE283" i="1"/>
  <c r="AE284" i="1" s="1"/>
  <c r="AE95" i="1" s="1"/>
  <c r="AE279" i="1"/>
  <c r="AE38" i="1"/>
  <c r="X38" i="6" s="1"/>
  <c r="AE344" i="1"/>
  <c r="AE364" i="1"/>
  <c r="AE374" i="1"/>
  <c r="X48" i="6" l="1"/>
  <c r="X47" i="6" s="1"/>
  <c r="X52" i="6"/>
  <c r="AJ15" i="9"/>
  <c r="AJ14" i="9"/>
  <c r="AJ198" i="9"/>
  <c r="AJ197" i="9"/>
  <c r="AE102" i="1"/>
  <c r="AE104" i="1" s="1"/>
  <c r="AE106" i="1" s="1"/>
  <c r="AJ111" i="9"/>
  <c r="AJ31" i="9"/>
  <c r="AJ204" i="9"/>
  <c r="AE206" i="1"/>
  <c r="AE205" i="1" s="1"/>
  <c r="AE68" i="1" s="1"/>
  <c r="AE35" i="1"/>
  <c r="AJ29" i="9" s="1"/>
  <c r="AE375" i="1"/>
  <c r="AE366" i="1"/>
  <c r="AJ7" i="9" l="1"/>
  <c r="AJ25" i="9" s="1"/>
  <c r="AJ120" i="9"/>
  <c r="AJ119" i="9" s="1"/>
  <c r="AJ118" i="9" s="1"/>
  <c r="L1025" i="7"/>
  <c r="L1037" i="7" s="1"/>
  <c r="AE40" i="1"/>
  <c r="AE376" i="1"/>
  <c r="AE37" i="1"/>
  <c r="AE365" i="1"/>
  <c r="AE308" i="1"/>
  <c r="AE307" i="1" s="1"/>
  <c r="AE195" i="1"/>
  <c r="AE86" i="1"/>
  <c r="X11" i="6"/>
  <c r="AE87" i="1" l="1"/>
  <c r="AE105" i="1" s="1"/>
  <c r="AE81" i="1"/>
  <c r="AE194" i="1"/>
  <c r="AE197" i="1"/>
  <c r="AE191" i="1"/>
  <c r="AE189" i="1" s="1"/>
  <c r="AE190" i="1" s="1"/>
  <c r="X57" i="6"/>
  <c r="X15" i="6"/>
  <c r="AE83" i="1" l="1"/>
  <c r="AJ27" i="9"/>
  <c r="X53" i="6"/>
  <c r="AE203" i="1"/>
  <c r="AE60" i="1" s="1"/>
  <c r="AE64" i="1" s="1"/>
  <c r="AE70" i="1" s="1"/>
  <c r="X54" i="6" s="1"/>
  <c r="AF179" i="1"/>
  <c r="AF174" i="1" s="1"/>
  <c r="AE196" i="1"/>
  <c r="X44" i="6"/>
  <c r="X55" i="6"/>
  <c r="X41" i="6"/>
  <c r="X45" i="6"/>
  <c r="X42" i="6"/>
  <c r="X43" i="6" s="1"/>
  <c r="AE84" i="1" l="1"/>
  <c r="AE2" i="1" s="1"/>
  <c r="AF176" i="1"/>
  <c r="AF338" i="1" s="1"/>
  <c r="AF25" i="1"/>
  <c r="AF93" i="1"/>
  <c r="AK110" i="9" s="1"/>
  <c r="AF30" i="1" l="1"/>
  <c r="AK28" i="9"/>
  <c r="AF177" i="1"/>
  <c r="AF264" i="1"/>
  <c r="AF266" i="1" s="1"/>
  <c r="Y24" i="6"/>
  <c r="AK186" i="9" s="1"/>
  <c r="AF268" i="1" l="1"/>
  <c r="AF271" i="1"/>
  <c r="AF275" i="1" s="1"/>
  <c r="AF259" i="1" l="1"/>
  <c r="AF340" i="1"/>
  <c r="AF342" i="1" s="1"/>
  <c r="AK30" i="9" s="1"/>
  <c r="AF370" i="1" l="1"/>
  <c r="AF343" i="1"/>
  <c r="AF257" i="1"/>
  <c r="AF269" i="1"/>
  <c r="AF277" i="1" s="1"/>
  <c r="Y26" i="6"/>
  <c r="Y28" i="6" l="1"/>
  <c r="Y29" i="6" s="1"/>
  <c r="Y49" i="6" s="1"/>
  <c r="AK179" i="9"/>
  <c r="AK184" i="9" s="1"/>
  <c r="AK188" i="9" s="1"/>
  <c r="AK191" i="9" s="1"/>
  <c r="AF283" i="1"/>
  <c r="AF284" i="1" s="1"/>
  <c r="AF95" i="1" s="1"/>
  <c r="AF279" i="1"/>
  <c r="AF32" i="1"/>
  <c r="AF38" i="1"/>
  <c r="Y38" i="6" s="1"/>
  <c r="AF344" i="1"/>
  <c r="AF364" i="1"/>
  <c r="AF374" i="1"/>
  <c r="Y48" i="6" l="1"/>
  <c r="Y47" i="6" s="1"/>
  <c r="AK198" i="9"/>
  <c r="AK197" i="9"/>
  <c r="Y52" i="6"/>
  <c r="AK15" i="9"/>
  <c r="AK14" i="9"/>
  <c r="AF102" i="1"/>
  <c r="AF104" i="1" s="1"/>
  <c r="AF106" i="1" s="1"/>
  <c r="AK111" i="9"/>
  <c r="AK204" i="9"/>
  <c r="AK31" i="9"/>
  <c r="AF35" i="1"/>
  <c r="AK29" i="9" s="1"/>
  <c r="AF206" i="1"/>
  <c r="AF375" i="1"/>
  <c r="AF366" i="1"/>
  <c r="AK120" i="9" l="1"/>
  <c r="AK119" i="9" s="1"/>
  <c r="AK118" i="9" s="1"/>
  <c r="AK7" i="9"/>
  <c r="AK25" i="9" s="1"/>
  <c r="M1025" i="7"/>
  <c r="M1037" i="7" s="1"/>
  <c r="AF37" i="1"/>
  <c r="AF365" i="1"/>
  <c r="AF308" i="1"/>
  <c r="AF307" i="1" s="1"/>
  <c r="AF40" i="1"/>
  <c r="AF376" i="1"/>
  <c r="AF205" i="1"/>
  <c r="AF68" i="1" s="1"/>
  <c r="AF86" i="1"/>
  <c r="AF195" i="1"/>
  <c r="Y11" i="6"/>
  <c r="AF87" i="1" l="1"/>
  <c r="AF105" i="1" s="1"/>
  <c r="Y57" i="6"/>
  <c r="Y15" i="6"/>
  <c r="AF81" i="1"/>
  <c r="AF197" i="1"/>
  <c r="AF194" i="1"/>
  <c r="AF191" i="1"/>
  <c r="AF189" i="1" s="1"/>
  <c r="AF190" i="1" s="1"/>
  <c r="AF83" i="1" l="1"/>
  <c r="AK27" i="9"/>
  <c r="Y44" i="6"/>
  <c r="Y55" i="6"/>
  <c r="Y41" i="6"/>
  <c r="Y45" i="6"/>
  <c r="Y42" i="6"/>
  <c r="Y43" i="6" s="1"/>
  <c r="Y53" i="6"/>
  <c r="AF203" i="1"/>
  <c r="AF60" i="1" s="1"/>
  <c r="AF64" i="1" s="1"/>
  <c r="AF70" i="1" s="1"/>
  <c r="Y54" i="6" s="1"/>
  <c r="AG179" i="1"/>
  <c r="AG174" i="1" s="1"/>
  <c r="AF196" i="1"/>
  <c r="AF84" i="1" l="1"/>
  <c r="AF2" i="1" s="1"/>
  <c r="AG176" i="1"/>
  <c r="AG338" i="1" s="1"/>
  <c r="AG25" i="1"/>
  <c r="AG93" i="1"/>
  <c r="AL110" i="9" s="1"/>
  <c r="AG30" i="1" l="1"/>
  <c r="AL28" i="9"/>
  <c r="AG177" i="1"/>
  <c r="AG264" i="1"/>
  <c r="AG266" i="1" s="1"/>
  <c r="Z24" i="6"/>
  <c r="AL186" i="9" s="1"/>
  <c r="AG268" i="1" l="1"/>
  <c r="AG271" i="1"/>
  <c r="AG275" i="1" s="1"/>
  <c r="AG259" i="1" l="1"/>
  <c r="AG340" i="1"/>
  <c r="AG342" i="1" s="1"/>
  <c r="AL30" i="9" s="1"/>
  <c r="AG343" i="1" l="1"/>
  <c r="AG370" i="1"/>
  <c r="AG257" i="1"/>
  <c r="Z26" i="6"/>
  <c r="AG269" i="1"/>
  <c r="AG277" i="1" s="1"/>
  <c r="Z28" i="6" l="1"/>
  <c r="Z29" i="6" s="1"/>
  <c r="Z49" i="6" s="1"/>
  <c r="AL179" i="9"/>
  <c r="AL184" i="9" s="1"/>
  <c r="AL188" i="9" s="1"/>
  <c r="AL191" i="9" s="1"/>
  <c r="AG283" i="1"/>
  <c r="AG284" i="1" s="1"/>
  <c r="AG95" i="1" s="1"/>
  <c r="AG279" i="1"/>
  <c r="Z48" i="6"/>
  <c r="Z47" i="6" s="1"/>
  <c r="AG32" i="1"/>
  <c r="AG364" i="1"/>
  <c r="AG374" i="1"/>
  <c r="AG38" i="1"/>
  <c r="Z38" i="6" s="1"/>
  <c r="AG344" i="1"/>
  <c r="AG102" i="1" l="1"/>
  <c r="AG104" i="1" s="1"/>
  <c r="AG106" i="1" s="1"/>
  <c r="AL111" i="9"/>
  <c r="AL198" i="9"/>
  <c r="AL197" i="9"/>
  <c r="Z52" i="6"/>
  <c r="AL14" i="9"/>
  <c r="AL15" i="9"/>
  <c r="AL204" i="9"/>
  <c r="AL31" i="9"/>
  <c r="AG206" i="1"/>
  <c r="AG205" i="1" s="1"/>
  <c r="AG68" i="1" s="1"/>
  <c r="AG366" i="1"/>
  <c r="AG375" i="1"/>
  <c r="AG35" i="1"/>
  <c r="AL29" i="9" s="1"/>
  <c r="AL7" i="9" l="1"/>
  <c r="AL25" i="9" s="1"/>
  <c r="AL120" i="9"/>
  <c r="AL119" i="9" s="1"/>
  <c r="AL118" i="9" s="1"/>
  <c r="N1025" i="7"/>
  <c r="N1037" i="7" s="1"/>
  <c r="AG86" i="1"/>
  <c r="AG195" i="1"/>
  <c r="Z11" i="6"/>
  <c r="AG37" i="1"/>
  <c r="AG308" i="1"/>
  <c r="AG307" i="1" s="1"/>
  <c r="AG365" i="1"/>
  <c r="AG40" i="1"/>
  <c r="AG376" i="1"/>
  <c r="AG81" i="1" l="1"/>
  <c r="Z57" i="6"/>
  <c r="Z15" i="6"/>
  <c r="AG194" i="1"/>
  <c r="AG197" i="1"/>
  <c r="AG191" i="1"/>
  <c r="AG189" i="1" s="1"/>
  <c r="AG190" i="1" s="1"/>
  <c r="AG87" i="1"/>
  <c r="AG105" i="1" s="1"/>
  <c r="AG83" i="1" l="1"/>
  <c r="AL27" i="9"/>
  <c r="Z53" i="6"/>
  <c r="Z44" i="6"/>
  <c r="Z55" i="6"/>
  <c r="Z41" i="6"/>
  <c r="Z45" i="6"/>
  <c r="Z42" i="6"/>
  <c r="Z43" i="6" s="1"/>
  <c r="AG203" i="1"/>
  <c r="AG60" i="1" s="1"/>
  <c r="AG64" i="1" s="1"/>
  <c r="AG70" i="1" s="1"/>
  <c r="Z54" i="6" s="1"/>
  <c r="AH179" i="1"/>
  <c r="AH174" i="1" s="1"/>
  <c r="AG196" i="1"/>
  <c r="AH176" i="1" l="1"/>
  <c r="AH338" i="1" s="1"/>
  <c r="AH25" i="1"/>
  <c r="AH93" i="1"/>
  <c r="AM110" i="9" s="1"/>
  <c r="AG84" i="1"/>
  <c r="AG2" i="1" s="1"/>
  <c r="AH30" i="1" l="1"/>
  <c r="AM28" i="9"/>
  <c r="AH177" i="1"/>
  <c r="AH264" i="1"/>
  <c r="AH266" i="1" s="1"/>
  <c r="AA24" i="6"/>
  <c r="AM186" i="9" s="1"/>
  <c r="AH268" i="1" l="1"/>
  <c r="AH271" i="1"/>
  <c r="AH275" i="1" s="1"/>
  <c r="AH259" i="1" l="1"/>
  <c r="AH340" i="1"/>
  <c r="AH342" i="1" s="1"/>
  <c r="AM30" i="9" s="1"/>
  <c r="AH343" i="1" l="1"/>
  <c r="AH370" i="1"/>
  <c r="AH257" i="1"/>
  <c r="AH269" i="1"/>
  <c r="AH277" i="1" s="1"/>
  <c r="AA26" i="6"/>
  <c r="AA28" i="6" l="1"/>
  <c r="AA29" i="6" s="1"/>
  <c r="AA49" i="6" s="1"/>
  <c r="AM179" i="9"/>
  <c r="AM184" i="9" s="1"/>
  <c r="AM188" i="9" s="1"/>
  <c r="AM191" i="9" s="1"/>
  <c r="AA48" i="6"/>
  <c r="AA47" i="6" s="1"/>
  <c r="AH283" i="1"/>
  <c r="AH284" i="1" s="1"/>
  <c r="AH95" i="1" s="1"/>
  <c r="AH279" i="1"/>
  <c r="AH32" i="1"/>
  <c r="AH364" i="1"/>
  <c r="AH374" i="1"/>
  <c r="AH38" i="1"/>
  <c r="AA38" i="6" s="1"/>
  <c r="AH344" i="1"/>
  <c r="AH102" i="1" l="1"/>
  <c r="AH104" i="1" s="1"/>
  <c r="AH106" i="1" s="1"/>
  <c r="AM111" i="9"/>
  <c r="AM198" i="9"/>
  <c r="AM197" i="9"/>
  <c r="AA52" i="6"/>
  <c r="AM15" i="9"/>
  <c r="AM14" i="9"/>
  <c r="AM31" i="9"/>
  <c r="AM204" i="9"/>
  <c r="AH366" i="1"/>
  <c r="AH375" i="1"/>
  <c r="AH35" i="1"/>
  <c r="AM29" i="9" s="1"/>
  <c r="AH206" i="1"/>
  <c r="AM7" i="9" l="1"/>
  <c r="AM25" i="9" s="1"/>
  <c r="AM120" i="9"/>
  <c r="AM119" i="9" s="1"/>
  <c r="AM118" i="9" s="1"/>
  <c r="O1025" i="7"/>
  <c r="O1037" i="7" s="1"/>
  <c r="AH205" i="1"/>
  <c r="AH68" i="1" s="1"/>
  <c r="AH37" i="1"/>
  <c r="AH308" i="1"/>
  <c r="AH307" i="1" s="1"/>
  <c r="AH365" i="1"/>
  <c r="AH40" i="1"/>
  <c r="AH376" i="1"/>
  <c r="AH86" i="1"/>
  <c r="AH195" i="1"/>
  <c r="AA11" i="6"/>
  <c r="AH87" i="1" l="1"/>
  <c r="AH105" i="1" s="1"/>
  <c r="AH81" i="1"/>
  <c r="AA57" i="6"/>
  <c r="AA15" i="6"/>
  <c r="AH194" i="1"/>
  <c r="AH197" i="1"/>
  <c r="AH191" i="1"/>
  <c r="AH189" i="1" s="1"/>
  <c r="AH190" i="1" s="1"/>
  <c r="AH83" i="1" l="1"/>
  <c r="AM27" i="9"/>
  <c r="AH203" i="1"/>
  <c r="AH60" i="1" s="1"/>
  <c r="AH64" i="1" s="1"/>
  <c r="AH70" i="1" s="1"/>
  <c r="AA54" i="6" s="1"/>
  <c r="AI179" i="1"/>
  <c r="AI174" i="1" s="1"/>
  <c r="AH196" i="1"/>
  <c r="AA44" i="6"/>
  <c r="AA55" i="6"/>
  <c r="AA41" i="6"/>
  <c r="AA45" i="6"/>
  <c r="AA42" i="6"/>
  <c r="AA43" i="6" s="1"/>
  <c r="AA53" i="6"/>
  <c r="AH84" i="1" l="1"/>
  <c r="AH2" i="1" s="1"/>
  <c r="AI176" i="1"/>
  <c r="AI338" i="1" s="1"/>
  <c r="AI25" i="1"/>
  <c r="AI93" i="1"/>
  <c r="AN110" i="9" s="1"/>
  <c r="AI30" i="1" l="1"/>
  <c r="AN28" i="9"/>
  <c r="AI177" i="1"/>
  <c r="AI264" i="1"/>
  <c r="AI266" i="1" s="1"/>
  <c r="AB24" i="6"/>
  <c r="AN186" i="9" s="1"/>
  <c r="AI271" i="1" l="1"/>
  <c r="AI275" i="1" s="1"/>
  <c r="AI268" i="1"/>
  <c r="AI259" i="1" l="1"/>
  <c r="AI340" i="1"/>
  <c r="AI342" i="1" s="1"/>
  <c r="AN30" i="9" s="1"/>
  <c r="AI343" i="1" l="1"/>
  <c r="AI370" i="1"/>
  <c r="AI257" i="1"/>
  <c r="AI269" i="1"/>
  <c r="AI277" i="1" s="1"/>
  <c r="AB26" i="6"/>
  <c r="AB28" i="6" l="1"/>
  <c r="AB48" i="6" s="1"/>
  <c r="AB47" i="6" s="1"/>
  <c r="AN179" i="9"/>
  <c r="AN184" i="9" s="1"/>
  <c r="AN188" i="9" s="1"/>
  <c r="AN191" i="9" s="1"/>
  <c r="AI283" i="1"/>
  <c r="AI284" i="1" s="1"/>
  <c r="AI95" i="1" s="1"/>
  <c r="AI279" i="1"/>
  <c r="AI32" i="1"/>
  <c r="AI364" i="1"/>
  <c r="AI374" i="1"/>
  <c r="AI38" i="1"/>
  <c r="AB38" i="6" s="1"/>
  <c r="AI344" i="1"/>
  <c r="AB29" i="6" l="1"/>
  <c r="AB49" i="6" s="1"/>
  <c r="AI102" i="1"/>
  <c r="AI104" i="1" s="1"/>
  <c r="AI106" i="1" s="1"/>
  <c r="AN111" i="9"/>
  <c r="AN198" i="9"/>
  <c r="AN197" i="9"/>
  <c r="AB52" i="6"/>
  <c r="AN15" i="9"/>
  <c r="AN14" i="9"/>
  <c r="AN204" i="9"/>
  <c r="AN31" i="9"/>
  <c r="AI206" i="1"/>
  <c r="AI205" i="1" s="1"/>
  <c r="AI68" i="1" s="1"/>
  <c r="AI280" i="1"/>
  <c r="W280" i="1"/>
  <c r="N280" i="1"/>
  <c r="Q280" i="1"/>
  <c r="T280" i="1"/>
  <c r="P280" i="1"/>
  <c r="L280" i="1"/>
  <c r="M280" i="1"/>
  <c r="Y280" i="1"/>
  <c r="R280" i="1"/>
  <c r="V280" i="1"/>
  <c r="S280" i="1"/>
  <c r="U280" i="1"/>
  <c r="X280" i="1"/>
  <c r="O280" i="1"/>
  <c r="Z280" i="1"/>
  <c r="AA280" i="1"/>
  <c r="AB280" i="1"/>
  <c r="AC280" i="1"/>
  <c r="AE280" i="1"/>
  <c r="AD280" i="1"/>
  <c r="AH280" i="1"/>
  <c r="AG280" i="1"/>
  <c r="AF280" i="1"/>
  <c r="AI375" i="1"/>
  <c r="AI366" i="1"/>
  <c r="AI35" i="1"/>
  <c r="AN29" i="9" s="1"/>
  <c r="AN120" i="9" l="1"/>
  <c r="AN119" i="9" s="1"/>
  <c r="AN118" i="9" s="1"/>
  <c r="AN7" i="9"/>
  <c r="AN25" i="9" s="1"/>
  <c r="P1025" i="7"/>
  <c r="P1037" i="7" s="1"/>
  <c r="AI37" i="1"/>
  <c r="AI365" i="1"/>
  <c r="AI308" i="1"/>
  <c r="AI307" i="1" s="1"/>
  <c r="AI81" i="1" s="1"/>
  <c r="AI40" i="1"/>
  <c r="AI376" i="1"/>
  <c r="AI86" i="1"/>
  <c r="AI195" i="1"/>
  <c r="AB11" i="6"/>
  <c r="AI83" i="1" l="1"/>
  <c r="AN27" i="9"/>
  <c r="AB57" i="6"/>
  <c r="AB15" i="6"/>
  <c r="AI194" i="1"/>
  <c r="AI197" i="1"/>
  <c r="AI191" i="1"/>
  <c r="AI189" i="1" s="1"/>
  <c r="AI190" i="1" s="1"/>
  <c r="AI87" i="1"/>
  <c r="AI105" i="1" s="1"/>
  <c r="AB53" i="6"/>
  <c r="AB42" i="6" l="1"/>
  <c r="AB43" i="6" s="1"/>
  <c r="AB45" i="6"/>
  <c r="AB44" i="6"/>
  <c r="AB55" i="6"/>
  <c r="AB41" i="6"/>
  <c r="AI196" i="1"/>
  <c r="AI203" i="1"/>
  <c r="AI60" i="1" s="1"/>
  <c r="AI64" i="1" s="1"/>
  <c r="AI70" i="1" s="1"/>
  <c r="AB54" i="6" l="1"/>
  <c r="AI84" i="1"/>
  <c r="AI2" i="1" s="1"/>
  <c r="H62" i="2" l="1"/>
  <c r="H63" i="2" s="1"/>
  <c r="W105" i="3"/>
  <c r="H99" i="2" l="1"/>
  <c r="I100" i="2" s="1"/>
  <c r="H92" i="2"/>
  <c r="I93" i="2" s="1"/>
  <c r="I64" i="2"/>
  <c r="H85" i="2"/>
  <c r="H141" i="2" l="1"/>
  <c r="I86" i="2"/>
  <c r="W82" i="3"/>
  <c r="CD71" i="3"/>
  <c r="CH71" i="3"/>
  <c r="H79" i="2"/>
  <c r="W72" i="3"/>
  <c r="CD72" i="3" s="1"/>
  <c r="CH72" i="3" l="1"/>
  <c r="W89" i="3"/>
  <c r="W90" i="3" s="1"/>
  <c r="W138" i="3"/>
  <c r="CH138" i="3" s="1"/>
  <c r="H111" i="2"/>
  <c r="H83" i="2"/>
  <c r="I72" i="2"/>
  <c r="H136" i="2"/>
  <c r="W104" i="3"/>
  <c r="W87" i="3"/>
  <c r="X90" i="3" l="1"/>
  <c r="AA91" i="3"/>
  <c r="CD138" i="3"/>
  <c r="W136" i="3"/>
  <c r="CH89" i="3"/>
  <c r="CH87" i="3"/>
  <c r="CD87" i="3"/>
  <c r="W112" i="3"/>
  <c r="W110" i="3"/>
  <c r="W88" i="3"/>
  <c r="I112" i="2"/>
  <c r="H112" i="2"/>
  <c r="DZ79" i="3"/>
  <c r="DZ77" i="3"/>
  <c r="BS130" i="3"/>
  <c r="AD75" i="13" s="1"/>
  <c r="DZ80" i="3"/>
  <c r="BS76" i="3"/>
  <c r="DZ76" i="3" s="1"/>
  <c r="BS88" i="3" l="1"/>
  <c r="DZ88" i="3" s="1"/>
  <c r="W137" i="3"/>
  <c r="CD136" i="3"/>
  <c r="CH136" i="3"/>
  <c r="CD137" i="3" l="1"/>
  <c r="CH1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Soomit Datta</author>
    <author>David</author>
  </authors>
  <commentList>
    <comment ref="N98" authorId="0" shapeId="0" xr:uid="{00000000-0006-0000-0000-000001000000}">
      <text>
        <r>
          <rPr>
            <b/>
            <sz val="9"/>
            <color indexed="81"/>
            <rFont val="Tahoma"/>
            <family val="2"/>
          </rPr>
          <t>Soomit Datta:</t>
        </r>
        <r>
          <rPr>
            <sz val="9"/>
            <color indexed="81"/>
            <rFont val="Tahoma"/>
            <family val="2"/>
          </rPr>
          <t xml:space="preserve">
paid the 14 div in the following year</t>
        </r>
      </text>
    </comment>
    <comment ref="B363" authorId="0" shapeId="0" xr:uid="{00000000-0006-0000-0000-000002000000}">
      <text>
        <r>
          <rPr>
            <b/>
            <sz val="9"/>
            <color indexed="81"/>
            <rFont val="Tahoma"/>
            <family val="2"/>
          </rPr>
          <t>Soomit Datta:</t>
        </r>
        <r>
          <rPr>
            <sz val="9"/>
            <color indexed="81"/>
            <rFont val="Tahoma"/>
            <family val="2"/>
          </rPr>
          <t xml:space="preserve">
Policy is up to 25% of EBITDA (stated last at Q4 15 results call)</t>
        </r>
      </text>
    </comment>
    <comment ref="Y367" authorId="1" shapeId="0" xr:uid="{BF63B8CC-B637-48D8-B0DA-E9E050F9C355}">
      <text>
        <r>
          <rPr>
            <b/>
            <sz val="9"/>
            <color indexed="81"/>
            <rFont val="Tahoma"/>
            <family val="2"/>
          </rPr>
          <t>David:</t>
        </r>
        <r>
          <rPr>
            <sz val="9"/>
            <color indexed="81"/>
            <rFont val="Tahoma"/>
            <family val="2"/>
          </rPr>
          <t xml:space="preserve">
Waiting for 2025 AR to be released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author>
    <author>Soomit Datta</author>
  </authors>
  <commentList>
    <comment ref="T46" authorId="0" shapeId="0" xr:uid="{0633E864-7DBE-42CF-B07C-C92A58F84359}">
      <text>
        <r>
          <rPr>
            <b/>
            <sz val="9"/>
            <color indexed="81"/>
            <rFont val="Tahoma"/>
            <family val="2"/>
          </rPr>
          <t>David:</t>
        </r>
        <r>
          <rPr>
            <sz val="9"/>
            <color indexed="81"/>
            <rFont val="Tahoma"/>
            <family val="2"/>
          </rPr>
          <t xml:space="preserve">
Stopped reporting</t>
        </r>
      </text>
    </comment>
    <comment ref="I70" authorId="1" shapeId="0" xr:uid="{00000000-0006-0000-0200-000001000000}">
      <text>
        <r>
          <rPr>
            <b/>
            <sz val="9"/>
            <color indexed="81"/>
            <rFont val="Tahoma"/>
            <family val="2"/>
          </rPr>
          <t>Soomit Datta:</t>
        </r>
        <r>
          <rPr>
            <sz val="9"/>
            <color indexed="81"/>
            <rFont val="Tahoma"/>
            <family val="2"/>
          </rPr>
          <t xml:space="preserve">
2 months impact in 2014</t>
        </r>
      </text>
    </comment>
    <comment ref="M132" authorId="1" shapeId="0" xr:uid="{0D8444D1-9170-4C87-82E3-9DFB8C00A5E3}">
      <text>
        <r>
          <rPr>
            <b/>
            <sz val="9"/>
            <color indexed="81"/>
            <rFont val="Tahoma"/>
            <family val="2"/>
          </rPr>
          <t>Soomit Datta:</t>
        </r>
        <r>
          <rPr>
            <sz val="9"/>
            <color indexed="81"/>
            <rFont val="Tahoma"/>
            <family val="2"/>
          </rPr>
          <t xml:space="preserve">
change of accounting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author>
    <author>Soomit Datta</author>
  </authors>
  <commentList>
    <comment ref="BM13" authorId="0" shapeId="0" xr:uid="{968B91E7-6007-4354-91DD-2D3AF4C844B1}">
      <text>
        <r>
          <rPr>
            <b/>
            <sz val="9"/>
            <color indexed="81"/>
            <rFont val="Tahoma"/>
            <family val="2"/>
          </rPr>
          <t>David:</t>
        </r>
        <r>
          <rPr>
            <sz val="9"/>
            <color indexed="81"/>
            <rFont val="Tahoma"/>
            <family val="2"/>
          </rPr>
          <t xml:space="preserve">
price increase in March</t>
        </r>
      </text>
    </comment>
    <comment ref="W50" authorId="1" shapeId="0" xr:uid="{00000000-0006-0000-0100-000001000000}">
      <text>
        <r>
          <rPr>
            <b/>
            <sz val="9"/>
            <color indexed="81"/>
            <rFont val="Tahoma"/>
            <family val="2"/>
          </rPr>
          <t>Soomit Datta:</t>
        </r>
        <r>
          <rPr>
            <sz val="9"/>
            <color indexed="81"/>
            <rFont val="Tahoma"/>
            <family val="2"/>
          </rPr>
          <t xml:space="preserve">
non-recurring revs increased</t>
        </r>
      </text>
    </comment>
    <comment ref="T53" authorId="1" shapeId="0" xr:uid="{00000000-0006-0000-0100-000002000000}">
      <text>
        <r>
          <rPr>
            <b/>
            <sz val="9"/>
            <color indexed="81"/>
            <rFont val="Tahoma"/>
            <family val="2"/>
          </rPr>
          <t>Soomit Datta:</t>
        </r>
        <r>
          <rPr>
            <sz val="9"/>
            <color indexed="81"/>
            <rFont val="Tahoma"/>
            <family val="2"/>
          </rPr>
          <t xml:space="preserve">
estimate</t>
        </r>
      </text>
    </comment>
    <comment ref="U53" authorId="1" shapeId="0" xr:uid="{00000000-0006-0000-0100-000003000000}">
      <text>
        <r>
          <rPr>
            <b/>
            <sz val="9"/>
            <color indexed="81"/>
            <rFont val="Tahoma"/>
            <family val="2"/>
          </rPr>
          <t>Soomit Datta:</t>
        </r>
        <r>
          <rPr>
            <sz val="9"/>
            <color indexed="81"/>
            <rFont val="Tahoma"/>
            <family val="2"/>
          </rPr>
          <t xml:space="preserve">
estimate</t>
        </r>
      </text>
    </comment>
    <comment ref="X53" authorId="1" shapeId="0" xr:uid="{00000000-0006-0000-0100-000004000000}">
      <text>
        <r>
          <rPr>
            <b/>
            <sz val="9"/>
            <color indexed="81"/>
            <rFont val="Tahoma"/>
            <family val="2"/>
          </rPr>
          <t>Soomit Datta:</t>
        </r>
        <r>
          <rPr>
            <sz val="9"/>
            <color indexed="81"/>
            <rFont val="Tahoma"/>
            <family val="2"/>
          </rPr>
          <t xml:space="preserve">
estimate</t>
        </r>
      </text>
    </comment>
    <comment ref="Y53" authorId="1" shapeId="0" xr:uid="{00000000-0006-0000-0100-000005000000}">
      <text>
        <r>
          <rPr>
            <b/>
            <sz val="9"/>
            <color indexed="81"/>
            <rFont val="Tahoma"/>
            <family val="2"/>
          </rPr>
          <t>Soomit Datta:</t>
        </r>
        <r>
          <rPr>
            <sz val="9"/>
            <color indexed="81"/>
            <rFont val="Tahoma"/>
            <family val="2"/>
          </rPr>
          <t xml:space="preserve">
estimate</t>
        </r>
      </text>
    </comment>
    <comment ref="Z53" authorId="1" shapeId="0" xr:uid="{00000000-0006-0000-0100-000006000000}">
      <text>
        <r>
          <rPr>
            <b/>
            <sz val="9"/>
            <color indexed="81"/>
            <rFont val="Tahoma"/>
            <family val="2"/>
          </rPr>
          <t>Soomit Datta:</t>
        </r>
        <r>
          <rPr>
            <sz val="9"/>
            <color indexed="81"/>
            <rFont val="Tahoma"/>
            <family val="2"/>
          </rPr>
          <t xml:space="preserve">
estimate</t>
        </r>
      </text>
    </comment>
    <comment ref="BS56" authorId="0" shapeId="0" xr:uid="{955D99DC-BE7D-4B90-9448-43737FCBAFE2}">
      <text>
        <r>
          <rPr>
            <b/>
            <sz val="9"/>
            <color indexed="81"/>
            <rFont val="Tahoma"/>
            <family val="2"/>
          </rPr>
          <t>David:</t>
        </r>
        <r>
          <rPr>
            <sz val="9"/>
            <color indexed="81"/>
            <rFont val="Tahoma"/>
            <family val="2"/>
          </rPr>
          <t xml:space="preserve">
Starting this quarter, Megacable calculates ARPU based on Internet subscribers, in line with industry
practice and to facilitate comparability</t>
        </r>
      </text>
    </comment>
    <comment ref="B71" authorId="1" shapeId="0" xr:uid="{00000000-0006-0000-0100-000007000000}">
      <text>
        <r>
          <rPr>
            <b/>
            <sz val="9"/>
            <color indexed="81"/>
            <rFont val="Tahoma"/>
            <family val="2"/>
          </rPr>
          <t>Soomit Datta:</t>
        </r>
        <r>
          <rPr>
            <sz val="9"/>
            <color indexed="81"/>
            <rFont val="Tahoma"/>
            <family val="2"/>
          </rPr>
          <t xml:space="preserve">
Includes revenues generated from MCM, Videorola, Metrocarrier, MMDS, Ho1a and the channels produced by 
Megacable</t>
        </r>
      </text>
    </comment>
    <comment ref="B76" authorId="1" shapeId="0" xr:uid="{00000000-0006-0000-0100-000008000000}">
      <text>
        <r>
          <rPr>
            <b/>
            <sz val="9"/>
            <color indexed="81"/>
            <rFont val="Tahoma"/>
            <family val="2"/>
          </rPr>
          <t>Soomit Datta:</t>
        </r>
        <r>
          <rPr>
            <sz val="9"/>
            <color indexed="81"/>
            <rFont val="Tahoma"/>
            <family val="2"/>
          </rPr>
          <t xml:space="preserve">
telecoms and internet to enterprise, corporate, publoc. Incs wholesale and Red Compartida revs</t>
        </r>
      </text>
    </comment>
    <comment ref="B77" authorId="1" shapeId="0" xr:uid="{00000000-0006-0000-0100-000009000000}">
      <text>
        <r>
          <rPr>
            <b/>
            <sz val="9"/>
            <color indexed="81"/>
            <rFont val="Tahoma"/>
            <family val="2"/>
          </rPr>
          <t>Soomit Datta:</t>
        </r>
        <r>
          <rPr>
            <sz val="9"/>
            <color indexed="81"/>
            <rFont val="Tahoma"/>
            <family val="2"/>
          </rPr>
          <t xml:space="preserve">
Telecoms, IT to corporate</t>
        </r>
      </text>
    </comment>
    <comment ref="AO117" authorId="1" shapeId="0" xr:uid="{0BF9459A-8A7E-4549-9E81-870A7C8F0AF2}">
      <text>
        <r>
          <rPr>
            <b/>
            <sz val="9"/>
            <color indexed="81"/>
            <rFont val="Tahoma"/>
            <family val="2"/>
          </rPr>
          <t>Soomit Datta:</t>
        </r>
        <r>
          <rPr>
            <sz val="9"/>
            <color indexed="81"/>
            <rFont val="Tahoma"/>
            <family val="2"/>
          </rPr>
          <t xml:space="preserve">
Adj</t>
        </r>
      </text>
    </comment>
    <comment ref="AS117" authorId="1" shapeId="0" xr:uid="{A29CC9FA-7990-4D95-ABD9-9EFAE45E890F}">
      <text>
        <r>
          <rPr>
            <b/>
            <sz val="9"/>
            <color indexed="81"/>
            <rFont val="Tahoma"/>
            <family val="2"/>
          </rPr>
          <t>Soomit Datta:</t>
        </r>
        <r>
          <rPr>
            <sz val="9"/>
            <color indexed="81"/>
            <rFont val="Tahoma"/>
            <family val="2"/>
          </rPr>
          <t xml:space="preserve">
Adj for AMX payment</t>
        </r>
      </text>
    </comment>
    <comment ref="AO140" authorId="1" shapeId="0" xr:uid="{837CA9C5-22A0-4DDD-A570-5AE0EB88AAA8}">
      <text>
        <r>
          <rPr>
            <b/>
            <sz val="9"/>
            <color indexed="81"/>
            <rFont val="Tahoma"/>
            <family val="2"/>
          </rPr>
          <t>Soomit Datta:</t>
        </r>
        <r>
          <rPr>
            <sz val="9"/>
            <color indexed="81"/>
            <rFont val="Tahoma"/>
            <family val="2"/>
          </rPr>
          <t xml:space="preserve">
Adj</t>
        </r>
      </text>
    </comment>
    <comment ref="AS140" authorId="1" shapeId="0" xr:uid="{54C1B3E4-DB1D-40B3-9FEA-D964EA329527}">
      <text>
        <r>
          <rPr>
            <b/>
            <sz val="9"/>
            <color indexed="81"/>
            <rFont val="Tahoma"/>
            <family val="2"/>
          </rPr>
          <t>Soomit Datta:</t>
        </r>
        <r>
          <rPr>
            <sz val="9"/>
            <color indexed="81"/>
            <rFont val="Tahoma"/>
            <family val="2"/>
          </rPr>
          <t xml:space="preserve">
AMX rev adj</t>
        </r>
      </text>
    </comment>
    <comment ref="BQ184" authorId="0" shapeId="0" xr:uid="{D60AFE89-35A4-4B09-A1F0-81B5CB1A05E3}">
      <text>
        <r>
          <rPr>
            <b/>
            <sz val="9"/>
            <color indexed="81"/>
            <rFont val="Tahoma"/>
            <family val="2"/>
          </rPr>
          <t>David:</t>
        </r>
        <r>
          <rPr>
            <sz val="9"/>
            <color indexed="81"/>
            <rFont val="Tahoma"/>
            <family val="2"/>
          </rPr>
          <t xml:space="preserve">
Lower cash following divi payment</t>
        </r>
      </text>
    </comment>
    <comment ref="AO199" authorId="1" shapeId="0" xr:uid="{47BF5917-2BB4-447E-A54D-CF1EDC7855B6}">
      <text>
        <r>
          <rPr>
            <b/>
            <sz val="9"/>
            <color indexed="81"/>
            <rFont val="Tahoma"/>
            <family val="2"/>
          </rPr>
          <t>Soomit Datta:</t>
        </r>
        <r>
          <rPr>
            <sz val="9"/>
            <color indexed="81"/>
            <rFont val="Tahoma"/>
            <family val="2"/>
          </rPr>
          <t xml:space="preserve">
one-off</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O5" authorId="0" shapeId="0" xr:uid="{3D3E1B04-8783-4689-84C7-27B3898209E6}">
      <text>
        <r>
          <rPr>
            <b/>
            <sz val="9"/>
            <color indexed="81"/>
            <rFont val="Tahoma"/>
            <family val="2"/>
          </rPr>
          <t>David:</t>
        </r>
        <r>
          <rPr>
            <sz val="9"/>
            <color indexed="81"/>
            <rFont val="Tahoma"/>
            <family val="2"/>
          </rPr>
          <t xml:space="preserve">
Change to core service revenue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K12" authorId="0" shapeId="0" xr:uid="{4D97B625-3969-497E-A44E-A3824F5CFCB5}">
      <text>
        <r>
          <rPr>
            <b/>
            <sz val="9"/>
            <color indexed="81"/>
            <rFont val="Tahoma"/>
            <family val="2"/>
          </rPr>
          <t>David:</t>
        </r>
        <r>
          <rPr>
            <sz val="9"/>
            <color indexed="81"/>
            <rFont val="Tahoma"/>
            <family val="2"/>
          </rPr>
          <t xml:space="preserve">
Content out</t>
        </r>
      </text>
    </comment>
    <comment ref="S12" authorId="0" shapeId="0" xr:uid="{9D488B6A-0685-4CBB-98F9-BB1B6601A8DF}">
      <text>
        <r>
          <rPr>
            <b/>
            <sz val="9"/>
            <color indexed="81"/>
            <rFont val="Tahoma"/>
            <family val="2"/>
          </rPr>
          <t>David:</t>
        </r>
        <r>
          <rPr>
            <sz val="9"/>
            <color indexed="81"/>
            <rFont val="Tahoma"/>
            <family val="2"/>
          </rPr>
          <t xml:space="preserve">
Others out</t>
        </r>
      </text>
    </comment>
    <comment ref="AH12" authorId="0" shapeId="0" xr:uid="{A461CEAC-5203-48BE-B05C-861C4B0BFAC7}">
      <text>
        <r>
          <rPr>
            <b/>
            <sz val="9"/>
            <color indexed="81"/>
            <rFont val="Tahoma"/>
            <family val="2"/>
          </rPr>
          <t>David:</t>
        </r>
        <r>
          <rPr>
            <sz val="9"/>
            <color indexed="81"/>
            <rFont val="Tahoma"/>
            <family val="2"/>
          </rPr>
          <t xml:space="preserve">
Ex content in the previous year</t>
        </r>
      </text>
    </comment>
    <comment ref="AP12" authorId="0" shapeId="0" xr:uid="{02B5054D-7050-4C07-BD1F-03657864E044}">
      <text>
        <r>
          <rPr>
            <b/>
            <sz val="9"/>
            <color indexed="81"/>
            <rFont val="Tahoma"/>
            <family val="2"/>
          </rPr>
          <t>David:</t>
        </r>
        <r>
          <rPr>
            <sz val="9"/>
            <color indexed="81"/>
            <rFont val="Tahoma"/>
            <family val="2"/>
          </rPr>
          <t xml:space="preserve">
Ex other in the previous year</t>
        </r>
      </text>
    </comment>
    <comment ref="B64" authorId="0" shapeId="0" xr:uid="{90F5B1FC-9A46-4156-8B66-D84AA8ECBD72}">
      <text>
        <r>
          <rPr>
            <b/>
            <sz val="9"/>
            <color indexed="81"/>
            <rFont val="Tahoma"/>
            <family val="2"/>
          </rPr>
          <t>David:</t>
        </r>
        <r>
          <rPr>
            <sz val="9"/>
            <color indexed="81"/>
            <rFont val="Tahoma"/>
            <family val="2"/>
          </rPr>
          <t xml:space="preserve">
https://www.helgilibrary.com/indicators/number-of-households/mexico/</t>
        </r>
      </text>
    </comment>
    <comment ref="T503" authorId="0" shapeId="0" xr:uid="{18C01846-C733-4060-B1BC-7AD070330996}">
      <text>
        <r>
          <rPr>
            <b/>
            <sz val="9"/>
            <color indexed="81"/>
            <rFont val="Tahoma"/>
            <family val="2"/>
          </rPr>
          <t>David:</t>
        </r>
        <r>
          <rPr>
            <sz val="9"/>
            <color indexed="81"/>
            <rFont val="Tahoma"/>
            <family val="2"/>
          </rPr>
          <t xml:space="preserve">
Using Cable + Sky -&gt;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<sst xmlns="http://schemas.openxmlformats.org/spreadsheetml/2006/main" count="4629" uniqueCount="3391">
  <si>
    <t>Megacable (MEGACPO MM)</t>
  </si>
  <si>
    <t>Chris Hoare</t>
  </si>
  <si>
    <t>New Street Research</t>
  </si>
  <si>
    <t>+44 20 7375 9130</t>
  </si>
  <si>
    <t>chris@newstreetresearch.com</t>
  </si>
  <si>
    <t>Ticker</t>
  </si>
  <si>
    <t>MEGACPO</t>
  </si>
  <si>
    <t>Rating</t>
  </si>
  <si>
    <t>Buy</t>
  </si>
  <si>
    <t>Target Price</t>
  </si>
  <si>
    <t>MXN 75</t>
  </si>
  <si>
    <t>MXN m</t>
  </si>
  <si>
    <t>2023e</t>
  </si>
  <si>
    <t>2025e</t>
  </si>
  <si>
    <t>2026e</t>
  </si>
  <si>
    <t>2027e</t>
  </si>
  <si>
    <t>2028e</t>
  </si>
  <si>
    <t>25-28e CAGR</t>
  </si>
  <si>
    <t>Price</t>
  </si>
  <si>
    <t>EV/EBITDA</t>
  </si>
  <si>
    <t>SHOUT, millions</t>
  </si>
  <si>
    <t>EV/OpFCF</t>
  </si>
  <si>
    <t>Market Cap, BRL</t>
  </si>
  <si>
    <t>EV/FCF</t>
  </si>
  <si>
    <t>Net debt</t>
  </si>
  <si>
    <t>EV/EBIT</t>
  </si>
  <si>
    <t>Associates</t>
  </si>
  <si>
    <t>EV/NOPLAT</t>
  </si>
  <si>
    <t>Cumulative dividend</t>
  </si>
  <si>
    <t>EFCF yield</t>
  </si>
  <si>
    <t>EV</t>
  </si>
  <si>
    <t>EFCF</t>
  </si>
  <si>
    <t>Operational (Cable)</t>
  </si>
  <si>
    <t>Homes Passed, m</t>
  </si>
  <si>
    <t>Subscribers, 000s</t>
  </si>
  <si>
    <t>Less: tax</t>
  </si>
  <si>
    <t>TV</t>
  </si>
  <si>
    <t xml:space="preserve">Less: minorities </t>
  </si>
  <si>
    <t>Internet</t>
  </si>
  <si>
    <t>Total</t>
  </si>
  <si>
    <t>Voice</t>
  </si>
  <si>
    <t>Financial metrics, MXN m</t>
  </si>
  <si>
    <t>Net adds</t>
  </si>
  <si>
    <t>Revenue</t>
  </si>
  <si>
    <t xml:space="preserve">EBITDA </t>
  </si>
  <si>
    <t>% margin</t>
  </si>
  <si>
    <t>Operating income</t>
  </si>
  <si>
    <t>Penetration</t>
  </si>
  <si>
    <t>PBT</t>
  </si>
  <si>
    <t>Unique Subs</t>
  </si>
  <si>
    <t>Net income</t>
  </si>
  <si>
    <t>% of Homes passed</t>
  </si>
  <si>
    <t>EPS, MXN</t>
  </si>
  <si>
    <t>RGU's</t>
  </si>
  <si>
    <t>DPS, MXN</t>
  </si>
  <si>
    <t>RGU per unique subs</t>
  </si>
  <si>
    <t>Net debt / EBITDA</t>
  </si>
  <si>
    <t>EV calculation</t>
  </si>
  <si>
    <t>Market Cap (fully diluted)</t>
  </si>
  <si>
    <t>Plus: NPV of future licence costs</t>
  </si>
  <si>
    <t>Plus: Value of minorities</t>
  </si>
  <si>
    <t>Plus: Other liabilities</t>
  </si>
  <si>
    <t xml:space="preserve">Plus: Net debt </t>
  </si>
  <si>
    <t>Less: Accumulated dividend</t>
  </si>
  <si>
    <t>Enterprise value</t>
  </si>
  <si>
    <t xml:space="preserve"> </t>
  </si>
  <si>
    <t>MXN/$</t>
  </si>
  <si>
    <t>Mkt cap, US$</t>
  </si>
  <si>
    <t>Adjusted EBITDA</t>
  </si>
  <si>
    <t xml:space="preserve">Less Capex </t>
  </si>
  <si>
    <t xml:space="preserve">Clean Net Interest </t>
  </si>
  <si>
    <t>IFRS 16 leases in D&amp;A</t>
  </si>
  <si>
    <t xml:space="preserve">Less clean tax (P&amp;L) </t>
  </si>
  <si>
    <t>Less clean minorities (P&amp;L)</t>
  </si>
  <si>
    <t>EFCF @ 20% capex/sales</t>
  </si>
  <si>
    <t>NOPLAT</t>
  </si>
  <si>
    <t>Market Cap</t>
  </si>
  <si>
    <t>Less: Value of associates</t>
  </si>
  <si>
    <t>Adjusted Market Cap</t>
  </si>
  <si>
    <t>Adjusted EPS</t>
  </si>
  <si>
    <t>DPS</t>
  </si>
  <si>
    <t>P/EFCF</t>
  </si>
  <si>
    <t>Equity FCF yield</t>
  </si>
  <si>
    <t>Equity FCF yield @ 20% capex/sales</t>
  </si>
  <si>
    <t>Dividend yield</t>
  </si>
  <si>
    <t>Buy-back</t>
  </si>
  <si>
    <t>P/E adj</t>
  </si>
  <si>
    <t>ROIC</t>
  </si>
  <si>
    <t>ROCE</t>
  </si>
  <si>
    <t>EV/IC</t>
  </si>
  <si>
    <t>Net debt to EBITDA</t>
  </si>
  <si>
    <t>Fixed, MXN m</t>
  </si>
  <si>
    <t>OpFCF</t>
  </si>
  <si>
    <t>FCF</t>
  </si>
  <si>
    <t>NPV cash flows</t>
  </si>
  <si>
    <t>Growth</t>
  </si>
  <si>
    <t>Terminal multiple</t>
  </si>
  <si>
    <t>Terminal value</t>
  </si>
  <si>
    <t>PV of terminal value</t>
  </si>
  <si>
    <t>EV fixed</t>
  </si>
  <si>
    <t>Mobile, MXN m</t>
  </si>
  <si>
    <t>EV mobile</t>
  </si>
  <si>
    <t>Group EV</t>
  </si>
  <si>
    <t>Minorities</t>
  </si>
  <si>
    <t>Plus divi</t>
  </si>
  <si>
    <t>Equity</t>
  </si>
  <si>
    <t>No of shares</t>
  </si>
  <si>
    <t>Fair value/share</t>
  </si>
  <si>
    <t xml:space="preserve">Target </t>
  </si>
  <si>
    <t>Current price</t>
  </si>
  <si>
    <t>% upside</t>
  </si>
  <si>
    <t>Risk free rate</t>
  </si>
  <si>
    <t>Spread</t>
  </si>
  <si>
    <t>Cost of debt</t>
  </si>
  <si>
    <t>Tax</t>
  </si>
  <si>
    <t>Post-tax</t>
  </si>
  <si>
    <t>ERP</t>
  </si>
  <si>
    <t>Beta</t>
  </si>
  <si>
    <t>Cost of equity</t>
  </si>
  <si>
    <t>Debt to equity</t>
  </si>
  <si>
    <t>WACC</t>
  </si>
  <si>
    <t>2015-20 CAGR</t>
  </si>
  <si>
    <t>MEGA</t>
  </si>
  <si>
    <t>AMX</t>
  </si>
  <si>
    <t>16-18 CAGR</t>
  </si>
  <si>
    <t>OLD A/C</t>
  </si>
  <si>
    <t>NEW A/C</t>
  </si>
  <si>
    <t>P&amp;L, R$</t>
  </si>
  <si>
    <t>18-25E</t>
  </si>
  <si>
    <t xml:space="preserve">Cable </t>
  </si>
  <si>
    <t>Reported revenues</t>
  </si>
  <si>
    <t>% change</t>
  </si>
  <si>
    <t>Fixed</t>
  </si>
  <si>
    <t>Clean EBITDA</t>
  </si>
  <si>
    <t>One-offs</t>
  </si>
  <si>
    <t>Reported EBITDA</t>
  </si>
  <si>
    <t>Depreciation</t>
  </si>
  <si>
    <t>Amortisation</t>
  </si>
  <si>
    <t>EBIT</t>
  </si>
  <si>
    <t>Financial income and expense</t>
  </si>
  <si>
    <t>FX gains/losses</t>
  </si>
  <si>
    <t>Other expenses</t>
  </si>
  <si>
    <t>Income from affiliates/other</t>
  </si>
  <si>
    <t>Minority interest</t>
  </si>
  <si>
    <t>Reported EPS (per CPO)</t>
  </si>
  <si>
    <t>Clean EPS (per CPO)</t>
  </si>
  <si>
    <t>EFCF/ share</t>
  </si>
  <si>
    <t>Capex</t>
  </si>
  <si>
    <t>as % sales</t>
  </si>
  <si>
    <t>Capex, US$</t>
  </si>
  <si>
    <t>Mobile</t>
  </si>
  <si>
    <t>Balance sheet</t>
  </si>
  <si>
    <t>Cash/ marketable securities</t>
  </si>
  <si>
    <t>Inventory</t>
  </si>
  <si>
    <t>Receivables</t>
  </si>
  <si>
    <t>Tax/other</t>
  </si>
  <si>
    <t>Current assets</t>
  </si>
  <si>
    <t>Net PP&amp;E</t>
  </si>
  <si>
    <t>Net intangible assets</t>
  </si>
  <si>
    <t>Non-current other assets</t>
  </si>
  <si>
    <t>Total assets</t>
  </si>
  <si>
    <t>Other current liabilities</t>
  </si>
  <si>
    <t>Accounts payable</t>
  </si>
  <si>
    <t>ST interest-bearing debt</t>
  </si>
  <si>
    <t>Current liabilites</t>
  </si>
  <si>
    <t>LT interest-bearing debt</t>
  </si>
  <si>
    <t>Other long-term liabilities</t>
  </si>
  <si>
    <t>Minority interests</t>
  </si>
  <si>
    <t>Book equity</t>
  </si>
  <si>
    <t>Total liabilities and book equity</t>
  </si>
  <si>
    <t>Check</t>
  </si>
  <si>
    <t>Change in net debt</t>
  </si>
  <si>
    <t>Cash flow statement</t>
  </si>
  <si>
    <t>Less: Interest payments (inc leases)</t>
  </si>
  <si>
    <t>Less: Tax</t>
  </si>
  <si>
    <t>Less: Working capital movements</t>
  </si>
  <si>
    <t>Less: Restructuring payments</t>
  </si>
  <si>
    <t>Less: Dividends paid</t>
  </si>
  <si>
    <t>Less: Share buyback/ special dividend</t>
  </si>
  <si>
    <t>Less: licence payments</t>
  </si>
  <si>
    <t>Plus: M&amp;A/ other</t>
  </si>
  <si>
    <t>Difference</t>
  </si>
  <si>
    <t>ND/EBITDA</t>
  </si>
  <si>
    <t>as % of Net PP&amp;E</t>
  </si>
  <si>
    <t>Less: extraordinary depreciation</t>
  </si>
  <si>
    <t>Clean depreciation</t>
  </si>
  <si>
    <t>Av. asset life</t>
  </si>
  <si>
    <t>Gross PP&amp;E</t>
  </si>
  <si>
    <t>Acc. Depreciation</t>
  </si>
  <si>
    <t>Capex/ depreciation</t>
  </si>
  <si>
    <t>Lease liabilities</t>
  </si>
  <si>
    <t>Lease per year</t>
  </si>
  <si>
    <t xml:space="preserve"> - of which interest</t>
  </si>
  <si>
    <t xml:space="preserve"> - of which depr</t>
  </si>
  <si>
    <t>no of years</t>
  </si>
  <si>
    <t>Leases in D&amp;A</t>
  </si>
  <si>
    <t>Leases in interest</t>
  </si>
  <si>
    <t>Interests (P&amp;L)</t>
  </si>
  <si>
    <t>Interest ex leases (P&amp;L)</t>
  </si>
  <si>
    <t>Interest income (P&amp;L)</t>
  </si>
  <si>
    <t>Interests paid (CF)</t>
  </si>
  <si>
    <t>Interests income (CF)</t>
  </si>
  <si>
    <t>Payment of lease liabilities (CF)</t>
  </si>
  <si>
    <t>Less: extraordinary amortisation</t>
  </si>
  <si>
    <t>Clean amortisation</t>
  </si>
  <si>
    <t>as % of net intangibles</t>
  </si>
  <si>
    <t>Gross intangible assets</t>
  </si>
  <si>
    <t>Accumulated amortisation</t>
  </si>
  <si>
    <t>Acquisition of intangibles</t>
  </si>
  <si>
    <t>Other</t>
  </si>
  <si>
    <t>Gross goodwill</t>
  </si>
  <si>
    <t>Accumulated goodwill amort</t>
  </si>
  <si>
    <t>Net goodwill</t>
  </si>
  <si>
    <t>Acquisition of goodwill</t>
  </si>
  <si>
    <t>Write-down of goodwill</t>
  </si>
  <si>
    <t>Asset breakdown</t>
  </si>
  <si>
    <t>NFA</t>
  </si>
  <si>
    <t>Intangible assets</t>
  </si>
  <si>
    <t>Interest/ debt</t>
  </si>
  <si>
    <t>Interest payments</t>
  </si>
  <si>
    <t>Exceptional interest charges</t>
  </si>
  <si>
    <t>Clean interest payments</t>
  </si>
  <si>
    <t>Interest income</t>
  </si>
  <si>
    <t>Other financial income</t>
  </si>
  <si>
    <t>Average interest rate on cash</t>
  </si>
  <si>
    <t>Change</t>
  </si>
  <si>
    <t>Interest expense</t>
  </si>
  <si>
    <t>Other financial expenses</t>
  </si>
  <si>
    <t>Average interest rate on debt</t>
  </si>
  <si>
    <t>Average interest rate</t>
  </si>
  <si>
    <t>Average debt</t>
  </si>
  <si>
    <t>Gross debt</t>
  </si>
  <si>
    <t xml:space="preserve">Net cash </t>
  </si>
  <si>
    <t>Cash as % of sales</t>
  </si>
  <si>
    <t xml:space="preserve"> - of which short-term debt</t>
  </si>
  <si>
    <t xml:space="preserve"> - of which long-term debt</t>
  </si>
  <si>
    <t xml:space="preserve"> - of which interest bearing long-term</t>
  </si>
  <si>
    <t>Net cash</t>
  </si>
  <si>
    <t>Non-current financial assets</t>
  </si>
  <si>
    <t>Deferred tax assets</t>
  </si>
  <si>
    <t>Debt IAS 17</t>
  </si>
  <si>
    <t>Net debt IAS 17</t>
  </si>
  <si>
    <t>EBITDAaL</t>
  </si>
  <si>
    <t>ND/EBITDAaL</t>
  </si>
  <si>
    <t>Working capital analysis</t>
  </si>
  <si>
    <t>% of sales</t>
  </si>
  <si>
    <t>Change in inventory</t>
  </si>
  <si>
    <t>Change in receivables</t>
  </si>
  <si>
    <t>Other current assets</t>
  </si>
  <si>
    <t>Change in other assets</t>
  </si>
  <si>
    <t>Change in payables</t>
  </si>
  <si>
    <t>Change in other liabilities</t>
  </si>
  <si>
    <t>Change in working capital</t>
  </si>
  <si>
    <t>Pension provisions</t>
  </si>
  <si>
    <t>Release</t>
  </si>
  <si>
    <t>Pension and post-employment benefits</t>
  </si>
  <si>
    <t>Cash outflow</t>
  </si>
  <si>
    <t>Provisions</t>
  </si>
  <si>
    <t>Restructuring release</t>
  </si>
  <si>
    <t>Exceptional items</t>
  </si>
  <si>
    <t>Clean tax</t>
  </si>
  <si>
    <t>Less: clean depreciation</t>
  </si>
  <si>
    <t>Less: amortisation</t>
  </si>
  <si>
    <t>Less: interest</t>
  </si>
  <si>
    <t>Adjustments</t>
  </si>
  <si>
    <t>Clean PBT</t>
  </si>
  <si>
    <t>Corporate tax rate</t>
  </si>
  <si>
    <t>Effective tax rate</t>
  </si>
  <si>
    <t>Group PBT</t>
  </si>
  <si>
    <t xml:space="preserve">Tax loss carryforwards </t>
  </si>
  <si>
    <t>Amount used in year</t>
  </si>
  <si>
    <t>Taxable PBT</t>
  </si>
  <si>
    <t>Cash tax paid</t>
  </si>
  <si>
    <t>Tax credit remaining</t>
  </si>
  <si>
    <t>Difference with normalised tax</t>
  </si>
  <si>
    <t>NPV</t>
  </si>
  <si>
    <t>Cash tax</t>
  </si>
  <si>
    <t xml:space="preserve">Cash tax </t>
  </si>
  <si>
    <t>Total cash tax</t>
  </si>
  <si>
    <t>Income from affiliates</t>
  </si>
  <si>
    <t>Clean income from affiliates</t>
  </si>
  <si>
    <t>Financial investments</t>
  </si>
  <si>
    <t>Clean minority interests</t>
  </si>
  <si>
    <t xml:space="preserve">Balance sheet </t>
  </si>
  <si>
    <t>Dividends</t>
  </si>
  <si>
    <t>Share buyback</t>
  </si>
  <si>
    <t>change</t>
  </si>
  <si>
    <t>Exceptional cash-flow items</t>
  </si>
  <si>
    <t>Minority disposal</t>
  </si>
  <si>
    <t>Licences</t>
  </si>
  <si>
    <t>Special dividend</t>
  </si>
  <si>
    <t>Pension top-up</t>
  </si>
  <si>
    <t>Acquisitions</t>
  </si>
  <si>
    <t>Exceptional cash flow items</t>
  </si>
  <si>
    <t>Per share analysis</t>
  </si>
  <si>
    <t>EBITDA</t>
  </si>
  <si>
    <t>Less: depreciation</t>
  </si>
  <si>
    <t>Less: clean interest</t>
  </si>
  <si>
    <t>Less: associates charges</t>
  </si>
  <si>
    <t>Less: clean tax</t>
  </si>
  <si>
    <t>Less: minority interests</t>
  </si>
  <si>
    <t>Clean earnings</t>
  </si>
  <si>
    <t>Clean EPS</t>
  </si>
  <si>
    <t>Share count</t>
  </si>
  <si>
    <t>Series As (2 for each CPO)</t>
  </si>
  <si>
    <t>Change in Series As</t>
  </si>
  <si>
    <t>Average shares in issue</t>
  </si>
  <si>
    <t>CPOs</t>
  </si>
  <si>
    <t>Change in CPOs</t>
  </si>
  <si>
    <t>CPO component of shares</t>
  </si>
  <si>
    <t>DPS per CPO</t>
  </si>
  <si>
    <t>as % EBITDA</t>
  </si>
  <si>
    <t>as % of clean EPS</t>
  </si>
  <si>
    <t>as % of reported EPS</t>
  </si>
  <si>
    <t>as % of EFCF</t>
  </si>
  <si>
    <t>Add: depreciation</t>
  </si>
  <si>
    <t>Add: amortisation</t>
  </si>
  <si>
    <t>Less: capex</t>
  </si>
  <si>
    <t>Clean EFCF</t>
  </si>
  <si>
    <t>Clean EFCF/ share</t>
  </si>
  <si>
    <t>Homes passed</t>
  </si>
  <si>
    <t>Incremental homes passed</t>
  </si>
  <si>
    <t>HH</t>
  </si>
  <si>
    <t>as % Mexican homes</t>
  </si>
  <si>
    <t>Total homes passed Mexico</t>
  </si>
  <si>
    <t>MEGA as %</t>
  </si>
  <si>
    <t>TV subs</t>
  </si>
  <si>
    <t>adds</t>
  </si>
  <si>
    <t>% growth</t>
  </si>
  <si>
    <t xml:space="preserve"> of which digital</t>
  </si>
  <si>
    <t>Total pay TV</t>
  </si>
  <si>
    <t>as % total</t>
  </si>
  <si>
    <t>Internet subs</t>
  </si>
  <si>
    <t>Total BB market</t>
  </si>
  <si>
    <t>Voice subs</t>
  </si>
  <si>
    <t>Total voice lines</t>
  </si>
  <si>
    <t>Total RGUs</t>
  </si>
  <si>
    <t>RGU adds</t>
  </si>
  <si>
    <t>Unique subs</t>
  </si>
  <si>
    <t>as % homes passed</t>
  </si>
  <si>
    <t>Unique subs added</t>
  </si>
  <si>
    <t>Penetration added</t>
  </si>
  <si>
    <t>Revenue split by product</t>
  </si>
  <si>
    <t>Video</t>
  </si>
  <si>
    <t>Other mass market (inc mobile)</t>
  </si>
  <si>
    <t>Mass Market</t>
  </si>
  <si>
    <t>Corporate/carrier &amp; other</t>
  </si>
  <si>
    <t>Total revenue</t>
  </si>
  <si>
    <t>Cable revenue (Mass + Metrocarrier)</t>
  </si>
  <si>
    <t>Metrocarrier</t>
  </si>
  <si>
    <t>MCM</t>
  </si>
  <si>
    <t>Ho1a</t>
  </si>
  <si>
    <t>PCTV</t>
  </si>
  <si>
    <t>Hola, Metrocarrier</t>
  </si>
  <si>
    <t>Other as % total</t>
  </si>
  <si>
    <t>ARPU by product</t>
  </si>
  <si>
    <t>Other (of Unique subs)</t>
  </si>
  <si>
    <t>Average revs per RGU, MXN</t>
  </si>
  <si>
    <t>Average revs per RGU, $</t>
  </si>
  <si>
    <t>Service revenue per unique sub</t>
  </si>
  <si>
    <t>Service revs, $</t>
  </si>
  <si>
    <t>Equipment/other</t>
  </si>
  <si>
    <t>Mobile/other revenue</t>
  </si>
  <si>
    <t>EBITDA margin</t>
  </si>
  <si>
    <t>EBITDA corporate (ex Metrocarrier)</t>
  </si>
  <si>
    <t>margin</t>
  </si>
  <si>
    <t>PCTV EBITDA</t>
  </si>
  <si>
    <t>ex-PCTV margin</t>
  </si>
  <si>
    <t>EBITDA cable</t>
  </si>
  <si>
    <t>Check: wireless EBITDA @ 15% margin</t>
  </si>
  <si>
    <t>Check: ex-wireless margin</t>
  </si>
  <si>
    <t>as % sales (fixed)</t>
  </si>
  <si>
    <t>Capex, USD</t>
  </si>
  <si>
    <t>Market subs, m</t>
  </si>
  <si>
    <t>POPs, m</t>
  </si>
  <si>
    <t>Market share</t>
  </si>
  <si>
    <t>Subs, 000s</t>
  </si>
  <si>
    <t>MEGA unique users</t>
  </si>
  <si>
    <t>As % unique users</t>
  </si>
  <si>
    <t>As % BB</t>
  </si>
  <si>
    <t>AMX ARPU</t>
  </si>
  <si>
    <t>Premium to Telcel</t>
  </si>
  <si>
    <t>Cablecom ARPU</t>
  </si>
  <si>
    <t>Service revenue</t>
  </si>
  <si>
    <t>Traffic on MVNO</t>
  </si>
  <si>
    <t>MVNO EBITDA margin</t>
  </si>
  <si>
    <t>WiFi EBITDA margin</t>
  </si>
  <si>
    <t>Blended EBITDA %</t>
  </si>
  <si>
    <t>Revs as % gp</t>
  </si>
  <si>
    <t>OpFCF as % gp</t>
  </si>
  <si>
    <t>NSRe</t>
  </si>
  <si>
    <t>Sinaloa and Sonora before expanding along the Pacific coast</t>
  </si>
  <si>
    <t>Megacable, MXN</t>
  </si>
  <si>
    <t>Q4 13</t>
  </si>
  <si>
    <t>Q4 14</t>
  </si>
  <si>
    <t>Q1 15</t>
  </si>
  <si>
    <t>Q2 15</t>
  </si>
  <si>
    <t>Q1 17</t>
  </si>
  <si>
    <t>Q4 17</t>
  </si>
  <si>
    <t>Q4 18</t>
  </si>
  <si>
    <t>Q1 19</t>
  </si>
  <si>
    <t>Q2 19</t>
  </si>
  <si>
    <t>Q4 19</t>
  </si>
  <si>
    <t>Q1 20</t>
  </si>
  <si>
    <t>Q2 20</t>
  </si>
  <si>
    <t>Q3 20</t>
  </si>
  <si>
    <t>Q4 20</t>
  </si>
  <si>
    <t>Q1 21</t>
  </si>
  <si>
    <t>Q2 21</t>
  </si>
  <si>
    <t>Q3 21</t>
  </si>
  <si>
    <t>Q4 21</t>
  </si>
  <si>
    <t>Q1 22</t>
  </si>
  <si>
    <t>Q2 22</t>
  </si>
  <si>
    <t>Q3 22</t>
  </si>
  <si>
    <t>Q4 22</t>
  </si>
  <si>
    <t>Q1 23</t>
  </si>
  <si>
    <t>Q2 23</t>
  </si>
  <si>
    <t>Q3 23</t>
  </si>
  <si>
    <t>Q4 23</t>
  </si>
  <si>
    <t>Q1 24</t>
  </si>
  <si>
    <t>Q2 24</t>
  </si>
  <si>
    <t>Q3 24</t>
  </si>
  <si>
    <t>Q4 24</t>
  </si>
  <si>
    <t>Q1 25</t>
  </si>
  <si>
    <t>Q2 25</t>
  </si>
  <si>
    <t>Q2 25e</t>
  </si>
  <si>
    <t>Q3 25e</t>
  </si>
  <si>
    <t>Q4 25e</t>
  </si>
  <si>
    <t>Q1 23e</t>
  </si>
  <si>
    <t>Q2 23e</t>
  </si>
  <si>
    <t>Q3 23e</t>
  </si>
  <si>
    <t>Q4 23e</t>
  </si>
  <si>
    <t>Q2 24e</t>
  </si>
  <si>
    <t>Q3 24e</t>
  </si>
  <si>
    <t>Q4 24e</t>
  </si>
  <si>
    <t>Q1 25e</t>
  </si>
  <si>
    <t>KPIs</t>
  </si>
  <si>
    <t>Subs</t>
  </si>
  <si>
    <t>Clean</t>
  </si>
  <si>
    <t>y/y</t>
  </si>
  <si>
    <t>Xview</t>
  </si>
  <si>
    <t>as %</t>
  </si>
  <si>
    <t>YoY</t>
  </si>
  <si>
    <t>RGU per unique sub</t>
  </si>
  <si>
    <t>Penetration of homes passed</t>
  </si>
  <si>
    <t>Churn</t>
  </si>
  <si>
    <t>Gross adds</t>
  </si>
  <si>
    <t>Gross RGUs</t>
  </si>
  <si>
    <t>ARPU</t>
  </si>
  <si>
    <t>Other income (included in unique subs ARPU)</t>
  </si>
  <si>
    <t>Calculated ARPU/RGU</t>
  </si>
  <si>
    <t>Mobile subs</t>
  </si>
  <si>
    <t>Adds</t>
  </si>
  <si>
    <t>Financials</t>
  </si>
  <si>
    <t>Other mass market</t>
  </si>
  <si>
    <t>Corporate</t>
  </si>
  <si>
    <t xml:space="preserve"> of which</t>
  </si>
  <si>
    <t xml:space="preserve"> - Metrocarrier</t>
  </si>
  <si>
    <t xml:space="preserve"> - MCM</t>
  </si>
  <si>
    <t xml:space="preserve"> - Ho1a</t>
  </si>
  <si>
    <t xml:space="preserve"> - PCTV</t>
  </si>
  <si>
    <t>Total Corporate/carrier</t>
  </si>
  <si>
    <t>Equipment/other mass market</t>
  </si>
  <si>
    <t xml:space="preserve"> of which utility contract</t>
  </si>
  <si>
    <t>underlying Ho1a</t>
  </si>
  <si>
    <t>underlying corporate</t>
  </si>
  <si>
    <t>Core service revs (mass mkt)</t>
  </si>
  <si>
    <t>Cable less Metrocarrier i.e. retail</t>
  </si>
  <si>
    <t>Revenue less corporate</t>
  </si>
  <si>
    <t>QoQ</t>
  </si>
  <si>
    <t>Corporate within core</t>
  </si>
  <si>
    <t>Residential within core</t>
  </si>
  <si>
    <t>Cable revenue (mass mkt + MetroCarrier)</t>
  </si>
  <si>
    <t>MEGA reported "cable"</t>
  </si>
  <si>
    <t>of which mobile</t>
  </si>
  <si>
    <t>Core OpEx</t>
  </si>
  <si>
    <t>Adj cable EBITDA</t>
  </si>
  <si>
    <t>New cable EBITDA</t>
  </si>
  <si>
    <t>IFRS adjs</t>
  </si>
  <si>
    <t>Check: ex wireless</t>
  </si>
  <si>
    <t>Cable OpEx</t>
  </si>
  <si>
    <t>Core cable</t>
  </si>
  <si>
    <t>Content, IT, other</t>
  </si>
  <si>
    <t>Other EBITDA</t>
  </si>
  <si>
    <t>Other EBITDA margin</t>
  </si>
  <si>
    <t>Consolidated EBITDA (OLD)</t>
  </si>
  <si>
    <t>Cable opex</t>
  </si>
  <si>
    <t>Corporate/carrier opex</t>
  </si>
  <si>
    <t>Group opex</t>
  </si>
  <si>
    <t>New consolidated EBITDA</t>
  </si>
  <si>
    <t>Margin</t>
  </si>
  <si>
    <t>diff vs old</t>
  </si>
  <si>
    <t>Capex (old)</t>
  </si>
  <si>
    <t>New capex</t>
  </si>
  <si>
    <t xml:space="preserve"> as % sales</t>
  </si>
  <si>
    <t>change in capex</t>
  </si>
  <si>
    <t>New capex (USD)</t>
  </si>
  <si>
    <t>MXN/USD</t>
  </si>
  <si>
    <t>WC / other debt</t>
  </si>
  <si>
    <t>Dividend</t>
  </si>
  <si>
    <t>Cash</t>
  </si>
  <si>
    <t>Change in debt</t>
  </si>
  <si>
    <t xml:space="preserve"> of which CFE</t>
  </si>
  <si>
    <t>Adj net debt</t>
  </si>
  <si>
    <t>vs LTM EBITDA</t>
  </si>
  <si>
    <t>P&amp;L</t>
  </si>
  <si>
    <t>Cost of service</t>
  </si>
  <si>
    <t>Gross profit</t>
  </si>
  <si>
    <t>Operating and general exp</t>
  </si>
  <si>
    <t>D&amp;A</t>
  </si>
  <si>
    <t>Financial net</t>
  </si>
  <si>
    <t>Taxes</t>
  </si>
  <si>
    <t>Implied tax rate</t>
  </si>
  <si>
    <t>Clean net income</t>
  </si>
  <si>
    <t>For snaps</t>
  </si>
  <si>
    <t>NSR</t>
  </si>
  <si>
    <t>Cons</t>
  </si>
  <si>
    <t>NSR v</t>
  </si>
  <si>
    <t>diff.</t>
  </si>
  <si>
    <t>diff</t>
  </si>
  <si>
    <t>Cable / mass market revenue</t>
  </si>
  <si>
    <t>Core service rev</t>
  </si>
  <si>
    <t>Other revenue</t>
  </si>
  <si>
    <t>Cable EBITDA</t>
  </si>
  <si>
    <t xml:space="preserve">Other EBITDA </t>
  </si>
  <si>
    <t>Fin expenses</t>
  </si>
  <si>
    <t>Net adds, 000s</t>
  </si>
  <si>
    <t>BB</t>
  </si>
  <si>
    <t>ARPU, MXN</t>
  </si>
  <si>
    <t>Broadband</t>
  </si>
  <si>
    <t>Revenue, y/y</t>
  </si>
  <si>
    <t>Cable revenue</t>
  </si>
  <si>
    <t>Other (Ho1a, PCTV, Metrocarrier)</t>
  </si>
  <si>
    <t>Corporate/carrier</t>
  </si>
  <si>
    <t>RGUs per unique sub</t>
  </si>
  <si>
    <t>Gross adds, 000s</t>
  </si>
  <si>
    <t>Total RGUs added</t>
  </si>
  <si>
    <t>Core/cable</t>
  </si>
  <si>
    <t>Carrier/corporate</t>
  </si>
  <si>
    <t>Group</t>
  </si>
  <si>
    <t>Core/cable opex</t>
  </si>
  <si>
    <t>Mass market</t>
  </si>
  <si>
    <t>TV Churn</t>
  </si>
  <si>
    <t>Voice Churn</t>
  </si>
  <si>
    <t>Unique subs y/y</t>
  </si>
  <si>
    <t>EBITDA growth</t>
  </si>
  <si>
    <t>Consolidated EBITDA growth (LHS)</t>
  </si>
  <si>
    <t>Group margins (RHS)</t>
  </si>
  <si>
    <t>Core cable EBITDA growth (LHS)</t>
  </si>
  <si>
    <t>Core cable margins (RHS)</t>
  </si>
  <si>
    <t>Messaging</t>
  </si>
  <si>
    <t>Consensus</t>
  </si>
  <si>
    <t xml:space="preserve">FY23 </t>
  </si>
  <si>
    <t>FY24</t>
  </si>
  <si>
    <t>FY27</t>
  </si>
  <si>
    <t>EBITDA margins</t>
  </si>
  <si>
    <t>&gt;FY23</t>
  </si>
  <si>
    <t>47-48%</t>
  </si>
  <si>
    <t>Capex to sales</t>
  </si>
  <si>
    <t>33-35%</t>
  </si>
  <si>
    <t>OpFCF margins</t>
  </si>
  <si>
    <t>Implied &gt; FY23</t>
  </si>
  <si>
    <t>27-28%</t>
  </si>
  <si>
    <t>Net leverage</t>
  </si>
  <si>
    <t>1.5x</t>
  </si>
  <si>
    <t>1.7x in March-24 and then reducing</t>
  </si>
  <si>
    <t>1.6x</t>
  </si>
  <si>
    <t>1.2x</t>
  </si>
  <si>
    <t>ARPUs</t>
  </si>
  <si>
    <t>Higher</t>
  </si>
  <si>
    <t>Valuation</t>
  </si>
  <si>
    <t>Number of shares, ords</t>
  </si>
  <si>
    <t>Average number of shares, ords</t>
  </si>
  <si>
    <t>Number of shares, Savs</t>
  </si>
  <si>
    <t>Average number of shares, Savs</t>
  </si>
  <si>
    <t>Consolidated Net debt</t>
  </si>
  <si>
    <t>Other financial liabilities</t>
  </si>
  <si>
    <t>Associates (for EV calc)</t>
  </si>
  <si>
    <t>Minorities (for EV calc)</t>
  </si>
  <si>
    <t>Cumulative dividends</t>
  </si>
  <si>
    <t>Tax credit</t>
  </si>
  <si>
    <t>Reported EPS</t>
  </si>
  <si>
    <t>Dividend payment</t>
  </si>
  <si>
    <t>Group forecasts</t>
  </si>
  <si>
    <t>Consolidated Revenues</t>
  </si>
  <si>
    <t>Consolidated EBITDA</t>
  </si>
  <si>
    <t>Consolidated Depreciation</t>
  </si>
  <si>
    <t>Consolidated Amortisation</t>
  </si>
  <si>
    <t>Consolidated Capex</t>
  </si>
  <si>
    <t>Consolidated OpFCF</t>
  </si>
  <si>
    <t>Consolidated FCF (OpFCF * (1-tax rate))</t>
  </si>
  <si>
    <t>Minority interests (b/s)</t>
  </si>
  <si>
    <t>Net interest</t>
  </si>
  <si>
    <t>Reported earnings</t>
  </si>
  <si>
    <t>Equity free cash flow</t>
  </si>
  <si>
    <t>Employees</t>
  </si>
  <si>
    <t>Net fixed assets</t>
  </si>
  <si>
    <t>Group Consolidated SACs</t>
  </si>
  <si>
    <t>Group consolidated SRCs</t>
  </si>
  <si>
    <t>Group Prop. SACs</t>
  </si>
  <si>
    <t>Group Prop. SRCs</t>
  </si>
  <si>
    <t>Prop. Revenues</t>
  </si>
  <si>
    <t>Prop. EBITDA</t>
  </si>
  <si>
    <t>Prop. Depreciation</t>
  </si>
  <si>
    <t>Prop. Amortisation</t>
  </si>
  <si>
    <t>Prop. Capex</t>
  </si>
  <si>
    <t>Prop. OpFCF</t>
  </si>
  <si>
    <t>Prop. FCF (OpFCF * (1-tax rate))</t>
  </si>
  <si>
    <t>Prop. Net debt</t>
  </si>
  <si>
    <t>Consolidated service revenue</t>
  </si>
  <si>
    <t>Prop. Service revenue</t>
  </si>
  <si>
    <t>Prop. Subscribers</t>
  </si>
  <si>
    <t>Prop. Pre-pay subs</t>
  </si>
  <si>
    <t>Prop. Contract subs</t>
  </si>
  <si>
    <t>Consolidated subscribers</t>
  </si>
  <si>
    <t>Consolidated Contract subs</t>
  </si>
  <si>
    <t>Consolidated pre-pay subs</t>
  </si>
  <si>
    <t>Prop. Pops</t>
  </si>
  <si>
    <t>Consolidated Pops</t>
  </si>
  <si>
    <t>Domestic Pops</t>
  </si>
  <si>
    <t>Domestic prepay subs</t>
  </si>
  <si>
    <t>Domestic contract subs</t>
  </si>
  <si>
    <t>Domestic mkt share</t>
  </si>
  <si>
    <t>Domestic voice ARPU</t>
  </si>
  <si>
    <t>Domestic data ARPU</t>
  </si>
  <si>
    <t>Domestic MOU</t>
  </si>
  <si>
    <t>Domestic revenue</t>
  </si>
  <si>
    <t>Domestic service revenue</t>
  </si>
  <si>
    <t>Domestic EBITDA</t>
  </si>
  <si>
    <t>Domestic capex</t>
  </si>
  <si>
    <t>Domestic FCF</t>
  </si>
  <si>
    <t>Cumulative Gp consolidated capex</t>
  </si>
  <si>
    <t>Cumulative Gp prop. capex</t>
  </si>
  <si>
    <t>Debt analysis</t>
  </si>
  <si>
    <t>Cash flow</t>
  </si>
  <si>
    <t>Less: Interest payments</t>
  </si>
  <si>
    <t>Less: Tax paid</t>
  </si>
  <si>
    <t>Less: Change in WC</t>
  </si>
  <si>
    <t>Less: Ieases amortised</t>
  </si>
  <si>
    <t>Less: Disposals/acquis.</t>
  </si>
  <si>
    <t>Less: Minority dividends</t>
  </si>
  <si>
    <t>Less: Other</t>
  </si>
  <si>
    <t>EFCF adjustments</t>
  </si>
  <si>
    <t>Adj 1</t>
  </si>
  <si>
    <t>Adj 2</t>
  </si>
  <si>
    <t>Adj 3</t>
  </si>
  <si>
    <t>Adj 4</t>
  </si>
  <si>
    <t>Adj 5</t>
  </si>
  <si>
    <t>Adj 6</t>
  </si>
  <si>
    <t>Divisional (from 2009 onwards)</t>
  </si>
  <si>
    <t>Revenues</t>
  </si>
  <si>
    <t>Content/other</t>
  </si>
  <si>
    <t>Sky</t>
  </si>
  <si>
    <t>Cable</t>
  </si>
  <si>
    <t>Sum of the parts</t>
  </si>
  <si>
    <t>EBITDA 2012</t>
  </si>
  <si>
    <t>EBITDA 2013</t>
  </si>
  <si>
    <t>EBITDA 2014</t>
  </si>
  <si>
    <t>OpFCF 2012</t>
  </si>
  <si>
    <t>OpFCF 2013</t>
  </si>
  <si>
    <t>OpFCF 2014</t>
  </si>
  <si>
    <t>Change in WC</t>
  </si>
  <si>
    <t>Tax paid</t>
  </si>
  <si>
    <t>Dividends from associates</t>
  </si>
  <si>
    <t>NCI</t>
  </si>
  <si>
    <t>Others</t>
  </si>
  <si>
    <t>Unlevered FCF</t>
  </si>
  <si>
    <t>Net interests</t>
  </si>
  <si>
    <t>Lease payments on principal</t>
  </si>
  <si>
    <t xml:space="preserve">EFCF before license payments </t>
  </si>
  <si>
    <t>License payments</t>
  </si>
  <si>
    <t>Market cap</t>
  </si>
  <si>
    <t>EFCF y/y</t>
  </si>
  <si>
    <t>Buyback yield</t>
  </si>
  <si>
    <t>Total shareholder yield</t>
  </si>
  <si>
    <t>Revenue (3-play)</t>
  </si>
  <si>
    <t>TotalPlay (Residential)</t>
  </si>
  <si>
    <t>Telmex</t>
  </si>
  <si>
    <t>Totalplay</t>
  </si>
  <si>
    <t>Total EBITDA (ex Telmex)</t>
  </si>
  <si>
    <t>% EBITDA margin</t>
  </si>
  <si>
    <t>Total EBITDA margin (ex-Telmex)</t>
  </si>
  <si>
    <t>Homes passed, 000s</t>
  </si>
  <si>
    <t>Telmex copper/VDSL/FTTH</t>
  </si>
  <si>
    <t xml:space="preserve"> - of which Telmex FTTH</t>
  </si>
  <si>
    <t>&lt;10,000</t>
  </si>
  <si>
    <t>BB penetration of HPs</t>
  </si>
  <si>
    <t>Broadband subs, 000s</t>
  </si>
  <si>
    <t>Telmex total BB</t>
  </si>
  <si>
    <t>Total (4 main players)</t>
  </si>
  <si>
    <t>Other*</t>
  </si>
  <si>
    <t>Total market (Cofetel / estimate)</t>
  </si>
  <si>
    <t xml:space="preserve"> - Residential</t>
  </si>
  <si>
    <t xml:space="preserve"> - Corporate</t>
  </si>
  <si>
    <t>Homes</t>
  </si>
  <si>
    <t>Residential penetration</t>
  </si>
  <si>
    <t>Broadband share (of Top 4)</t>
  </si>
  <si>
    <t>HPs</t>
  </si>
  <si>
    <t>High-speed BB</t>
  </si>
  <si>
    <t>Telmex FTTH</t>
  </si>
  <si>
    <t>Broadband adds, 000s</t>
  </si>
  <si>
    <t xml:space="preserve">* Figures not reported </t>
  </si>
  <si>
    <t>MEGA total revenue</t>
  </si>
  <si>
    <t>Totalplay total revenue</t>
  </si>
  <si>
    <t>Televisa total revenue</t>
  </si>
  <si>
    <t>Totalplay residential</t>
  </si>
  <si>
    <t>Totalplay EBITDA</t>
  </si>
  <si>
    <t>MegaCable ARPU</t>
  </si>
  <si>
    <t>TotalPlay ARPU (rep)</t>
  </si>
  <si>
    <t>Televisa Revs/Av Subs*</t>
  </si>
  <si>
    <t xml:space="preserve">TotalPlay </t>
  </si>
  <si>
    <t>Fin debt</t>
  </si>
  <si>
    <t>Lease liability</t>
  </si>
  <si>
    <t>IFRS 16 net debt</t>
  </si>
  <si>
    <t>Totalplay (Jul-23)</t>
  </si>
  <si>
    <t>Price increases</t>
  </si>
  <si>
    <t>Izzy (Apr-23)</t>
  </si>
  <si>
    <t>~50% Mega (May-23)</t>
  </si>
  <si>
    <t>~50% Mega (Dec-22)</t>
  </si>
  <si>
    <t>MEGA homes passed</t>
  </si>
  <si>
    <t>Homes added</t>
  </si>
  <si>
    <t>2023E</t>
  </si>
  <si>
    <t>2024E</t>
  </si>
  <si>
    <t>2025E</t>
  </si>
  <si>
    <t xml:space="preserve">MEGA </t>
  </si>
  <si>
    <t>Residential:</t>
  </si>
  <si>
    <t>Revenue growth</t>
  </si>
  <si>
    <t>MEGA - Residential</t>
  </si>
  <si>
    <t>TV (Cable)</t>
  </si>
  <si>
    <t>TV (Residential Cable)</t>
  </si>
  <si>
    <t>MEGA (Cable)</t>
  </si>
  <si>
    <t>Inflation</t>
  </si>
  <si>
    <t>2026E</t>
  </si>
  <si>
    <t>2027E</t>
  </si>
  <si>
    <t>TV (cable)</t>
  </si>
  <si>
    <t>Guidance</t>
  </si>
  <si>
    <t>FY22</t>
  </si>
  <si>
    <t>FY23</t>
  </si>
  <si>
    <t>FY24e</t>
  </si>
  <si>
    <t>FY27e</t>
  </si>
  <si>
    <t>Televisa Cable</t>
  </si>
  <si>
    <t>21.4%**</t>
  </si>
  <si>
    <t>29-30%</t>
  </si>
  <si>
    <t>-</t>
  </si>
  <si>
    <t>AMX Group</t>
  </si>
  <si>
    <t>15%**</t>
  </si>
  <si>
    <t>Capex ($m)</t>
  </si>
  <si>
    <t>$650m*</t>
  </si>
  <si>
    <t>$630m</t>
  </si>
  <si>
    <t>$730-790m</t>
  </si>
  <si>
    <t>$7,000m</t>
  </si>
  <si>
    <t>Revenue MXN</t>
  </si>
  <si>
    <t>FX</t>
  </si>
  <si>
    <t>2028E</t>
  </si>
  <si>
    <t>2029E</t>
  </si>
  <si>
    <t>2030E</t>
  </si>
  <si>
    <t>OpFCF (MNX bn)</t>
  </si>
  <si>
    <t>1Q23</t>
  </si>
  <si>
    <t>2Q23</t>
  </si>
  <si>
    <t>3Q23</t>
  </si>
  <si>
    <t>4Q23</t>
  </si>
  <si>
    <t>OpFCF margin</t>
  </si>
  <si>
    <t>Internet, Mbps</t>
  </si>
  <si>
    <t>Price ex-voice</t>
  </si>
  <si>
    <t>Implied voice</t>
  </si>
  <si>
    <t>basic plus</t>
  </si>
  <si>
    <t>unlimited local, 100 local mobile</t>
  </si>
  <si>
    <t xml:space="preserve">basic </t>
  </si>
  <si>
    <t>connect digital</t>
  </si>
  <si>
    <t>unlimited local, 50 local mobile</t>
  </si>
  <si>
    <t>Standalone</t>
  </si>
  <si>
    <t>as % homes</t>
  </si>
  <si>
    <t>RGUs per sub</t>
  </si>
  <si>
    <t>Corporate/carrier revs</t>
  </si>
  <si>
    <t>Construction</t>
  </si>
  <si>
    <t>Upgrades</t>
  </si>
  <si>
    <t>CTC, equip</t>
  </si>
  <si>
    <t>Office, IT</t>
  </si>
  <si>
    <t>CPE</t>
  </si>
  <si>
    <t>Data network</t>
  </si>
  <si>
    <t>Post Trump</t>
  </si>
  <si>
    <t>New, MXN m</t>
  </si>
  <si>
    <t xml:space="preserve"> - of which</t>
  </si>
  <si>
    <t xml:space="preserve"> Core business</t>
  </si>
  <si>
    <t xml:space="preserve"> Corporate/other</t>
  </si>
  <si>
    <t>Old</t>
  </si>
  <si>
    <t>FY 15a</t>
  </si>
  <si>
    <t>2016e</t>
  </si>
  <si>
    <t>Total revs</t>
  </si>
  <si>
    <t>Core revs</t>
  </si>
  <si>
    <t>Total EBITDA</t>
  </si>
  <si>
    <t>Megacable</t>
  </si>
  <si>
    <t>Construction / upgrades</t>
  </si>
  <si>
    <t>Data networks</t>
  </si>
  <si>
    <t>Other, special projects</t>
  </si>
  <si>
    <t>Transport and GTAC</t>
  </si>
  <si>
    <t>CTC, tooling, office</t>
  </si>
  <si>
    <t>earnings</t>
  </si>
  <si>
    <t>Capex/sales</t>
  </si>
  <si>
    <t>Capex, USDm</t>
  </si>
  <si>
    <t>Unique subs, 000s</t>
  </si>
  <si>
    <t>Capex/sub, USD m</t>
  </si>
  <si>
    <t>Capex/sales - MXN19/$ (base case)</t>
  </si>
  <si>
    <t>Capex/sales - MXN22/$</t>
  </si>
  <si>
    <t>Debt</t>
  </si>
  <si>
    <t>multiple</t>
  </si>
  <si>
    <t>Debt/EBITDA</t>
  </si>
  <si>
    <t>Borrrowing cost</t>
  </si>
  <si>
    <t>Tax rate</t>
  </si>
  <si>
    <t>Post-tax borrowing cost</t>
  </si>
  <si>
    <t>Interest</t>
  </si>
  <si>
    <t>Pre tax FCF</t>
  </si>
  <si>
    <t>Long term</t>
  </si>
  <si>
    <t>FTTH overbuild</t>
  </si>
  <si>
    <t>Total homes passed, 000s (Q3 19)</t>
  </si>
  <si>
    <t>Total FTTH planned overlay as %</t>
  </si>
  <si>
    <t>FTTH lines to be overlaid</t>
  </si>
  <si>
    <t>Phase 1 as % of project</t>
  </si>
  <si>
    <t>FTTH lines overlaid Phase 1</t>
  </si>
  <si>
    <t>Cost, USD m</t>
  </si>
  <si>
    <t>Cost per line, USD, in Phase 1</t>
  </si>
  <si>
    <t>Savings on HFC</t>
  </si>
  <si>
    <t>Home passed cost</t>
  </si>
  <si>
    <t>Home connected cost</t>
  </si>
  <si>
    <t>Changes of estimates (post-Q1)</t>
  </si>
  <si>
    <t>NEW, MXN m</t>
  </si>
  <si>
    <t>OLD, MXN m</t>
  </si>
  <si>
    <t>bundled</t>
  </si>
  <si>
    <t>unbundled</t>
  </si>
  <si>
    <t>execution only</t>
  </si>
  <si>
    <t>OliveTree</t>
  </si>
  <si>
    <t>Sales trading, buy/sell on behalf of clients</t>
  </si>
  <si>
    <t>Get business due to underinvestment in big bank sales trading</t>
  </si>
  <si>
    <t>Dark Pool - 4 banks drive it (JPM, GS, Merrils, MS)</t>
  </si>
  <si>
    <t>Why not use DMA…no market noise. With Mifid 2 compounding</t>
  </si>
  <si>
    <t>Value for sales trading, of Sales</t>
  </si>
  <si>
    <t>Globally</t>
  </si>
  <si>
    <t>$1bn of trading revs, with zero product</t>
  </si>
  <si>
    <t>Liquidity analysis</t>
  </si>
  <si>
    <t>&gt;2029</t>
  </si>
  <si>
    <t xml:space="preserve">10% of global </t>
  </si>
  <si>
    <t>TMT</t>
  </si>
  <si>
    <t>35% of US market</t>
  </si>
  <si>
    <t>In Europe</t>
  </si>
  <si>
    <t>Asia</t>
  </si>
  <si>
    <t>Repayments</t>
  </si>
  <si>
    <t>Comms</t>
  </si>
  <si>
    <t>Cumulative</t>
  </si>
  <si>
    <t>Market</t>
  </si>
  <si>
    <t>global</t>
  </si>
  <si>
    <t>+1.1</t>
  </si>
  <si>
    <t>+0.4</t>
  </si>
  <si>
    <t>Mar-24th</t>
  </si>
  <si>
    <t>wallet</t>
  </si>
  <si>
    <t>9.2% y/y</t>
  </si>
  <si>
    <t>BB market share split, Dec-19</t>
  </si>
  <si>
    <t>Total Play</t>
  </si>
  <si>
    <t>Izzy</t>
  </si>
  <si>
    <t xml:space="preserve">Other </t>
  </si>
  <si>
    <t>Aguascalier</t>
  </si>
  <si>
    <t>Sonora</t>
  </si>
  <si>
    <t>Baja California</t>
  </si>
  <si>
    <t>Sinaloa</t>
  </si>
  <si>
    <t>Baja California Sur</t>
  </si>
  <si>
    <t>Durango</t>
  </si>
  <si>
    <t>Campeche</t>
  </si>
  <si>
    <t>Michoacan de Ocampo</t>
  </si>
  <si>
    <t>Chiapas</t>
  </si>
  <si>
    <t>Guanajuato</t>
  </si>
  <si>
    <t>Chihuahua</t>
  </si>
  <si>
    <t>Queretaro</t>
  </si>
  <si>
    <t>Ciudad de Mexico</t>
  </si>
  <si>
    <t>Nayarit</t>
  </si>
  <si>
    <t>Coahuila de Zaragoza</t>
  </si>
  <si>
    <t>Colima</t>
  </si>
  <si>
    <t>Puebla</t>
  </si>
  <si>
    <t>Morellos</t>
  </si>
  <si>
    <t>Guererro</t>
  </si>
  <si>
    <t>Zacatecas</t>
  </si>
  <si>
    <t>Hidalgo</t>
  </si>
  <si>
    <t>Jalisco</t>
  </si>
  <si>
    <t>Veracruz de Ignacio de la Llave</t>
  </si>
  <si>
    <t>Mexico State</t>
  </si>
  <si>
    <t>Oaxaca</t>
  </si>
  <si>
    <t>Nuevo Leon</t>
  </si>
  <si>
    <t>Tlaxcala</t>
  </si>
  <si>
    <t>Quintana Roo</t>
  </si>
  <si>
    <t>San Luis Potosi</t>
  </si>
  <si>
    <t>Tabasco</t>
  </si>
  <si>
    <t>Tamaulipas</t>
  </si>
  <si>
    <t>Yucatan</t>
  </si>
  <si>
    <t>Q3 20e</t>
  </si>
  <si>
    <t>Q4 20e</t>
  </si>
  <si>
    <t>OTT adj revenue</t>
  </si>
  <si>
    <t>Televisa</t>
  </si>
  <si>
    <t>Total (main players)</t>
  </si>
  <si>
    <t>Today</t>
  </si>
  <si>
    <t>Number of homes</t>
  </si>
  <si>
    <t>HPs/HH</t>
  </si>
  <si>
    <t>Televisa cable - Nov 22</t>
  </si>
  <si>
    <t>MXN</t>
  </si>
  <si>
    <t>Cumulative FCF</t>
  </si>
  <si>
    <t>MXN million</t>
  </si>
  <si>
    <t>Izzy (TV)</t>
  </si>
  <si>
    <t>New Co</t>
  </si>
  <si>
    <t>Notes</t>
  </si>
  <si>
    <t xml:space="preserve">Price </t>
  </si>
  <si>
    <t>19% premium to Nov 14th</t>
  </si>
  <si>
    <t>MEGA bid for TV</t>
  </si>
  <si>
    <t>mega</t>
  </si>
  <si>
    <t>EV/EBITDA (2022e)</t>
  </si>
  <si>
    <t xml:space="preserve">Debt </t>
  </si>
  <si>
    <t>2022e EBITDA</t>
  </si>
  <si>
    <t>TV's Izzy EBITDA 56% higher than MEGA</t>
  </si>
  <si>
    <t>TV share of Izzy</t>
  </si>
  <si>
    <t>EV/EBITDA multiple</t>
  </si>
  <si>
    <t xml:space="preserve">Megacable offer at 4.2x 2022e EBITDA </t>
  </si>
  <si>
    <t>TV share of equity</t>
  </si>
  <si>
    <t>TV assumed to contribute ~MXN48 billion of debt…</t>
  </si>
  <si>
    <t>Dividend paid to MEGA</t>
  </si>
  <si>
    <t>Multiple post-divi</t>
  </si>
  <si>
    <t>Share</t>
  </si>
  <si>
    <t>….which levels equity splits out at 45/55</t>
  </si>
  <si>
    <t>USD/MXN</t>
  </si>
  <si>
    <t>TV paying a MXN14.8 billion dividend on close</t>
  </si>
  <si>
    <t>EV, $</t>
  </si>
  <si>
    <t>EV adj for dividend</t>
  </si>
  <si>
    <t>Stock contribution</t>
  </si>
  <si>
    <t>Dividend adj. multiple</t>
  </si>
  <si>
    <t>Stock</t>
  </si>
  <si>
    <t>Net debt / ebitda</t>
  </si>
  <si>
    <t>Suggests ~2x leverage for the New Cable Co</t>
  </si>
  <si>
    <t>Funding in USD</t>
  </si>
  <si>
    <t>NPV synergies</t>
  </si>
  <si>
    <t>Split according to equity stake</t>
  </si>
  <si>
    <t>per share, mxn</t>
  </si>
  <si>
    <t>per share, usd</t>
  </si>
  <si>
    <t>After-tax charge</t>
  </si>
  <si>
    <t>Cumulative interest</t>
  </si>
  <si>
    <t>tv</t>
  </si>
  <si>
    <t>SHOUT issued</t>
  </si>
  <si>
    <t>as % SHOUT</t>
  </si>
  <si>
    <t>300bps</t>
  </si>
  <si>
    <t>opex</t>
  </si>
  <si>
    <t>New SHOUT, millions</t>
  </si>
  <si>
    <t>0.5m HPs per year</t>
  </si>
  <si>
    <t>Izzy mins</t>
  </si>
  <si>
    <t>MEGA owners</t>
  </si>
  <si>
    <t>50% premium for MEGA by Izzy ("multiple to multiple")</t>
  </si>
  <si>
    <t>MEGA FF</t>
  </si>
  <si>
    <t>EBITDA (LTM)</t>
  </si>
  <si>
    <t>LTM EBITDA</t>
  </si>
  <si>
    <t>NewCo SHOUT</t>
  </si>
  <si>
    <t>Implies a similar EV for each business</t>
  </si>
  <si>
    <t xml:space="preserve">Assume TV puts MXN25 billion of debt in </t>
  </si>
  <si>
    <t>Synergies</t>
  </si>
  <si>
    <t>Min</t>
  </si>
  <si>
    <t>Equity (pre-dividend)</t>
  </si>
  <si>
    <t>Combined Co opex</t>
  </si>
  <si>
    <t>Equity share</t>
  </si>
  <si>
    <t>Combined Co capex</t>
  </si>
  <si>
    <t>25% sales</t>
  </si>
  <si>
    <t>Current pro-forma opex/capex</t>
  </si>
  <si>
    <t>~MXN$15.0 bn special dividend to MEGA</t>
  </si>
  <si>
    <t>OpEx saving</t>
  </si>
  <si>
    <t>Debt, after dividend</t>
  </si>
  <si>
    <t>Capex saving</t>
  </si>
  <si>
    <t xml:space="preserve">Equity </t>
  </si>
  <si>
    <t>Debt / EBITDA post divi</t>
  </si>
  <si>
    <t>&lt;2x net debt to EBITDA</t>
  </si>
  <si>
    <t>Integration cost</t>
  </si>
  <si>
    <t>Net saving</t>
  </si>
  <si>
    <t>After-tax</t>
  </si>
  <si>
    <t>Term multiple</t>
  </si>
  <si>
    <t>PV term value</t>
  </si>
  <si>
    <t>Total NPV, MXN million</t>
  </si>
  <si>
    <t>NPV, USD million</t>
  </si>
  <si>
    <t>Implied growth</t>
  </si>
  <si>
    <t>Multiple</t>
  </si>
  <si>
    <t>MEGA split</t>
  </si>
  <si>
    <t>MEGA divi</t>
  </si>
  <si>
    <t>TV split</t>
  </si>
  <si>
    <t>MEGA synergy share, MXN</t>
  </si>
  <si>
    <t>TV synergy share, USD</t>
  </si>
  <si>
    <t xml:space="preserve">NewCo </t>
  </si>
  <si>
    <t>Leverage</t>
  </si>
  <si>
    <t>mega capex not spent</t>
  </si>
  <si>
    <t>Base case capex</t>
  </si>
  <si>
    <t>Normalised revenue growth</t>
  </si>
  <si>
    <t>Normalied revenue</t>
  </si>
  <si>
    <t>Normalised capex/sales</t>
  </si>
  <si>
    <t>Normalised capex</t>
  </si>
  <si>
    <t>Saved capex</t>
  </si>
  <si>
    <t>excess spend</t>
  </si>
  <si>
    <t>After-tax saving</t>
  </si>
  <si>
    <t>NPV saved capex, MXN million</t>
  </si>
  <si>
    <t>NPV saved capex, USD m</t>
  </si>
  <si>
    <t xml:space="preserve">New Co </t>
  </si>
  <si>
    <t>Current share price</t>
  </si>
  <si>
    <t>Standalone TP</t>
  </si>
  <si>
    <t>TP with full merger benefits</t>
  </si>
  <si>
    <t>TP 33% deal probability</t>
  </si>
  <si>
    <t>Net customer adds</t>
  </si>
  <si>
    <t>Assumed % to upgrade/install</t>
  </si>
  <si>
    <t>Gross adds to connect</t>
  </si>
  <si>
    <t>Pen</t>
  </si>
  <si>
    <t>Cost to pass, $</t>
  </si>
  <si>
    <t>Cost to connect, $</t>
  </si>
  <si>
    <t>Cost to pass/connect</t>
  </si>
  <si>
    <t>Capex passed</t>
  </si>
  <si>
    <t>Capex connect</t>
  </si>
  <si>
    <t>FTTH capex</t>
  </si>
  <si>
    <t>Capex, MXN</t>
  </si>
  <si>
    <t>$/MXN</t>
  </si>
  <si>
    <t>Capex, $</t>
  </si>
  <si>
    <t>Implied "Other" capex, $</t>
  </si>
  <si>
    <t>Implied "Other" capex, $ (12m rolling)</t>
  </si>
  <si>
    <t>Implied "Other" capex, MXN</t>
  </si>
  <si>
    <t>Revs</t>
  </si>
  <si>
    <t>Group as % sales (12m rolling average)</t>
  </si>
  <si>
    <t>discount to Group reported</t>
  </si>
  <si>
    <t>New region ARPU</t>
  </si>
  <si>
    <t>2022 guidance</t>
  </si>
  <si>
    <t>NSR (pre-FY)</t>
  </si>
  <si>
    <t>"double digit"</t>
  </si>
  <si>
    <t>CAPEX</t>
  </si>
  <si>
    <t>000s</t>
  </si>
  <si>
    <t>Penetration Year 1</t>
  </si>
  <si>
    <t>Penetration Year 2</t>
  </si>
  <si>
    <t>Penetration Year 3</t>
  </si>
  <si>
    <t>Tota penetration</t>
  </si>
  <si>
    <t>Cohort Year 1</t>
  </si>
  <si>
    <t>Cohort Year 2</t>
  </si>
  <si>
    <t>Cohort Year 3</t>
  </si>
  <si>
    <t>Cost per home passed, USD</t>
  </si>
  <si>
    <t>Cost per home connected, USD</t>
  </si>
  <si>
    <t>Cost of passed, USD m</t>
  </si>
  <si>
    <t>Cost of connect, USD m</t>
  </si>
  <si>
    <t>Total capex, USD m</t>
  </si>
  <si>
    <t>Fixed ARPU, MXN</t>
  </si>
  <si>
    <t>Fixed ARPU, USD</t>
  </si>
  <si>
    <t>Penetration (3 years)</t>
  </si>
  <si>
    <t>Churn (monthly)</t>
  </si>
  <si>
    <t>Churn (annual)</t>
  </si>
  <si>
    <t>Average customer duration, years</t>
  </si>
  <si>
    <t>Duration</t>
  </si>
  <si>
    <t>Contribution margin</t>
  </si>
  <si>
    <t>USD million</t>
  </si>
  <si>
    <t>Year 1</t>
  </si>
  <si>
    <t>Year 2</t>
  </si>
  <si>
    <t>Year 3</t>
  </si>
  <si>
    <t>Year 4</t>
  </si>
  <si>
    <t>Year 5</t>
  </si>
  <si>
    <t>Capex to pass (per connected home)</t>
  </si>
  <si>
    <t>Capex to connect</t>
  </si>
  <si>
    <t>Total capex/ connection</t>
  </si>
  <si>
    <t>IRR (pre-tax)</t>
  </si>
  <si>
    <t>IRR (post-tax)</t>
  </si>
  <si>
    <t>New versus old (Apr-23)</t>
  </si>
  <si>
    <t>NEW</t>
  </si>
  <si>
    <t>22-26</t>
  </si>
  <si>
    <t>RGUs, 000s</t>
  </si>
  <si>
    <t>BB subs, 000s</t>
  </si>
  <si>
    <t>Capex, USD m</t>
  </si>
  <si>
    <t>OLD</t>
  </si>
  <si>
    <t>RGUs</t>
  </si>
  <si>
    <t>BB subs</t>
  </si>
  <si>
    <t>% margin (ppts)</t>
  </si>
  <si>
    <t>as % sales (ppts)</t>
  </si>
  <si>
    <t>Cost of home passed</t>
  </si>
  <si>
    <t xml:space="preserve">USD </t>
  </si>
  <si>
    <t>Pass</t>
  </si>
  <si>
    <t>Connect</t>
  </si>
  <si>
    <t>Vivo (Br)</t>
  </si>
  <si>
    <t>Oi (Br)</t>
  </si>
  <si>
    <t>Megacable (Mex)</t>
  </si>
  <si>
    <t>Izzy (Mex)</t>
  </si>
  <si>
    <t>Millicom (pan-LatAm, HFC)</t>
  </si>
  <si>
    <t>Entel (Chile)</t>
  </si>
  <si>
    <t>Resi</t>
  </si>
  <si>
    <t>Corp</t>
  </si>
  <si>
    <t>Axtel</t>
  </si>
  <si>
    <t xml:space="preserve">TV </t>
  </si>
  <si>
    <t>Broadband lines</t>
  </si>
  <si>
    <t>Maxcom</t>
  </si>
  <si>
    <t>Cablevision</t>
  </si>
  <si>
    <t>Cablemas</t>
  </si>
  <si>
    <t>TVI (Cablevision de Monterey)</t>
  </si>
  <si>
    <t>Cablecom</t>
  </si>
  <si>
    <t>Cablevision Red</t>
  </si>
  <si>
    <t>Total Televisa</t>
  </si>
  <si>
    <t>Other cable</t>
  </si>
  <si>
    <t>Cofetel broadband numbers</t>
  </si>
  <si>
    <t>Assumed corporate</t>
  </si>
  <si>
    <t>Assumed Residential</t>
  </si>
  <si>
    <t>Residential pen</t>
  </si>
  <si>
    <t>Telnor</t>
  </si>
  <si>
    <t>TOTAL MEXICO</t>
  </si>
  <si>
    <t>DSL</t>
  </si>
  <si>
    <t>Fibre</t>
  </si>
  <si>
    <t>TV Cable de Oriente</t>
  </si>
  <si>
    <t>FTTH de Mex</t>
  </si>
  <si>
    <t>Telmex DSL</t>
  </si>
  <si>
    <t>Aguascalientes</t>
  </si>
  <si>
    <t>Guerrero</t>
  </si>
  <si>
    <t>Mexico.</t>
  </si>
  <si>
    <t>Morelos</t>
  </si>
  <si>
    <t>Diff</t>
  </si>
  <si>
    <t>New</t>
  </si>
  <si>
    <t>NI</t>
  </si>
  <si>
    <t>AT&amp;T Mexico wireless acquisition (1/2)</t>
  </si>
  <si>
    <t>SHOUT</t>
  </si>
  <si>
    <t>AT&amp;T Mexico Equity</t>
  </si>
  <si>
    <t>AT&amp;T Mexico net debt</t>
  </si>
  <si>
    <t>AT&amp;T Mexico EV</t>
  </si>
  <si>
    <t>Implied multiple, 24 EBITDA</t>
  </si>
  <si>
    <t>of which cash</t>
  </si>
  <si>
    <t>Cash offer</t>
  </si>
  <si>
    <t>Stock component</t>
  </si>
  <si>
    <t>MEGA issue price</t>
  </si>
  <si>
    <t>Shares issued (m)</t>
  </si>
  <si>
    <t>AT&amp;T Mexico wireless</t>
  </si>
  <si>
    <t>$m</t>
  </si>
  <si>
    <t>Visible alpha</t>
  </si>
  <si>
    <t>Op Income</t>
  </si>
  <si>
    <t>PP&amp;E</t>
  </si>
  <si>
    <t>As % sales</t>
  </si>
  <si>
    <t>Diff.</t>
  </si>
  <si>
    <t>USD MXN</t>
  </si>
  <si>
    <t>EV (MXN)</t>
  </si>
  <si>
    <t>Equity (MXN)</t>
  </si>
  <si>
    <t>Subs (k)</t>
  </si>
  <si>
    <t>EV/subs</t>
  </si>
  <si>
    <t>AMX EV/subs</t>
  </si>
  <si>
    <t>After tax</t>
  </si>
  <si>
    <t>Base case</t>
  </si>
  <si>
    <t xml:space="preserve">MEGA net debt </t>
  </si>
  <si>
    <t>EFCF/share</t>
  </si>
  <si>
    <t>New MEGA</t>
  </si>
  <si>
    <t>New SHOUT</t>
  </si>
  <si>
    <t>EFCF / share</t>
  </si>
  <si>
    <t>New market cap</t>
  </si>
  <si>
    <t>New net debt</t>
  </si>
  <si>
    <t>New EV</t>
  </si>
  <si>
    <t>New EV/EBITDA</t>
  </si>
  <si>
    <t>Synergies in deal #2</t>
  </si>
  <si>
    <t>Izzy acquisition (2/2)</t>
  </si>
  <si>
    <t>Izzy Equity</t>
  </si>
  <si>
    <t>Izzy net debt</t>
  </si>
  <si>
    <t>Izzy EV</t>
  </si>
  <si>
    <t>Cable EV</t>
  </si>
  <si>
    <t>Sky EV</t>
  </si>
  <si>
    <t>Cable / Sky synergies</t>
  </si>
  <si>
    <t>Premium for control?</t>
  </si>
  <si>
    <t>MEGA post AT&amp;T deal</t>
  </si>
  <si>
    <t>Cable synergies</t>
  </si>
  <si>
    <t>Opex synergies</t>
  </si>
  <si>
    <t>M&amp;A note</t>
  </si>
  <si>
    <t>Capex synergies</t>
  </si>
  <si>
    <t>Intergration costs</t>
  </si>
  <si>
    <t>FMC synergies</t>
  </si>
  <si>
    <t>PF opex/capex</t>
  </si>
  <si>
    <t>Savings %</t>
  </si>
  <si>
    <t>Savings</t>
  </si>
  <si>
    <t>Integration costs</t>
  </si>
  <si>
    <t>**</t>
  </si>
  <si>
    <t>Homes passed stepped up?  Where going to in 2015</t>
  </si>
  <si>
    <t>some km on network activated. All organic</t>
  </si>
  <si>
    <t>Step up in core revenue growth sustainable?</t>
  </si>
  <si>
    <t>How much of incremental opex related to growth</t>
  </si>
  <si>
    <t>Capex for 2015?</t>
  </si>
  <si>
    <t>Dividend prospects?</t>
  </si>
  <si>
    <t>Accounts payable in net cash calculation?</t>
  </si>
  <si>
    <t>Talk through mobile strategy</t>
  </si>
  <si>
    <t>looking at options</t>
  </si>
  <si>
    <t>public offer from Telcel</t>
  </si>
  <si>
    <t>MEGA knows the infrastructure being unbundled</t>
  </si>
  <si>
    <t>but don't know the prices</t>
  </si>
  <si>
    <t>long times for agreements to be set, 120 days or so</t>
  </si>
  <si>
    <t>Check...MXN36m accrual in EBITDA?</t>
  </si>
  <si>
    <t>Charge at the interest line</t>
  </si>
  <si>
    <t>Call</t>
  </si>
  <si>
    <t>2014 results exceeded expectations and guidance</t>
  </si>
  <si>
    <t>by 2% at the revenue level</t>
  </si>
  <si>
    <t>despite sluggish economy</t>
  </si>
  <si>
    <t>increased competition</t>
  </si>
  <si>
    <t>10 Mb minimum speeds in all markets</t>
  </si>
  <si>
    <t>20, 50, 100 available in many markets</t>
  </si>
  <si>
    <t>new voice platform for telephony</t>
  </si>
  <si>
    <t>aggressive campaigns to target new subs here</t>
  </si>
  <si>
    <t>lower churn in BB and TV</t>
  </si>
  <si>
    <t>less so on voice</t>
  </si>
  <si>
    <t>Operating cost reduction in xx and Guadalajara by YE 2015</t>
  </si>
  <si>
    <t>check</t>
  </si>
  <si>
    <t>MXN36m accrual due to IFETEL fine</t>
  </si>
  <si>
    <t>PCTV was for 2 months. EBITDA of 8%</t>
  </si>
  <si>
    <t>Q4 13 include an adjustment from auditors</t>
  </si>
  <si>
    <t>Q&amp;A</t>
  </si>
  <si>
    <t>TV acquisition is geographical proximate to Hevi</t>
  </si>
  <si>
    <t>process was very chaotic, suddenly decided to sell</t>
  </si>
  <si>
    <t>not clear what motivated this</t>
  </si>
  <si>
    <t>Previously, Grupo Hevi was the focus</t>
  </si>
  <si>
    <t>Now…Board and owners will decide. April 24th AGM.</t>
  </si>
  <si>
    <t>dividend policy likely to continue</t>
  </si>
  <si>
    <t>Acquiring very small ops in surrounding area… but they don't move the needle</t>
  </si>
  <si>
    <t>Marketing expenses</t>
  </si>
  <si>
    <t>any guidance here for 2015?</t>
  </si>
  <si>
    <t>cancelled Yoo campaign when TV went with Izzy</t>
  </si>
  <si>
    <t>using MEGA brand</t>
  </si>
  <si>
    <t>keeps expenses c.2.5% of revs. Likely to continue</t>
  </si>
  <si>
    <t>sales and commissions have increased</t>
  </si>
  <si>
    <t>30-34% increase in sales commissions. So far paying back</t>
  </si>
  <si>
    <t>some growth, but less than 2014</t>
  </si>
  <si>
    <t>who is the distribution?</t>
  </si>
  <si>
    <t>Corporate business?</t>
  </si>
  <si>
    <t>68% (6-8??) growth in corporate/carrier (non-cable)</t>
  </si>
  <si>
    <t>60% in 2015?</t>
  </si>
  <si>
    <t>1 Jan new tariffs, Claro video</t>
  </si>
  <si>
    <t>OTT to replace pay TV</t>
  </si>
  <si>
    <t xml:space="preserve">Evolution (next gen services) </t>
  </si>
  <si>
    <t>60 channels in HD to most subs available</t>
  </si>
  <si>
    <t>time shifted video…due to be launched</t>
  </si>
  <si>
    <t>Megacable play…OTT portal. Best of pay TV, linear, VOD</t>
  </si>
  <si>
    <t>new plans this week at the low end. MXN330?</t>
  </si>
  <si>
    <t>MEGA remains 10% cheaper than Telmex, better speeds?</t>
  </si>
  <si>
    <t>Hedged strategy with content providers</t>
  </si>
  <si>
    <t>impact on EBITDA margin</t>
  </si>
  <si>
    <t>included for FX in 2015</t>
  </si>
  <si>
    <t>7% impact on programming costs</t>
  </si>
  <si>
    <t>capex more than opex</t>
  </si>
  <si>
    <t>19% revs growth</t>
  </si>
  <si>
    <t>14% from mass market</t>
  </si>
  <si>
    <t>small decline on ARPUs</t>
  </si>
  <si>
    <t>10 on TV, 10 on BB, 13 on telephony (pesos)</t>
  </si>
  <si>
    <t>15% EBITDA growth</t>
  </si>
  <si>
    <t>capex</t>
  </si>
  <si>
    <t>$195-200m</t>
  </si>
  <si>
    <t>internet</t>
  </si>
  <si>
    <t>rgus</t>
  </si>
  <si>
    <t>revs and margin stable here? Or fairly stable</t>
  </si>
  <si>
    <t>8/9% EBITDA margins will be fairly stable</t>
  </si>
  <si>
    <t>gain to make PCTV a better program</t>
  </si>
  <si>
    <t>leasing facilities to anyone who wants to make to order new content</t>
  </si>
  <si>
    <t>TV used to be a customer, but no longer in all companies</t>
  </si>
  <si>
    <t>prepared to continue with the company on its own</t>
  </si>
  <si>
    <t>Must offer, carry</t>
  </si>
  <si>
    <t>Price increases one year on. Baked into guidance?</t>
  </si>
  <si>
    <t>multi-year agreement, some price increases…as part of the business plan</t>
  </si>
  <si>
    <t>all different content providers have contracts - some with price increases, some not</t>
  </si>
  <si>
    <t>Share gains?</t>
  </si>
  <si>
    <t>some new, some from other mobile/fixed. Cable in some areas, Telmex, Axtel</t>
  </si>
  <si>
    <t>a little bit from all operators</t>
  </si>
  <si>
    <t>capillarity is very impressive. Almost everywhere in their service area</t>
  </si>
  <si>
    <t>Content inflation</t>
  </si>
  <si>
    <t>less pressure recently on content?</t>
  </si>
  <si>
    <t>12% subs in 2015… the least you can expect is a 12% increase in costs?</t>
  </si>
  <si>
    <t>some will be above 12%</t>
  </si>
  <si>
    <t>Ex PCTV corporate fell 9% y/y…</t>
  </si>
  <si>
    <t>ex PCTV expect growth of 40% in 2015?</t>
  </si>
  <si>
    <t>Ho1a had a strange quarter in Q3. 50% of FY came in Q3, 70% of EBITDA in Q3</t>
  </si>
  <si>
    <t>that's why corporate looks weaker</t>
  </si>
  <si>
    <t>plus expectations on contract wins with TFE</t>
  </si>
  <si>
    <t>Metrocarrier Q4 13 was very strong, hence Q4 14 a little weaker</t>
  </si>
  <si>
    <t>MXN110m in 2 months</t>
  </si>
  <si>
    <t>MXN680-700m for the FY</t>
  </si>
  <si>
    <t>Network</t>
  </si>
  <si>
    <t>Households target in the longer term?</t>
  </si>
  <si>
    <t>Split of fibre and co-ax</t>
  </si>
  <si>
    <t>What are the investments being spent on?</t>
  </si>
  <si>
    <t>two thirds of TV subs are digital</t>
  </si>
  <si>
    <t>how much more to spend on digitalisation. What % today?</t>
  </si>
  <si>
    <t>DOCSIS 3.0 throughout the network?</t>
  </si>
  <si>
    <t>Market share in region</t>
  </si>
  <si>
    <t>Why are unique subs growing so quickly?</t>
  </si>
  <si>
    <t>Why subs strong in 2014, but arpu weak - targeting different customers</t>
  </si>
  <si>
    <t>What was wrong with the Moviles MVNO?</t>
  </si>
  <si>
    <t>locked into this contract?</t>
  </si>
  <si>
    <t>Plans for wifi</t>
  </si>
  <si>
    <t>Yoo Zone</t>
  </si>
  <si>
    <t>c.7500 hotspots today. Where is this going?</t>
  </si>
  <si>
    <t>how is it financed between the operators?</t>
  </si>
  <si>
    <t>2013 revenue of vs Ps10068 from Q4 release different to annual report (Ps10279)</t>
  </si>
  <si>
    <t>What are the minority interests?</t>
  </si>
  <si>
    <t>difference between consolidated and adj ebitda</t>
  </si>
  <si>
    <t>dividends declared paid in same year</t>
  </si>
  <si>
    <t>PCTV - content production co in Mexico, or Central America?</t>
  </si>
  <si>
    <t>paid MXN150m? For the equity….? Any debt consolidated</t>
  </si>
  <si>
    <t>Televisa - new marketing campaign</t>
  </si>
  <si>
    <t>all will be Izzi</t>
  </si>
  <si>
    <t>Compete in the big cities</t>
  </si>
  <si>
    <t>DTH being pushed in rural areas</t>
  </si>
  <si>
    <t>No overlap in the cities. 250 cities. Only 2 spots is there overlap</t>
  </si>
  <si>
    <t>No interest in acquiring assets</t>
  </si>
  <si>
    <t>acquired some fibre from electricity co. GTAC</t>
  </si>
  <si>
    <t>Only using 8% of GTAC</t>
  </si>
  <si>
    <t>MVNO with TEF</t>
  </si>
  <si>
    <t>not a good time to do it</t>
  </si>
  <si>
    <t>not investing time/money or capex. Likely to be the same for the next year or so</t>
  </si>
  <si>
    <t>more focused on broadband</t>
  </si>
  <si>
    <t>WiFi</t>
  </si>
  <si>
    <t>people not paying for mobile BB. And just buy minutes</t>
  </si>
  <si>
    <t>Mobiles - data service declining</t>
  </si>
  <si>
    <t>only time no wifi - between job and home, 30 minutes</t>
  </si>
  <si>
    <t>Working on mobile voice side</t>
  </si>
  <si>
    <t>IMS</t>
  </si>
  <si>
    <t xml:space="preserve">Long distance </t>
  </si>
  <si>
    <t>not material. Low single digits</t>
  </si>
  <si>
    <t>"our business is not mobile phones"</t>
  </si>
  <si>
    <t>focus is on broadband, and increasingly video</t>
  </si>
  <si>
    <t>historically, constructing 3-4000 kms per year</t>
  </si>
  <si>
    <t>bad hurricane</t>
  </si>
  <si>
    <t>2000km this year</t>
  </si>
  <si>
    <t>ongoing coverage</t>
  </si>
  <si>
    <t>digitalised: 60% of network. Slow process</t>
  </si>
  <si>
    <t>been changing technology. Back to CISCO - none are the best</t>
  </si>
  <si>
    <t>tried huawei</t>
  </si>
  <si>
    <t>80-90% by end of 2015</t>
  </si>
  <si>
    <t>100% (ish) by 2016</t>
  </si>
  <si>
    <t>speeds from 10 Mbps to 200 Mbps</t>
  </si>
  <si>
    <t>50 to 200 is more SME, corporate</t>
  </si>
  <si>
    <t>20-40 Mbps the more popular level</t>
  </si>
  <si>
    <t>Moving all 5 Mbps to 10 Mbps - keeping pricing the same</t>
  </si>
  <si>
    <t>Naked BB with speeds of 3 Mbps - low income, very cheap</t>
  </si>
  <si>
    <t>Ps150 per month. Tablets or computers also</t>
  </si>
  <si>
    <t>In a contract</t>
  </si>
  <si>
    <t xml:space="preserve">Government giving tablets, to schools </t>
  </si>
  <si>
    <t>% of kids will then look for broadband service</t>
  </si>
  <si>
    <t>In MEGA zones (ex Mexico City, Monterrey)</t>
  </si>
  <si>
    <t>40% of broadband share</t>
  </si>
  <si>
    <t>70%of TV share</t>
  </si>
  <si>
    <t>ULL - possibly in the rural areas</t>
  </si>
  <si>
    <t>very strong backbone with GTAC</t>
  </si>
  <si>
    <t>Details</t>
  </si>
  <si>
    <t>Audit adjustments explain the difference</t>
  </si>
  <si>
    <t>revs and EBITDA also…</t>
  </si>
  <si>
    <t>ebitda definition</t>
  </si>
  <si>
    <t>cable only</t>
  </si>
  <si>
    <t>business in mexico city + corporate operations</t>
  </si>
  <si>
    <t>51% of Hola</t>
  </si>
  <si>
    <t>TCO also, 51%</t>
  </si>
  <si>
    <t>A and CPOs</t>
  </si>
  <si>
    <t>1 CPO is 2 A stocks</t>
  </si>
  <si>
    <t>A to CPOs and put into the free float</t>
  </si>
  <si>
    <t xml:space="preserve">Owners converted </t>
  </si>
  <si>
    <t>Owners have 65%</t>
  </si>
  <si>
    <t>2 main familes</t>
  </si>
  <si>
    <t>7000 wifi hotspots by YE 15</t>
  </si>
  <si>
    <t>at least 10 Mbps for consumers</t>
  </si>
  <si>
    <t>Q2 2015</t>
  </si>
  <si>
    <t>spread of CFP contract</t>
  </si>
  <si>
    <t>why metrocarrier so strong</t>
  </si>
  <si>
    <t>margin development in CFP/Ho1a</t>
  </si>
  <si>
    <t>Chat with Saul, Dec-15</t>
  </si>
  <si>
    <t>All budget lines closed in November</t>
  </si>
  <si>
    <t>Q4 will be lower</t>
  </si>
  <si>
    <t>2016: 23-25% of sales</t>
  </si>
  <si>
    <t>90% of capex is USD</t>
  </si>
  <si>
    <t>1. very fast pace on corporate segment</t>
  </si>
  <si>
    <t>2. core business</t>
  </si>
  <si>
    <t>2 families…</t>
  </si>
  <si>
    <t>separate</t>
  </si>
  <si>
    <t>Family Buss, Vachoco</t>
  </si>
  <si>
    <t>very conservative</t>
  </si>
  <si>
    <t>not involved in the day to day</t>
  </si>
  <si>
    <t>CEO runs the business</t>
  </si>
  <si>
    <t>Board representation</t>
  </si>
  <si>
    <t>11 people</t>
  </si>
  <si>
    <t>5/6 Family Buss</t>
  </si>
  <si>
    <t>5/6 Part Family Mason, part independent</t>
  </si>
  <si>
    <t>strong numbers</t>
  </si>
  <si>
    <t>solid structure for BB</t>
  </si>
  <si>
    <t>Min speeds of 10MB</t>
  </si>
  <si>
    <t>SKY and Dish are struggling with satellite-only</t>
  </si>
  <si>
    <t>Analogue shut down</t>
  </si>
  <si>
    <t>CRT TV…no signal</t>
  </si>
  <si>
    <t>get a set top box and digital antenna</t>
  </si>
  <si>
    <t>or go to cable.. This is happening</t>
  </si>
  <si>
    <t>one month…x2 sales in single city</t>
  </si>
  <si>
    <t>big cities</t>
  </si>
  <si>
    <t>Dec 31 of this year…move to 2016</t>
  </si>
  <si>
    <t>M&amp;A</t>
  </si>
  <si>
    <t>Board is involved in this</t>
  </si>
  <si>
    <t>Corporate segment…anything in the market</t>
  </si>
  <si>
    <t>MEGA Q1 16 (26 April 2016)</t>
  </si>
  <si>
    <t>New framework for delivery of TV</t>
  </si>
  <si>
    <t>higher interactivity</t>
  </si>
  <si>
    <t>completely new video experience</t>
  </si>
  <si>
    <t>Will continue to deliver strong figures in 2016</t>
  </si>
  <si>
    <t>3.1 about to be launched</t>
  </si>
  <si>
    <t>trials</t>
  </si>
  <si>
    <t>80% customers are &gt;10MB</t>
  </si>
  <si>
    <t>lower sales to grupo hevi</t>
  </si>
  <si>
    <t>Telephony net adds?</t>
  </si>
  <si>
    <t>added unlimited calls to cellular</t>
  </si>
  <si>
    <t>seen a good response so far</t>
  </si>
  <si>
    <t>focus is mainly video and BB, telephony will be driven by these 2 services`</t>
  </si>
  <si>
    <t>contrast with TV</t>
  </si>
  <si>
    <t>increased commercial credits slightly</t>
  </si>
  <si>
    <t>capex lower</t>
  </si>
  <si>
    <t>net debt</t>
  </si>
  <si>
    <t>CFE credit impacts</t>
  </si>
  <si>
    <t>&gt;MXN1bn in the calculation</t>
  </si>
  <si>
    <t>too early to update guidance</t>
  </si>
  <si>
    <t>video</t>
  </si>
  <si>
    <t>11% growth</t>
  </si>
  <si>
    <t>16-17%</t>
  </si>
  <si>
    <t>gp revs</t>
  </si>
  <si>
    <t>18-19%</t>
  </si>
  <si>
    <t>gp EBITDA</t>
  </si>
  <si>
    <t>US$260m</t>
  </si>
  <si>
    <t>BB market</t>
  </si>
  <si>
    <t>adds slightly lower - AMX response?</t>
  </si>
  <si>
    <t>no, continue to grow market share</t>
  </si>
  <si>
    <t>running slightly below guidance</t>
  </si>
  <si>
    <t>2nd part of March holidays impacted by Easter</t>
  </si>
  <si>
    <t>10MB in almost all markets is the target</t>
  </si>
  <si>
    <t>trying to support 50-100 MB where customers want this</t>
  </si>
  <si>
    <t>Working capital change</t>
  </si>
  <si>
    <t>MXN1.3bn outflow?</t>
  </si>
  <si>
    <t>increase in commercial credits</t>
  </si>
  <si>
    <t>nothing to say</t>
  </si>
  <si>
    <t>no discussions with anyone</t>
  </si>
  <si>
    <t>4-5% homes passed</t>
  </si>
  <si>
    <t>another 3/4 years to go from this</t>
  </si>
  <si>
    <t>capex comes from other areas</t>
  </si>
  <si>
    <t>will remain at the same level of sales??</t>
  </si>
  <si>
    <t>won't dramatically drop in the future…perhaps somewhat</t>
  </si>
  <si>
    <t>went up due to MXN/$</t>
  </si>
  <si>
    <t>challenge is to keep with the needs of subs (speeds)</t>
  </si>
  <si>
    <t>Price rises</t>
  </si>
  <si>
    <t>generally try to keep up with the market in order to meet revs goals</t>
  </si>
  <si>
    <t>normally once a year, varies from region to region</t>
  </si>
  <si>
    <t xml:space="preserve">2-2.5% on average </t>
  </si>
  <si>
    <t>all captured in guidance</t>
  </si>
  <si>
    <t>offering 10 MB - first time they are matching MEGA</t>
  </si>
  <si>
    <t>any implications of this?</t>
  </si>
  <si>
    <t>offering is much better than Telmex - higher speeds</t>
  </si>
  <si>
    <t>5/10/20 in almost all areas</t>
  </si>
  <si>
    <t>50/100 in many areas</t>
  </si>
  <si>
    <t>Star TV</t>
  </si>
  <si>
    <t>New DTH - any competition?</t>
  </si>
  <si>
    <t>MXN149 per month</t>
  </si>
  <si>
    <t>CEO is former CEO of PVTC</t>
  </si>
  <si>
    <t>Any unbundling today or plans?</t>
  </si>
  <si>
    <t>looking at it. prices are not low enough yet</t>
  </si>
  <si>
    <t>not really that interested in LLU</t>
  </si>
  <si>
    <t>poles, ducts, rights of use</t>
  </si>
  <si>
    <t>strategy is to upgrade customers to higher speeds</t>
  </si>
  <si>
    <t>Wholesale provider</t>
  </si>
  <si>
    <t>bidding to be a supplier to the wholesale business</t>
  </si>
  <si>
    <t>for the last mile</t>
  </si>
  <si>
    <t>want to be a carrier of capacity</t>
  </si>
  <si>
    <t>90 MHz on 700 MHz is the main asset</t>
  </si>
  <si>
    <t>this is the most important issue</t>
  </si>
  <si>
    <t>looking at it…looks potentially interesting</t>
  </si>
  <si>
    <t>90-95% of territory covered within existing licence areas</t>
  </si>
  <si>
    <t>not far from this</t>
  </si>
  <si>
    <t>pops growth is 1% or so</t>
  </si>
  <si>
    <t>52km of network, all bi-directional</t>
  </si>
  <si>
    <t>penetration of 50% homes passed today</t>
  </si>
  <si>
    <t>25 states so far</t>
  </si>
  <si>
    <t xml:space="preserve">every type of city </t>
  </si>
  <si>
    <t>Q2 16 results call</t>
  </si>
  <si>
    <t>MXN1,169m dividend in May 16</t>
  </si>
  <si>
    <t>June churn is now comparable with levels prior to the analogue shutdown</t>
  </si>
  <si>
    <t>CFE 60% down, to be done by YE</t>
  </si>
  <si>
    <t>H2 capex will be higher than Q1</t>
  </si>
  <si>
    <t>ADDS</t>
  </si>
  <si>
    <t>massive ramp up in expectations</t>
  </si>
  <si>
    <t>internet 25% higher in 2016</t>
  </si>
  <si>
    <t>11% in video guidance remains</t>
  </si>
  <si>
    <t>April price increase</t>
  </si>
  <si>
    <t>200,000 for BB in H2 implied?</t>
  </si>
  <si>
    <t>10/15/20 MB price increases in April</t>
  </si>
  <si>
    <t>100-150k adds for telephony</t>
  </si>
  <si>
    <t xml:space="preserve">100k from analogue, lost 40k </t>
  </si>
  <si>
    <t>upside risk to guidance</t>
  </si>
  <si>
    <t>most of the churn were people who only had video</t>
  </si>
  <si>
    <t>remain conservative</t>
  </si>
  <si>
    <t>still very strong structural growth</t>
  </si>
  <si>
    <t>not changing at this stage</t>
  </si>
  <si>
    <t>cut internet and telephony adds…guidance 7% on internet, TV no change,  telephony slowdown in the country (25% to 18-20%)</t>
  </si>
  <si>
    <t>this will not impact revenue materially, ARPU to offset?</t>
  </si>
  <si>
    <t>Ho1a has healthier margins and better revenue</t>
  </si>
  <si>
    <t>Budget cuts from the government, impact on corporate?</t>
  </si>
  <si>
    <t>Ho1a continues to bring better revs</t>
  </si>
  <si>
    <t>MXN1bn on capex, cash flow statement is at MXN1.4bn</t>
  </si>
  <si>
    <t>cash versus accrued</t>
  </si>
  <si>
    <t>guidance of 25% of sales remains. $250/260m for the year</t>
  </si>
  <si>
    <t>ARPU uplift from Xview service</t>
  </si>
  <si>
    <t>included in guidance</t>
  </si>
  <si>
    <t>customer has to activate service, pay 60 pesos if they want (HD) + other</t>
  </si>
  <si>
    <t>doing demonstration at the moment. Launched only a couple of offers</t>
  </si>
  <si>
    <t>CFE how much booked?</t>
  </si>
  <si>
    <t>63% of CFE booked</t>
  </si>
  <si>
    <t>addition MXN860m revenue</t>
  </si>
  <si>
    <t>Margin - staying around 44% underlying</t>
  </si>
  <si>
    <t>CFE is 10/12/14% margin</t>
  </si>
  <si>
    <t>Local loop plans</t>
  </si>
  <si>
    <t>Telling Telmex why would they want to lease when they have a better network</t>
  </si>
  <si>
    <t>IFT has not been effective in setting prices</t>
  </si>
  <si>
    <t>might work for certain projects</t>
  </si>
  <si>
    <t>but would rather use microwaves</t>
  </si>
  <si>
    <t>looking at MVNO…not sure whether they want to</t>
  </si>
  <si>
    <t>concentrating on corporate and business market</t>
  </si>
  <si>
    <t>prices are coming down, but still x15 more expensive than anyone else</t>
  </si>
  <si>
    <t>By YE, will be debt free</t>
  </si>
  <si>
    <t>open to acquistion, but no big merger or acquisition plans</t>
  </si>
  <si>
    <t>if nothing there, will continue with dividend policy</t>
  </si>
  <si>
    <t>Strong structural growth on video in Mexico</t>
  </si>
  <si>
    <t>churn is mainly an economic issue</t>
  </si>
  <si>
    <t>Content</t>
  </si>
  <si>
    <t>Always fighting with content providers over better Content</t>
  </si>
  <si>
    <t>A lot of programming rights on OTT which is included in existing subscription price. OTT content is amazing now</t>
  </si>
  <si>
    <t>Q3 16 call</t>
  </si>
  <si>
    <t>Higher churn impacted margins</t>
  </si>
  <si>
    <t>Replaced 14 channels from TV and added another 6 - so 20 in total</t>
  </si>
  <si>
    <t>investment of 25-26% of revenue by YE</t>
  </si>
  <si>
    <t>Digitalisation project, + bandwidth supported by this</t>
  </si>
  <si>
    <t>Proud of balance sheet</t>
  </si>
  <si>
    <t>Project will end</t>
  </si>
  <si>
    <t>$175m of capex first nine months. $245-250m for FY</t>
  </si>
  <si>
    <t>139k BB</t>
  </si>
  <si>
    <t>130k voice</t>
  </si>
  <si>
    <t>6.2m RGUs, 1.87x</t>
  </si>
  <si>
    <t>bundling and discounts</t>
  </si>
  <si>
    <t>9% of subs have x3 play</t>
  </si>
  <si>
    <t>Subs acquired from Maxcom impacted ARPU?</t>
  </si>
  <si>
    <t>end of Q</t>
  </si>
  <si>
    <t>Termination impacted voice ARPU</t>
  </si>
  <si>
    <t>Bidding on wholesale network?</t>
  </si>
  <si>
    <t>Red Compartida</t>
  </si>
  <si>
    <t>Consortium has an official spokesman</t>
  </si>
  <si>
    <t xml:space="preserve">Will not take significant capex </t>
  </si>
  <si>
    <t>will provided infrastructure</t>
  </si>
  <si>
    <t>will be a service provider</t>
  </si>
  <si>
    <t>Advantages from being part of group as supplier</t>
  </si>
  <si>
    <t>Wireless, one foot inside the network</t>
  </si>
  <si>
    <t>Net adds in video weak</t>
  </si>
  <si>
    <t>economic, analogue switch off</t>
  </si>
  <si>
    <t>include numbers from Maxcom?</t>
  </si>
  <si>
    <t>seasonality of churn</t>
  </si>
  <si>
    <t>20k subs from dropping channels</t>
  </si>
  <si>
    <t>retention plans, back on track</t>
  </si>
  <si>
    <t>added new channels</t>
  </si>
  <si>
    <t>expect to lower churn</t>
  </si>
  <si>
    <t>Q4 should be better</t>
  </si>
  <si>
    <t>Yes, from Maxcom, 18k video in the numbers</t>
  </si>
  <si>
    <t>impacts ARPU, couldn't recognise revs</t>
  </si>
  <si>
    <t>completely broken off discussions with TV</t>
  </si>
  <si>
    <t>continue to experience growth</t>
  </si>
  <si>
    <t>56-57% pay TV pen…</t>
  </si>
  <si>
    <t>BB similar level also</t>
  </si>
  <si>
    <t>growth also</t>
  </si>
  <si>
    <t>double digit video, BB and telephony to continue for subs in 2017</t>
  </si>
  <si>
    <t>NGV products?</t>
  </si>
  <si>
    <t>x-view experience, ngv experience</t>
  </si>
  <si>
    <t>fully applied in Q1 17</t>
  </si>
  <si>
    <t>higher markets</t>
  </si>
  <si>
    <t>non linear experience on upper package</t>
  </si>
  <si>
    <t>better speeds on bb</t>
  </si>
  <si>
    <t>wifone service. Fixed phone on mobile, on all hotspots and 4G</t>
  </si>
  <si>
    <t>better programming</t>
  </si>
  <si>
    <t>lower end markets</t>
  </si>
  <si>
    <t>video is a much more mature market</t>
  </si>
  <si>
    <t>BUT, expect to take share from DTH due to x-view</t>
  </si>
  <si>
    <t>Broadband weaker revs sequentially?</t>
  </si>
  <si>
    <t>seasonality issues</t>
  </si>
  <si>
    <t>additions this Q will bring revs in Q4. growth to normalise in q4</t>
  </si>
  <si>
    <t>think will hit 2016 guidance</t>
  </si>
  <si>
    <t>Maxcom subs</t>
  </si>
  <si>
    <t>120 RGUs, some billing problems with the subs</t>
  </si>
  <si>
    <t>definitional issues, didn't buy 100% of subs base</t>
  </si>
  <si>
    <t>40k</t>
  </si>
  <si>
    <t>telephony</t>
  </si>
  <si>
    <t>bb</t>
  </si>
  <si>
    <t>18k</t>
  </si>
  <si>
    <t>98k</t>
  </si>
  <si>
    <t>active subs from maxcom</t>
  </si>
  <si>
    <t>TV channels</t>
  </si>
  <si>
    <t>save money from Televisa channels?</t>
  </si>
  <si>
    <t>expect to save, net, some money</t>
  </si>
  <si>
    <t>will be seen in Q4</t>
  </si>
  <si>
    <t>believe MEGA has acquired "much better" channels</t>
  </si>
  <si>
    <t>Guidance for 2016</t>
  </si>
  <si>
    <t>revenue</t>
  </si>
  <si>
    <t>16-17% growth remains. Completion of Hola project.</t>
  </si>
  <si>
    <t>ebitda</t>
  </si>
  <si>
    <t>from 18% to 17%, lower by MXN100m</t>
  </si>
  <si>
    <t>41% down to &gt;40%</t>
  </si>
  <si>
    <t>churn will come down, need more comms, acquisition costs</t>
  </si>
  <si>
    <t>plan to lower it</t>
  </si>
  <si>
    <t>better exchange rate will support numbers in Q4</t>
  </si>
  <si>
    <t>corporate continues to support good numbers</t>
  </si>
  <si>
    <t>11% closer to 9%</t>
  </si>
  <si>
    <t>internet 22-22.5% (from 25% previously)</t>
  </si>
  <si>
    <t>voice 18% to 25-26%</t>
  </si>
  <si>
    <t>$260m. Going to be $240-245m</t>
  </si>
  <si>
    <t>better cash position, accounts payable</t>
  </si>
  <si>
    <t>payment not in capex</t>
  </si>
  <si>
    <t>intangible assets, need to install CPEs</t>
  </si>
  <si>
    <t>cash outflow has been recognised (mostly)</t>
  </si>
  <si>
    <t>Government contracts are how much?</t>
  </si>
  <si>
    <t>very small amount</t>
  </si>
  <si>
    <t>if anything, might be better?</t>
  </si>
  <si>
    <t>CFE has come to an end</t>
  </si>
  <si>
    <t>net cash by YE?</t>
  </si>
  <si>
    <t>MXN1.1bn will result. This will go out</t>
  </si>
  <si>
    <t>lower q4 capex investment</t>
  </si>
  <si>
    <t>exps to be awarded part of CFE in the future</t>
  </si>
  <si>
    <t>new project interested in</t>
  </si>
  <si>
    <t>start at beginning of the year</t>
  </si>
  <si>
    <t>might not be positive net cash for YE</t>
  </si>
  <si>
    <t>there is a new CFE project which might impact YE numbers</t>
  </si>
  <si>
    <t>expect regular churn for these subs</t>
  </si>
  <si>
    <t>$12.9m?</t>
  </si>
  <si>
    <t>Exchange rate</t>
  </si>
  <si>
    <t>5% dollar move</t>
  </si>
  <si>
    <t>1-1.5pp of margin impact over Q3</t>
  </si>
  <si>
    <t>95% of capex is dollar denominated</t>
  </si>
  <si>
    <t>BUT</t>
  </si>
  <si>
    <t>did not lower volumes at all</t>
  </si>
  <si>
    <t>negotiated with vendors</t>
  </si>
  <si>
    <t>10-20 Mbps upgrades</t>
  </si>
  <si>
    <t>MEGA impact in October?</t>
  </si>
  <si>
    <t>90k growth, offset by 30k lost. So 60k target for Q4</t>
  </si>
  <si>
    <t>total of 50k vs 3m active video subs, so modest overall</t>
  </si>
  <si>
    <t>expect this to be recovered</t>
  </si>
  <si>
    <t>Costs in USD in programming with new mix?</t>
  </si>
  <si>
    <t>don't have just yet</t>
  </si>
  <si>
    <t>IFT provision was MXN24m</t>
  </si>
  <si>
    <t>Outstanding questions</t>
  </si>
  <si>
    <t>CFE project still MXN1.8bn?</t>
  </si>
  <si>
    <t>Call with Saul, Dec 13th</t>
  </si>
  <si>
    <t>peso/$</t>
  </si>
  <si>
    <t>took out televisa contract</t>
  </si>
  <si>
    <t>programming costs. Mix is 75% peso, 25% is dollars</t>
  </si>
  <si>
    <t>50/50 split before</t>
  </si>
  <si>
    <t>programming is 25-28% of video revenue</t>
  </si>
  <si>
    <t>programming costs</t>
  </si>
  <si>
    <t>average is 13 pesos, split with programmers</t>
  </si>
  <si>
    <t>peso</t>
  </si>
  <si>
    <t>20-(7/2)</t>
  </si>
  <si>
    <t>dollar</t>
  </si>
  <si>
    <t>Q1/Q2 programming may be readjusted</t>
  </si>
  <si>
    <t>q4</t>
  </si>
  <si>
    <t>q3</t>
  </si>
  <si>
    <t>total opex</t>
  </si>
  <si>
    <t>as margin</t>
  </si>
  <si>
    <t>18.5 is the rate which was booked. May delay some of the projects</t>
  </si>
  <si>
    <t>25/27% of revs is capex</t>
  </si>
  <si>
    <t>$230m for 2017</t>
  </si>
  <si>
    <t>$241m for 2016 at 18.5. trying to keep it in this range</t>
  </si>
  <si>
    <t>Next Gen video project (NGV)</t>
  </si>
  <si>
    <t>ex view</t>
  </si>
  <si>
    <t>will charge 55 pesos for this</t>
  </si>
  <si>
    <t>non linear viewing</t>
  </si>
  <si>
    <t>able to see up to date series</t>
  </si>
  <si>
    <t>movies recorded in the Cloud</t>
  </si>
  <si>
    <t>Over 90% of capex is dollarised</t>
  </si>
  <si>
    <t>post Trump, no change in consumer thinking</t>
  </si>
  <si>
    <t xml:space="preserve">new neighourhood, want underground </t>
  </si>
  <si>
    <t>revs 15%, EBITDA 14%</t>
  </si>
  <si>
    <t>revs 10%, EBITDA 11%</t>
  </si>
  <si>
    <t>margins up</t>
  </si>
  <si>
    <t>margins coming from TV savings</t>
  </si>
  <si>
    <t>MXN30m/month net saving</t>
  </si>
  <si>
    <t>more and more subs coming on BB</t>
  </si>
  <si>
    <t>40% of subs don't have BB. When they take BB, will be incremental</t>
  </si>
  <si>
    <t>decrease churn</t>
  </si>
  <si>
    <t>ngv service</t>
  </si>
  <si>
    <t>Comcast has it perhaps</t>
  </si>
  <si>
    <t>promotions on specific areas where churn high</t>
  </si>
  <si>
    <t>Televisa channels - lost 60k, 20k due to TV</t>
  </si>
  <si>
    <t>Used to have 16 and 4 contracts. Tried to eliminate the x16 in late Oct, but TV blocked due to legal reasons</t>
  </si>
  <si>
    <t>1/ wanted to change from $ to pesos. No sense to price in $</t>
  </si>
  <si>
    <t>2/ all 16 in all packages, from low end to high end</t>
  </si>
  <si>
    <t>Shut down around Sept 9th</t>
  </si>
  <si>
    <t>4 channels, telemundo, channel 2 delay, 2 sports</t>
  </si>
  <si>
    <t>this churn</t>
  </si>
  <si>
    <t>narcos program was cancelled</t>
  </si>
  <si>
    <t>TV dropped these channels also, and MEGA in a legal dispute with them</t>
  </si>
  <si>
    <t>must carry, offer - 2 and 5 included, and the most important ones</t>
  </si>
  <si>
    <t>replaced with 25 channels</t>
  </si>
  <si>
    <t>international content, replaced like for like</t>
  </si>
  <si>
    <t>capex $230m</t>
  </si>
  <si>
    <t>Q2</t>
  </si>
  <si>
    <t>Q3</t>
  </si>
  <si>
    <t>Dec</t>
  </si>
  <si>
    <t>CFE project will be ended in December</t>
  </si>
  <si>
    <t>Ho1a will therefore decrease</t>
  </si>
  <si>
    <t>nothing in 2017</t>
  </si>
  <si>
    <t>Metrocarrier needs revenue</t>
  </si>
  <si>
    <t>Survey a few weeks ago</t>
  </si>
  <si>
    <t>lower income groups are not connected</t>
  </si>
  <si>
    <t>&gt;60% of A and Bs are using OTT</t>
  </si>
  <si>
    <t>7% of total households are A and B</t>
  </si>
  <si>
    <t>People don’t cut chord as won't have Olympics, sport etc</t>
  </si>
  <si>
    <t>TV penetration is 60% or so</t>
  </si>
  <si>
    <t>MEGA is not that involved, 4% involved. Capex will be minimum</t>
  </si>
  <si>
    <t>helpful to be involved this</t>
  </si>
  <si>
    <t>no vote</t>
  </si>
  <si>
    <t>End 2017 for Red start</t>
  </si>
  <si>
    <t>Axtel is the only thing which is interesting</t>
  </si>
  <si>
    <t>corporate</t>
  </si>
  <si>
    <t>no cable</t>
  </si>
  <si>
    <t>dividend payments, April meeting approves</t>
  </si>
  <si>
    <t>CFE 7-8% margin</t>
  </si>
  <si>
    <t>$120m</t>
  </si>
  <si>
    <t>Unbundling?</t>
  </si>
  <si>
    <t>Not interested?</t>
  </si>
  <si>
    <t>Perhaps in fibre areas</t>
  </si>
  <si>
    <t>Wouldn't go into Televisa areas</t>
  </si>
  <si>
    <t>Meeting with CEO, March 2017</t>
  </si>
  <si>
    <t>Broadband to surpass TV penetration</t>
  </si>
  <si>
    <t>Mobile - wifi mesh with MVNO, looking at Comcast effrorts who are launching soon</t>
  </si>
  <si>
    <t>Telenet, 70% of modems are dual</t>
  </si>
  <si>
    <t>Growing business rapidly</t>
  </si>
  <si>
    <t>higher pace then residential</t>
  </si>
  <si>
    <t>15% share of SMEs only, taking share from Telmex</t>
  </si>
  <si>
    <t>look to access Telmex here</t>
  </si>
  <si>
    <t>Pay TV dominance</t>
  </si>
  <si>
    <t>Should prevent TV from growing wired network in new areas</t>
  </si>
  <si>
    <t>Keep TV from having exclusive programming from SKY</t>
  </si>
  <si>
    <t>will be obligated to sell sporting content</t>
  </si>
  <si>
    <t>forced to have minimum tariffs</t>
  </si>
  <si>
    <t>lowering their price on DTH, some thresholds</t>
  </si>
  <si>
    <t>Won't disaggregate service on TV channels</t>
  </si>
  <si>
    <t>MEGA to pick up channels</t>
  </si>
  <si>
    <t>TV dispute</t>
  </si>
  <si>
    <t>Some channels charged in US dollars.  Some make sense, others should be in pesos</t>
  </si>
  <si>
    <t>carry all the channels on the lower tier</t>
  </si>
  <si>
    <t>7 channels from Discovery, 3 on lower tier for instance</t>
  </si>
  <si>
    <t>never got any advertising deals</t>
  </si>
  <si>
    <t>15-18% of total expenses are in USD</t>
  </si>
  <si>
    <t>content is 25% of video revenue</t>
  </si>
  <si>
    <t>35% in the US. video arpu is close to $100 in some cases</t>
  </si>
  <si>
    <t>5-7 year plan</t>
  </si>
  <si>
    <t>ARPU should go up (per home)</t>
  </si>
  <si>
    <t>ARPU is MXN360-370</t>
  </si>
  <si>
    <t>SKY won't be able to cut prices</t>
  </si>
  <si>
    <t>speeds up, prices up.</t>
  </si>
  <si>
    <t>Fixed telephony</t>
  </si>
  <si>
    <t>MXN50 in a bundle</t>
  </si>
  <si>
    <t>MXN200 on a standalone basis</t>
  </si>
  <si>
    <t>In-region stats</t>
  </si>
  <si>
    <t>57% video and BB penetration, in main urban areas where they are</t>
  </si>
  <si>
    <t>70% share on video</t>
  </si>
  <si>
    <t>52% share on BB</t>
  </si>
  <si>
    <t xml:space="preserve">BB - 65-70% penetration ultimately. </t>
  </si>
  <si>
    <t>share on BB can increase</t>
  </si>
  <si>
    <t>Competition</t>
  </si>
  <si>
    <t>some selected fibre. Some gpon</t>
  </si>
  <si>
    <t>no excess construction</t>
  </si>
  <si>
    <t>Unbundling</t>
  </si>
  <si>
    <t>SKY will not work for unbundling</t>
  </si>
  <si>
    <t>Mexico City - SKY has &gt;50% share of video, most of these subs take a Telmex service</t>
  </si>
  <si>
    <t>X-vision April 4th</t>
  </si>
  <si>
    <t>like an X1 platform (Comcast)</t>
  </si>
  <si>
    <t>retained Cisco to develop their system</t>
  </si>
  <si>
    <t>not fully cloud based, hybrid</t>
  </si>
  <si>
    <t>new subs will have a new set top box</t>
  </si>
  <si>
    <t>existing will have an upgrade</t>
  </si>
  <si>
    <t>Income groups</t>
  </si>
  <si>
    <t>15-20% are A/B</t>
  </si>
  <si>
    <t>20% is C</t>
  </si>
  <si>
    <t>rest is D/E</t>
  </si>
  <si>
    <t>We don't see congestion on the nodes</t>
  </si>
  <si>
    <t>Speeds</t>
  </si>
  <si>
    <t>10-20 Mbps is the average speed</t>
  </si>
  <si>
    <t>Consumption</t>
  </si>
  <si>
    <t>US is close to 100 GB per month, 200 GB in HK</t>
  </si>
  <si>
    <t>Business services</t>
  </si>
  <si>
    <t>revenue, what it loses on the contract, 2bn metrocarrier and hola combined. Same as 2016</t>
  </si>
  <si>
    <t>30% growth on metrocarrier, Hola and MCN combined</t>
  </si>
  <si>
    <t>complementary, if it makes sense</t>
  </si>
  <si>
    <t>companies with innovative services</t>
  </si>
  <si>
    <t>been buying up some fibre rings</t>
  </si>
  <si>
    <t xml:space="preserve">With Hola and Metrocarrier </t>
  </si>
  <si>
    <t>will drop as % sales</t>
  </si>
  <si>
    <t>low 20%s 2019/20</t>
  </si>
  <si>
    <t>just finished digitalising</t>
  </si>
  <si>
    <t>labour, hardware supporting the poles is the local peso component</t>
  </si>
  <si>
    <t>Televisa deal</t>
  </si>
  <si>
    <t>have added value to shareholders in the meantime</t>
  </si>
  <si>
    <t>will be a part of a bigger group at some point</t>
  </si>
  <si>
    <t>Spin cable assets at TV, and merge the two assets</t>
  </si>
  <si>
    <t xml:space="preserve">SKY has had exclusives, would be a worry. </t>
  </si>
  <si>
    <t>Televisa condition: want control</t>
  </si>
  <si>
    <t>need to consolidate, so need 51%</t>
  </si>
  <si>
    <t>MEGA think TV not as attached to cable as previously</t>
  </si>
  <si>
    <t xml:space="preserve">Comcast has licenced X1 to Shaw and other providers </t>
  </si>
  <si>
    <t>on a $1-2 per month basis</t>
  </si>
  <si>
    <t>X vision not as good as X1….as it doesn't have the apps included</t>
  </si>
  <si>
    <t>channel change, catch up, reverse IP is all faster</t>
  </si>
  <si>
    <t>cheaper than licensing for MEGA</t>
  </si>
  <si>
    <t>Would not look to buy outside of Mexico</t>
  </si>
  <si>
    <t>85-92% is the issue</t>
  </si>
  <si>
    <t>30% by March 30, 2018</t>
  </si>
  <si>
    <t>looking to see if can do something with TEF</t>
  </si>
  <si>
    <t>can't be exclusive</t>
  </si>
  <si>
    <t>pricing is</t>
  </si>
  <si>
    <t>best network is AT&amp;T at the moment</t>
  </si>
  <si>
    <t>Telcel is as bad as TEF</t>
  </si>
  <si>
    <t>AMX bought up SIMs from Virgin Mobile</t>
  </si>
  <si>
    <t>Customers?</t>
  </si>
  <si>
    <t>TEF, MVNOs, Pemex (200,000 employees)</t>
  </si>
  <si>
    <t>OXO will be an MVNO, sell 70% of all recharges</t>
  </si>
  <si>
    <t>Vending machines etc etc</t>
  </si>
  <si>
    <t>In 2 years time, AMX and AT&amp;T will deploy</t>
  </si>
  <si>
    <t xml:space="preserve">cheaper for them to overflow onto </t>
  </si>
  <si>
    <t>MEGA - to be a customer, can't have influence. Don't attend Board meetings; govt didn't set the level</t>
  </si>
  <si>
    <t>but 4% seems to have been a decent fit</t>
  </si>
  <si>
    <t>Guadalajara, Toluca, Mexico City, Monterrey</t>
  </si>
  <si>
    <t>has to be urban, suburban and rural</t>
  </si>
  <si>
    <t>already doing provisions on fibre to sites</t>
  </si>
  <si>
    <t>most towers are on AMT at the moment</t>
  </si>
  <si>
    <t>signed with AMT first as they have the largest footprint (??)</t>
  </si>
  <si>
    <t>best locations, and have some space</t>
  </si>
  <si>
    <t>some on Telesites</t>
  </si>
  <si>
    <t>will increase leverage to keep up with dividend over the coming years</t>
  </si>
  <si>
    <t>borrowing to pay it</t>
  </si>
  <si>
    <t>15% of EBITDA is a recommendation; but 20% was paid last year and likely next year</t>
  </si>
  <si>
    <t>declared April, paid May/June</t>
  </si>
  <si>
    <t>Acquisition cost is $25</t>
  </si>
  <si>
    <t>ex CPE, includes the drop</t>
  </si>
  <si>
    <t>60% or so have a drop</t>
  </si>
  <si>
    <t xml:space="preserve">Had a reduction this year, will stay around 20% </t>
  </si>
  <si>
    <t>P&amp;L and cash</t>
  </si>
  <si>
    <t>Revs, MXN bn</t>
  </si>
  <si>
    <t>%</t>
  </si>
  <si>
    <t>EBITDA, MXN bn</t>
  </si>
  <si>
    <t>Capex, $m</t>
  </si>
  <si>
    <t xml:space="preserve">Q1 </t>
  </si>
  <si>
    <t>growth</t>
  </si>
  <si>
    <t>as % guidance</t>
  </si>
  <si>
    <t>Dividend…1291 pesos</t>
  </si>
  <si>
    <t>TV market is declining. What's happening here?</t>
  </si>
  <si>
    <t>20% of 2016 EBITDA</t>
  </si>
  <si>
    <t>May 2017, one installment</t>
  </si>
  <si>
    <t>Unbundling opportunity</t>
  </si>
  <si>
    <t>Internet strongest</t>
  </si>
  <si>
    <t>Public wifi - 150% increase</t>
  </si>
  <si>
    <t>Telephony - share increasing</t>
  </si>
  <si>
    <t>Video - more restrictive sales, and macro</t>
  </si>
  <si>
    <t>video share is the highest of all lines</t>
  </si>
  <si>
    <t>Positive adds in Qs to come</t>
  </si>
  <si>
    <t>more selective marketing</t>
  </si>
  <si>
    <t>focus on customer retention</t>
  </si>
  <si>
    <t>End of Q trends gave confidence</t>
  </si>
  <si>
    <t>Remain upbeat</t>
  </si>
  <si>
    <t>Biz services</t>
  </si>
  <si>
    <t>Ho1a, MCM, Metrocarrier - good growth</t>
  </si>
  <si>
    <t>synergies to help service corporates</t>
  </si>
  <si>
    <t>Metro sharing biz, managed services</t>
  </si>
  <si>
    <t>Continue to expand</t>
  </si>
  <si>
    <t>Opening new offices, complete comms solutions for large corporates</t>
  </si>
  <si>
    <t>Ho1a - 100% growth ex utility contract</t>
  </si>
  <si>
    <t xml:space="preserve">&gt;20k km, </t>
  </si>
  <si>
    <t>Guidance in tact?</t>
  </si>
  <si>
    <t>on track with BB and telephony</t>
  </si>
  <si>
    <t>change of video strategy</t>
  </si>
  <si>
    <t>will miss the video subs</t>
  </si>
  <si>
    <t>5% growth, down from 8%</t>
  </si>
  <si>
    <t>will hit this if churn down</t>
  </si>
  <si>
    <t>Chivas has signed a contract with Televisa</t>
  </si>
  <si>
    <t>no TV channels, lack of football content</t>
  </si>
  <si>
    <t>Cord cutting?</t>
  </si>
  <si>
    <t>X view in next couple of weeks</t>
  </si>
  <si>
    <t>Subs can have BB, wifi, telephony and video across platforms</t>
  </si>
  <si>
    <t>6m OTT subs in Mexico, some are paying. Netflix have 4m, rest are Blim and Claro Video bundled</t>
  </si>
  <si>
    <t>Mid to upper economic level, no changes to trends here, no chord cutting</t>
  </si>
  <si>
    <t>Hit from economy where selling aggressively</t>
  </si>
  <si>
    <t>MEGA positive trend to recover</t>
  </si>
  <si>
    <t>Cash higher than accrued. MXN2bn - why so high?</t>
  </si>
  <si>
    <t>Think will hit $240m, still on the horizon</t>
  </si>
  <si>
    <t>X-view</t>
  </si>
  <si>
    <t>Nov, 18,000 subs</t>
  </si>
  <si>
    <t>OTT, limited interface. Some Content to our subs. Bundled with video, MEGA play</t>
  </si>
  <si>
    <t>Telephony churn</t>
  </si>
  <si>
    <t>Guidance remains.</t>
  </si>
  <si>
    <t>Star TV into 19 states</t>
  </si>
  <si>
    <t>Not seeing churn to Star TV</t>
  </si>
  <si>
    <t>IFRS 15 coming on Jan 1 2017</t>
  </si>
  <si>
    <t>Give box for free? No</t>
  </si>
  <si>
    <t>Collect rent for monthly use for equipment</t>
  </si>
  <si>
    <t>Launched a lower speed and less channel offer</t>
  </si>
  <si>
    <t>Price MXN349, from 449 offer</t>
  </si>
  <si>
    <t>Corporate segment</t>
  </si>
  <si>
    <t>Very happy with Ho1a and Metrocarrier</t>
  </si>
  <si>
    <t>only a small part of CFE this Q</t>
  </si>
  <si>
    <t>Ho1a - very strong organic growth. New projects also</t>
  </si>
  <si>
    <t>Confident can reach guidance on corporate</t>
  </si>
  <si>
    <t>60% increase for revenue. Doing very well</t>
  </si>
  <si>
    <t>down a little due to bundling</t>
  </si>
  <si>
    <t>19-20%</t>
  </si>
  <si>
    <t>Unique</t>
  </si>
  <si>
    <t>same/increase</t>
  </si>
  <si>
    <t xml:space="preserve">2.0x soon, 2.3x, 2.4x </t>
  </si>
  <si>
    <t>10% growth</t>
  </si>
  <si>
    <t>12% growth</t>
  </si>
  <si>
    <t>71% of portfolio are x3 play, vs 61% at the end of 2016</t>
  </si>
  <si>
    <t>53% of subs are &gt;20 Mbps, 36% vs 1 year ago</t>
  </si>
  <si>
    <t>6,700 hot spots, a 26% increase</t>
  </si>
  <si>
    <t>6.4m devices connected to public network on a monthly basis</t>
  </si>
  <si>
    <t>56000 km of last mile</t>
  </si>
  <si>
    <t>Altan contributing to Corporate segment also</t>
  </si>
  <si>
    <t>SKY launched telecom a few days ago, prices cheap</t>
  </si>
  <si>
    <t>Will monitor new product</t>
  </si>
  <si>
    <t>Owning the asset is an advantage</t>
  </si>
  <si>
    <t>20% of EBITDA again?</t>
  </si>
  <si>
    <t>Yes</t>
  </si>
  <si>
    <t>RGU guidance</t>
  </si>
  <si>
    <t>Financials guidance</t>
  </si>
  <si>
    <t>revs</t>
  </si>
  <si>
    <t>mass market</t>
  </si>
  <si>
    <t xml:space="preserve">7-8% </t>
  </si>
  <si>
    <t>metro</t>
  </si>
  <si>
    <t xml:space="preserve">rest </t>
  </si>
  <si>
    <t>11-12%</t>
  </si>
  <si>
    <t>12-14%</t>
  </si>
  <si>
    <t>margin expansion from BB participation, metro carriers which have a higher margin</t>
  </si>
  <si>
    <t>2018 capex</t>
  </si>
  <si>
    <t>$270</t>
  </si>
  <si>
    <t>26-28% of sales</t>
  </si>
  <si>
    <t>Is this a more likely level going forward?</t>
  </si>
  <si>
    <t xml:space="preserve">will continue to expand network </t>
  </si>
  <si>
    <t>18-20% going forward</t>
  </si>
  <si>
    <t>A big customer of Metrocarrier</t>
  </si>
  <si>
    <t>Red was born to be a wholesale carrier</t>
  </si>
  <si>
    <t>Looking into an MVNO</t>
  </si>
  <si>
    <t>would like to do with someone neutral</t>
  </si>
  <si>
    <t>not concluded</t>
  </si>
  <si>
    <t>Unique case in the world</t>
  </si>
  <si>
    <t>Hola</t>
  </si>
  <si>
    <t>Special project with higher margins</t>
  </si>
  <si>
    <t>in 2016 there was a cancellation of deferred taxes</t>
  </si>
  <si>
    <t>same in 2017, on a smaller scale</t>
  </si>
  <si>
    <t>will start going up in 2018/19….23/24% in a few years. Slow progress</t>
  </si>
  <si>
    <t>Seasonality</t>
  </si>
  <si>
    <t>Elections don't really have an impact</t>
  </si>
  <si>
    <t>Ad is 2% of revs</t>
  </si>
  <si>
    <t>Altough govt tends to boost economy ahead of election</t>
  </si>
  <si>
    <t>More for more</t>
  </si>
  <si>
    <t>Ability to raise prices</t>
  </si>
  <si>
    <t>Can offer more capacity…within guidance</t>
  </si>
  <si>
    <t xml:space="preserve">Lowest speed </t>
  </si>
  <si>
    <t>2 years ago</t>
  </si>
  <si>
    <t>5-10</t>
  </si>
  <si>
    <t>Red is in the process of coming to its offer</t>
  </si>
  <si>
    <t>so far, looks like pricing is getting to the right point where we can do business</t>
  </si>
  <si>
    <t>execution, cost, equipment</t>
  </si>
  <si>
    <t>CPE equipment also a consideration</t>
  </si>
  <si>
    <t>all new phones</t>
  </si>
  <si>
    <t>looks attractive at this point</t>
  </si>
  <si>
    <t>5G as a disruptor of fixed?</t>
  </si>
  <si>
    <t>wireless gets saturated at some point</t>
  </si>
  <si>
    <t>fixed will be much higher than 5G by the time it comes to mexico</t>
  </si>
  <si>
    <t>3.6x people per home in mexico. Network services the whole family</t>
  </si>
  <si>
    <t>70% of total info is video</t>
  </si>
  <si>
    <t>5G is seen as a wireless service</t>
  </si>
  <si>
    <t>Digitalisation</t>
  </si>
  <si>
    <t>this will increase, included in capex</t>
  </si>
  <si>
    <t>will reach 90% soon, 100% at a later date</t>
  </si>
  <si>
    <t>Guidance for 2019</t>
  </si>
  <si>
    <t>Room to grow</t>
  </si>
  <si>
    <t>Even with an economic slowdown</t>
  </si>
  <si>
    <t>5-6%</t>
  </si>
  <si>
    <t>11-13%</t>
  </si>
  <si>
    <t>Telephony</t>
  </si>
  <si>
    <t>15-16%</t>
  </si>
  <si>
    <t>9-10%</t>
  </si>
  <si>
    <t>10-11%</t>
  </si>
  <si>
    <t>10-11% at least</t>
  </si>
  <si>
    <t>stable margins</t>
  </si>
  <si>
    <t>$330m</t>
  </si>
  <si>
    <t>No plans to subsidise mobile handsets</t>
  </si>
  <si>
    <t>only a small amount relates to Altan</t>
  </si>
  <si>
    <t xml:space="preserve">Some problems with iPhones </t>
  </si>
  <si>
    <t>Android - happy to bring on board</t>
  </si>
  <si>
    <t>30% of sales</t>
  </si>
  <si>
    <t>Includes conclusion of special projects, submarine cable, other projects</t>
  </si>
  <si>
    <t xml:space="preserve">MVNO </t>
  </si>
  <si>
    <t>trialling 80k subs</t>
  </si>
  <si>
    <t>ARPU of ~MXN130</t>
  </si>
  <si>
    <t>Add on to existing subs</t>
  </si>
  <si>
    <t>Revs growth</t>
  </si>
  <si>
    <t>25-30%</t>
  </si>
  <si>
    <t>Entire corporate</t>
  </si>
  <si>
    <t>Conservative also on exchange rate…assume some MXN devaluation</t>
  </si>
  <si>
    <t>Had a very good churn Q</t>
  </si>
  <si>
    <t>Cyberattack</t>
  </si>
  <si>
    <t>Impact was MXN60m</t>
  </si>
  <si>
    <t>$3m</t>
  </si>
  <si>
    <t>Capex as % revs….will remain at current levels going forward</t>
  </si>
  <si>
    <t>ARPU is lower than in the US</t>
  </si>
  <si>
    <t>2-3 year will stay at the same level</t>
  </si>
  <si>
    <t>network, CPE and equipment</t>
  </si>
  <si>
    <t>Normally try to increase with inflation</t>
  </si>
  <si>
    <t>haven't done so fully</t>
  </si>
  <si>
    <t>economic, income levels, not always a factor</t>
  </si>
  <si>
    <t>45m handsets compatible with Red Compartida</t>
  </si>
  <si>
    <t>nationwide</t>
  </si>
  <si>
    <t>Q1 19 call</t>
  </si>
  <si>
    <t>x2 no of X-View subs</t>
  </si>
  <si>
    <t>starting to offer in lower end</t>
  </si>
  <si>
    <t>footprint on on-net and off-net</t>
  </si>
  <si>
    <t>portfolio of solutions</t>
  </si>
  <si>
    <t>integrated services</t>
  </si>
  <si>
    <t>MXN1.8bn approved divi</t>
  </si>
  <si>
    <t>20% of 2018 EBITDA, as per recent years</t>
  </si>
  <si>
    <t>Higher than dvi policy, paid in May 19</t>
  </si>
  <si>
    <t>68% of subs have min speeds of 20 Mbps</t>
  </si>
  <si>
    <t>Compared to 57% one year ago</t>
  </si>
  <si>
    <t>IFRS 16</t>
  </si>
  <si>
    <t>MXN40m lease benefit per Q</t>
  </si>
  <si>
    <t>MXN160m per year</t>
  </si>
  <si>
    <t>MXN328m of lease liabilities</t>
  </si>
  <si>
    <t xml:space="preserve">MXN340m including </t>
  </si>
  <si>
    <t>Increase in non linear programming</t>
  </si>
  <si>
    <t>VOD and other services to X-view and other premium services</t>
  </si>
  <si>
    <t>3% of increasing cost y/y</t>
  </si>
  <si>
    <t>MVNO subs</t>
  </si>
  <si>
    <t>80k for Q1 targeted?</t>
  </si>
  <si>
    <t>Launched trial</t>
  </si>
  <si>
    <t>62k trialists</t>
  </si>
  <si>
    <t>helped to manage the process for a hard launch</t>
  </si>
  <si>
    <t>Economics from MVNO initiative?</t>
  </si>
  <si>
    <t>Hard launch in the quarters to come</t>
  </si>
  <si>
    <t>Business plan for increase in EBITDA</t>
  </si>
  <si>
    <t>1m subs…?</t>
  </si>
  <si>
    <t>Targeting different segments…cities, MCM, SMEs etc</t>
  </si>
  <si>
    <t>Won't be felt in numbers in 2019</t>
  </si>
  <si>
    <t>More relevant in years to come</t>
  </si>
  <si>
    <t>Not seeing broadband subs for SKY coming from MEGA areas</t>
  </si>
  <si>
    <t>Need to be smart to grow on pay TV</t>
  </si>
  <si>
    <t>Reviewing</t>
  </si>
  <si>
    <t>a stretch</t>
  </si>
  <si>
    <t>see ways to recover</t>
  </si>
  <si>
    <t>waiting for recovery in economy</t>
  </si>
  <si>
    <t xml:space="preserve"> Aug-19 chat with Esau</t>
  </si>
  <si>
    <t>Price increase in March, effective in April. About 4-5% on average</t>
  </si>
  <si>
    <t>Had previously expected a better economic outlook</t>
  </si>
  <si>
    <t>Previous price increase - Oct 2018 (4-5%)</t>
  </si>
  <si>
    <t>Unlikely another increase</t>
  </si>
  <si>
    <t>Q1 2020</t>
  </si>
  <si>
    <t>Across the whole base</t>
  </si>
  <si>
    <t>No investment from the government</t>
  </si>
  <si>
    <t>targeting social spending, rather than projects</t>
  </si>
  <si>
    <t>impact private sector spending</t>
  </si>
  <si>
    <t>Impacts total sales available. First nine months of 2018 hasn't been attained</t>
  </si>
  <si>
    <t>Targeting better customers</t>
  </si>
  <si>
    <t>slightly higher churn</t>
  </si>
  <si>
    <t>July - preparing Plan of investment for coming months</t>
  </si>
  <si>
    <t>last week…conf call every meeting. Carlos Slim as a guest</t>
  </si>
  <si>
    <t>Slim said investment will improve</t>
  </si>
  <si>
    <t>Q3 and Q4 tend to be better</t>
  </si>
  <si>
    <t>Back to school campaigns…broadband services - in Q3</t>
  </si>
  <si>
    <t>More cash available in Q4</t>
  </si>
  <si>
    <t>July and preview for August - definitely better than Q2</t>
  </si>
  <si>
    <t>10-11% revenue guide</t>
  </si>
  <si>
    <t>Very competitive in recent months</t>
  </si>
  <si>
    <t>Marketing campaigns</t>
  </si>
  <si>
    <t>Ops targeting each other</t>
  </si>
  <si>
    <t>Launched naked BB offer</t>
  </si>
  <si>
    <t>MXN349 for internet-only</t>
  </si>
  <si>
    <t>Won’t have a huge amount of success</t>
  </si>
  <si>
    <t>Don't see Telmex building as much fibre as fast as they could</t>
  </si>
  <si>
    <t>Worred about using wholesale</t>
  </si>
  <si>
    <t>Blue Telecom</t>
  </si>
  <si>
    <t>30% of AMX network is fibre..</t>
  </si>
  <si>
    <t>Pay TV at AMX</t>
  </si>
  <si>
    <t>Will get it at some point</t>
  </si>
  <si>
    <t>end 2020, beginning of 2021</t>
  </si>
  <si>
    <t>At this point, they will then invest a lot more</t>
  </si>
  <si>
    <t>Functional separation</t>
  </si>
  <si>
    <t>delayed this…from Mar-19 to end-2019 one of these dates</t>
  </si>
  <si>
    <t>Once get licence</t>
  </si>
  <si>
    <t>1/ use it for DTH…bundling with Dish already, single bill/same office</t>
  </si>
  <si>
    <t>2/ build FTTH to offer service</t>
  </si>
  <si>
    <t>takes time to build service</t>
  </si>
  <si>
    <t>other providers have to have access</t>
  </si>
  <si>
    <t>MEGA regions</t>
  </si>
  <si>
    <t>Penetration is 58%...grow to 63% in next 5 years…AMX could push this up</t>
  </si>
  <si>
    <t>Don’t see Mexico getting impacted by OTT</t>
  </si>
  <si>
    <t>ARPU much lower in Mexico</t>
  </si>
  <si>
    <t>Hard to save to take OTT</t>
  </si>
  <si>
    <t>Netflix in Mexico - MXN129 Netflix</t>
  </si>
  <si>
    <t>Telenovelas and soccer</t>
  </si>
  <si>
    <t>18 teams in top division. 5 years ago, 16/18 on FTA…now 12/18 pay TV, 6/18 FTA</t>
  </si>
  <si>
    <t>Fox Sports, ESPN, Imagina</t>
  </si>
  <si>
    <t>MVNO</t>
  </si>
  <si>
    <t>Easier to retain with 4-play</t>
  </si>
  <si>
    <t>Launched free trial in Jan</t>
  </si>
  <si>
    <t>500,000 with free data from Altan</t>
  </si>
  <si>
    <t>test network</t>
  </si>
  <si>
    <t>check terminals…bring your own device</t>
  </si>
  <si>
    <t>didn't want to sell terminals</t>
  </si>
  <si>
    <t>1/ network had very good speeds</t>
  </si>
  <si>
    <t>2/ some blind spots - had expected to find</t>
  </si>
  <si>
    <t>3/ terminals…were trying to use on their old phones</t>
  </si>
  <si>
    <t>wanted it as a second SIM in their old phone</t>
  </si>
  <si>
    <t>could't port number for trial, but can when goes live</t>
  </si>
  <si>
    <t>62,000 approx lines working</t>
  </si>
  <si>
    <t>Very happy with Altan pricing</t>
  </si>
  <si>
    <t>Altan?</t>
  </si>
  <si>
    <t>Own 4%...if more than that couldn’t be a provider</t>
  </si>
  <si>
    <t>Think will be successful</t>
  </si>
  <si>
    <t>&gt;25 contracts signed</t>
  </si>
  <si>
    <t>with 30% of country covered</t>
  </si>
  <si>
    <t>52% coverage…could be by end of this year</t>
  </si>
  <si>
    <t>USD is 85% so this is an issue</t>
  </si>
  <si>
    <t>Projects today:</t>
  </si>
  <si>
    <t>5-year improvement of network…</t>
  </si>
  <si>
    <t>in 3rd year</t>
  </si>
  <si>
    <t>splitting some nodes</t>
  </si>
  <si>
    <t>1 to 500</t>
  </si>
  <si>
    <t>1 to 200.. and nearer to customer</t>
  </si>
  <si>
    <t>don’t want it to be &gt;250</t>
  </si>
  <si>
    <t>TotalPLay the only one to come close</t>
  </si>
  <si>
    <t>increasing amount of fibre in the network</t>
  </si>
  <si>
    <t>move to full fibre would therefore be cheaper</t>
  </si>
  <si>
    <t>fibre closer to home</t>
  </si>
  <si>
    <t>2 special projects</t>
  </si>
  <si>
    <t>submarine cable</t>
  </si>
  <si>
    <t>reduce some costs</t>
  </si>
  <si>
    <t>tip of this long peninsula</t>
  </si>
  <si>
    <t>data centre in Guadalajara</t>
  </si>
  <si>
    <t>1st one</t>
  </si>
  <si>
    <t>Both will be concluded this year</t>
  </si>
  <si>
    <t>Back to 22-23% of sales</t>
  </si>
  <si>
    <t>Minimum to maintain network to keep up with increasing bandwidth demands</t>
  </si>
  <si>
    <t>&lt;22% - suggest sub-optimal</t>
  </si>
  <si>
    <t xml:space="preserve">2019 - </t>
  </si>
  <si>
    <t>will fall to below &lt;30% of sales</t>
  </si>
  <si>
    <t>Keep a large part of cash in USD…</t>
  </si>
  <si>
    <t>Very conservative</t>
  </si>
  <si>
    <t>Grupo Achuco - chicken farming</t>
  </si>
  <si>
    <t>Similarly strong balance sheet</t>
  </si>
  <si>
    <t>Saving for M&amp;A</t>
  </si>
  <si>
    <t>Axtel approached</t>
  </si>
  <si>
    <t>Continue to be interested</t>
  </si>
  <si>
    <t>Corporate business</t>
  </si>
  <si>
    <t>Based in Monterrey</t>
  </si>
  <si>
    <t>2-2.5x potential mid-term target</t>
  </si>
  <si>
    <t>Consolidation</t>
  </si>
  <si>
    <t>Q1 19 - change in commentary on MEGA deal</t>
  </si>
  <si>
    <t>Based on FTA issues</t>
  </si>
  <si>
    <t>replace HFC in main 11 cities, to fibre</t>
  </si>
  <si>
    <t>and move it to smaller cities…all equipment will be moved over</t>
  </si>
  <si>
    <t>both new coverage and existing</t>
  </si>
  <si>
    <t>ftth will be mainly aerial</t>
  </si>
  <si>
    <t>75-80% is aerial</t>
  </si>
  <si>
    <t>rationale:</t>
  </si>
  <si>
    <t>cheaper in the long-run to do this</t>
  </si>
  <si>
    <t>for instance, Comcast looking at improving HFC, but decided against this</t>
  </si>
  <si>
    <t>HFC needs power, FTTH does not</t>
  </si>
  <si>
    <t>New tech - "remote phy" - came to realise…expense to shift to FTTH due to labour costs for Comcast</t>
  </si>
  <si>
    <t>Competitive environment…recently, increased competition from Total Play…starting to build more fibre</t>
  </si>
  <si>
    <t>close to 1m homes passed now (feedback from marketing and installation)</t>
  </si>
  <si>
    <t>overlap 10-15% of your network</t>
  </si>
  <si>
    <t>overbuilding and being pretty aggressive</t>
  </si>
  <si>
    <t>vendor financed, using Cisco</t>
  </si>
  <si>
    <t>have mid-term payments</t>
  </si>
  <si>
    <t>being relatively successful</t>
  </si>
  <si>
    <t>market seems to praise fibre</t>
  </si>
  <si>
    <t>taking some small hits in regions</t>
  </si>
  <si>
    <t>100 Mbps with HFC….with fibre - customers</t>
  </si>
  <si>
    <t>guide to &lt;20% capex/sales with fibre</t>
  </si>
  <si>
    <t>don't pay for power with gpon</t>
  </si>
  <si>
    <t>less maintenance…newer, less equipment, less things to go wrong</t>
  </si>
  <si>
    <t>will be FTTH, GPON technology</t>
  </si>
  <si>
    <t>fibre to node previously, co-ax</t>
  </si>
  <si>
    <t>keeping the same nodes</t>
  </si>
  <si>
    <t>won't be splitting any more nodes</t>
  </si>
  <si>
    <t>25% of nodes were with &gt;2000 homes</t>
  </si>
  <si>
    <t>44% were 1000 homes</t>
  </si>
  <si>
    <t>38% of nodes were with 500 homes</t>
  </si>
  <si>
    <t>33% were 250</t>
  </si>
  <si>
    <t>have got to the right / ok number of nodes for the new project</t>
  </si>
  <si>
    <t>2 year project, end 5-year project at same time. 2020/21</t>
  </si>
  <si>
    <t>2020 capex</t>
  </si>
  <si>
    <t>$40-50m</t>
  </si>
  <si>
    <t>32-33% in 2020</t>
  </si>
  <si>
    <t>no number yet</t>
  </si>
  <si>
    <t>32-33% in 2021</t>
  </si>
  <si>
    <t>2020 / Phase 1</t>
  </si>
  <si>
    <t>Build new fibre in 11 cities</t>
  </si>
  <si>
    <t>65-70% households</t>
  </si>
  <si>
    <t>Migrate subs to new network</t>
  </si>
  <si>
    <t>Move HFC network to smaller cities</t>
  </si>
  <si>
    <t>Most spend in 2020</t>
  </si>
  <si>
    <t>2021 / Phase 2</t>
  </si>
  <si>
    <t>Same again, second batch of cities</t>
  </si>
  <si>
    <t>Absolute capex slightly lower</t>
  </si>
  <si>
    <t>moving…</t>
  </si>
  <si>
    <t>equipment in nodes and set top boxes</t>
  </si>
  <si>
    <t>the coax cable - ditched</t>
  </si>
  <si>
    <t>might have to do also</t>
  </si>
  <si>
    <t>made of many cable companies…harder to unify type of network</t>
  </si>
  <si>
    <t>if decide to build fibre…equipment now is different than another region</t>
  </si>
  <si>
    <t>30% of connections / subscribers is FTTH</t>
  </si>
  <si>
    <t xml:space="preserve"> half of the 30% are Mexico City, Monterrey, Guad</t>
  </si>
  <si>
    <t>MEGA only compete in Guad</t>
  </si>
  <si>
    <t>Q4 19 trading</t>
  </si>
  <si>
    <t>Not saying too much</t>
  </si>
  <si>
    <t>Q4 econony was soft</t>
  </si>
  <si>
    <t>didn't help with gross adds</t>
  </si>
  <si>
    <t>vs 2018 levels</t>
  </si>
  <si>
    <t>2019 didn't quite recover</t>
  </si>
  <si>
    <t>1st 9 months - different approach than TV..tried to offer promos to stay with TV</t>
  </si>
  <si>
    <t>caused a little damage to the margin, and fees</t>
  </si>
  <si>
    <t>in Q4, reduced promo efforts, find a better balance between losing sub and paying for commission</t>
  </si>
  <si>
    <t>nov and dec</t>
  </si>
  <si>
    <t>Launched in November</t>
  </si>
  <si>
    <t>In cities with MEGA and Altan exclusively</t>
  </si>
  <si>
    <t>Altan has roaming agreement with Telcel</t>
  </si>
  <si>
    <t>Trial beginning 2019</t>
  </si>
  <si>
    <t xml:space="preserve">"bring your own device" </t>
  </si>
  <si>
    <t>End-2019</t>
  </si>
  <si>
    <t>largest vendor of equipment</t>
  </si>
  <si>
    <t>6 options</t>
  </si>
  <si>
    <t>Only available for MEGA subscribers</t>
  </si>
  <si>
    <t>Not meant to be a big source of revs…more of a retention strategy</t>
  </si>
  <si>
    <t>Data centre</t>
  </si>
  <si>
    <t>Now open. 1st datacentre</t>
  </si>
  <si>
    <t>Needed to have to support corporate business</t>
  </si>
  <si>
    <t>EBITDA saving from this</t>
  </si>
  <si>
    <t>Not hugely significant</t>
  </si>
  <si>
    <t>Q4 earnings call</t>
  </si>
  <si>
    <t xml:space="preserve">ST higher capex </t>
  </si>
  <si>
    <t>FTTH</t>
  </si>
  <si>
    <t>5 year capex the same</t>
  </si>
  <si>
    <t>capex up for next 2 years</t>
  </si>
  <si>
    <t>falling in year 3..</t>
  </si>
  <si>
    <t>$340</t>
  </si>
  <si>
    <t>$400m</t>
  </si>
  <si>
    <t>lower than today</t>
  </si>
  <si>
    <t>TV focusing on Guadalajara</t>
  </si>
  <si>
    <t>Expect 2020 to be a good year in Corporate</t>
  </si>
  <si>
    <t>Pay TV</t>
  </si>
  <si>
    <t>Penetration is still low…in Mexico</t>
  </si>
  <si>
    <t>Content investment is very high</t>
  </si>
  <si>
    <t>"People are still watching content…?"</t>
  </si>
  <si>
    <t>8-9%</t>
  </si>
  <si>
    <t>7-8%</t>
  </si>
  <si>
    <t>2-3%</t>
  </si>
  <si>
    <t>6-8%</t>
  </si>
  <si>
    <t>8-10%</t>
  </si>
  <si>
    <t>Delays, cancellations in some cases</t>
  </si>
  <si>
    <t>Uncertainty over how this will evolve</t>
  </si>
  <si>
    <t>FTTH upgrade</t>
  </si>
  <si>
    <t>On plan, with a couple of months delay</t>
  </si>
  <si>
    <t>Submarine cable fully operational</t>
  </si>
  <si>
    <t>Helps La Baja region</t>
  </si>
  <si>
    <t>Divi</t>
  </si>
  <si>
    <t>MXN1.5bn</t>
  </si>
  <si>
    <t>15% of EBITDA, May 27th</t>
  </si>
  <si>
    <t>Accerlated several projects in Q4 2019</t>
  </si>
  <si>
    <t>reduction in gross adds, plus lower churn</t>
  </si>
  <si>
    <t>less commercial costs</t>
  </si>
  <si>
    <t>Govt expsosure to corporate</t>
  </si>
  <si>
    <t>Pandemic has changed everything</t>
  </si>
  <si>
    <t>Lots of (pointless) political travel…a lot easier to do video conferencing</t>
  </si>
  <si>
    <t>Government cancelled a bunch of internet at schools</t>
  </si>
  <si>
    <t>So remote learning is negatively impacted</t>
  </si>
  <si>
    <t>Steady customer base…like mass market</t>
  </si>
  <si>
    <t>might impact growth</t>
  </si>
  <si>
    <t>steady base, with recurring revs</t>
  </si>
  <si>
    <t>Exposure to business</t>
  </si>
  <si>
    <t>3.6m subs in Mass market, include micro businesses</t>
  </si>
  <si>
    <t>ARPU is very similar to residential business</t>
  </si>
  <si>
    <t>Covid</t>
  </si>
  <si>
    <t>Cable is an essential service. Electricity, gas, water, broadband</t>
  </si>
  <si>
    <t>Home office, students, supportive</t>
  </si>
  <si>
    <t>USD</t>
  </si>
  <si>
    <t>20% opex on USD</t>
  </si>
  <si>
    <t>Hard to fully offset peso</t>
  </si>
  <si>
    <t>85% capex USD</t>
  </si>
  <si>
    <t>Labour, other in peso</t>
  </si>
  <si>
    <t>Look very closely at</t>
  </si>
  <si>
    <t>Some non-majority projects delayed perhaps</t>
  </si>
  <si>
    <t>video platform and FTTH will continue</t>
  </si>
  <si>
    <t>technology company, need to be ahead of peers</t>
  </si>
  <si>
    <t>Resilience of Mass</t>
  </si>
  <si>
    <t>7% is micro business</t>
  </si>
  <si>
    <t>small proportion of these look to be at risk</t>
  </si>
  <si>
    <t>Very positive, great demand for service as of today</t>
  </si>
  <si>
    <t>Those without broadband are keen to take a service</t>
  </si>
  <si>
    <t>GFC</t>
  </si>
  <si>
    <t>Mexico - 6% GDP drop in 2009</t>
  </si>
  <si>
    <t>Revs grew , EBITDA went up</t>
  </si>
  <si>
    <t>USD deval didn’t help</t>
  </si>
  <si>
    <t>This crisis will be harder</t>
  </si>
  <si>
    <t>Mexican government not taking the right measures</t>
  </si>
  <si>
    <t>But broadband business better positioned</t>
  </si>
  <si>
    <t>Companies offering to share cost for employees</t>
  </si>
  <si>
    <t>15/20% can work from home</t>
  </si>
  <si>
    <t>Government to subsidise poorer, school</t>
  </si>
  <si>
    <t>1 June at school..??</t>
  </si>
  <si>
    <t>Peak of pandemic in 2 weeks</t>
  </si>
  <si>
    <t>Grandparents living with young</t>
  </si>
  <si>
    <t>Esau</t>
  </si>
  <si>
    <t>3.3-3.5%, depended  by region</t>
  </si>
  <si>
    <t>Extra services…X View</t>
  </si>
  <si>
    <t>Coming quarters - won't continue to increase...</t>
  </si>
  <si>
    <t>May even decrease…regulator asked for operators to help</t>
  </si>
  <si>
    <t>Some negotiations…MEGA + others launch a package with minimal BB + video + voice. Goal is for subs to stay connected</t>
  </si>
  <si>
    <t>short period of time, likely for 2-3 months</t>
  </si>
  <si>
    <t>Some for all operators…no real competition</t>
  </si>
  <si>
    <t>MXN100/month</t>
  </si>
  <si>
    <t>BB is enough speed for social media…not to see videos</t>
  </si>
  <si>
    <t>2 Mbps</t>
  </si>
  <si>
    <t>Unlimited telephony</t>
  </si>
  <si>
    <t>Announced by IFT, not clear in the media</t>
  </si>
  <si>
    <t>Can be taken by new subs</t>
  </si>
  <si>
    <t>Jan, Feb - weaker seasonalty</t>
  </si>
  <si>
    <t>March - significant decrease in churn which supported adds</t>
  </si>
  <si>
    <t>Churn is calculated by month</t>
  </si>
  <si>
    <t>Gross adds - being a bit more selective</t>
  </si>
  <si>
    <t>Net adds likely to continue at the same sort of level</t>
  </si>
  <si>
    <t>April was good…some for work from home</t>
  </si>
  <si>
    <t>Then will normalise</t>
  </si>
  <si>
    <t>As year goes by, economy slips</t>
  </si>
  <si>
    <t>So, expect some spin down</t>
  </si>
  <si>
    <t>Also, MXN1000 subs may also migrate down</t>
  </si>
  <si>
    <t>Enterprise</t>
  </si>
  <si>
    <t>1 government contract</t>
  </si>
  <si>
    <t>"Mexico Connected"</t>
  </si>
  <si>
    <t>Pena Nieto</t>
  </si>
  <si>
    <t>Free internet in schools, public places, government offices</t>
  </si>
  <si>
    <t>During 2019, contributed to revenue</t>
  </si>
  <si>
    <t>New government</t>
  </si>
  <si>
    <t>"Internet para Todos"</t>
  </si>
  <si>
    <t>Cancelled the old one</t>
  </si>
  <si>
    <t>More room to grow in Metrocarrier than in Ho1a</t>
  </si>
  <si>
    <t>Assume some growth still..</t>
  </si>
  <si>
    <t>Unsure how private segment will react</t>
  </si>
  <si>
    <t>Corporate in general is hard to anticipate</t>
  </si>
  <si>
    <t>2020 and 2021</t>
  </si>
  <si>
    <t>A decrease but not at expense of</t>
  </si>
  <si>
    <t>X View</t>
  </si>
  <si>
    <t>18 month project</t>
  </si>
  <si>
    <t>Maybe a delay here</t>
  </si>
  <si>
    <t>Got great terms on financing</t>
  </si>
  <si>
    <t>Vendor financing</t>
  </si>
  <si>
    <t>Several…one is yet to be signed</t>
  </si>
  <si>
    <t>6m, 12m delay for payment</t>
  </si>
  <si>
    <t>Kit should arrive from June</t>
  </si>
  <si>
    <t>Strategic thoughts?</t>
  </si>
  <si>
    <t>MEGA acquring Televisa?</t>
  </si>
  <si>
    <t>"MEGA has better management"</t>
  </si>
  <si>
    <t>Wouldn't want TV to run a JV and don’t think TV would allow MEGA to run it</t>
  </si>
  <si>
    <t>Would TV be willing to sell..? Unlikely..</t>
  </si>
  <si>
    <t>Willing to do business</t>
  </si>
  <si>
    <t>Mobile (Jun 8th)</t>
  </si>
  <si>
    <t>Trial period</t>
  </si>
  <si>
    <t>Check systems ok, wanted to try Altan network</t>
  </si>
  <si>
    <t>Network v good and fast but some blind spots without coverage where wanted to launch</t>
  </si>
  <si>
    <t>This issue was fixed</t>
  </si>
  <si>
    <t>Equipment was not all compatible</t>
  </si>
  <si>
    <t>Free SIMs for 3 month period…most subs didn't want SIM in new/current equipment</t>
  </si>
  <si>
    <t>wanted in secondary equipment</t>
  </si>
  <si>
    <t>most of the old equipments (&gt;2/3 years) not compatible</t>
  </si>
  <si>
    <t>Agreed with vendors to provide equipment</t>
  </si>
  <si>
    <t>80% of equipment launched in last 2 years are compatible</t>
  </si>
  <si>
    <t>60-70% with compatible equipment today</t>
  </si>
  <si>
    <t>Outside of Altan, will roam onto Telcel</t>
  </si>
  <si>
    <t>More expensive if use roaming</t>
  </si>
  <si>
    <t>So use MEGA and Altan coverage</t>
  </si>
  <si>
    <t>70-80% of traffic will be terminated by Altan/MEGA area, 20-30% will be roaming</t>
  </si>
  <si>
    <t>60-70% of subs available to take the service today</t>
  </si>
  <si>
    <t>AMX vs Altan - a little more expensive on whole GB</t>
  </si>
  <si>
    <t>But, went with Altan because can't offer retail</t>
  </si>
  <si>
    <t>Had a bad experience with TEF when it was used</t>
  </si>
  <si>
    <t>18,000 paying subs today (end March)</t>
  </si>
  <si>
    <t>Target</t>
  </si>
  <si>
    <t>Churn reduction is the main target, short and medium term</t>
  </si>
  <si>
    <t>Want all subs to take the service</t>
  </si>
  <si>
    <t>Negative EBITDA in first year</t>
  </si>
  <si>
    <t>150,000 within first year</t>
  </si>
  <si>
    <t>Pre-paid offer also</t>
  </si>
  <si>
    <t>Spectrum</t>
  </si>
  <si>
    <t>no plans to acquire any</t>
  </si>
  <si>
    <t>Customers prioritising connectivity</t>
  </si>
  <si>
    <t>will continue for rest of the year</t>
  </si>
  <si>
    <t>will continue to rise, well positioned</t>
  </si>
  <si>
    <t>Pre-paid</t>
  </si>
  <si>
    <t>GPON and next Gen TV to continue</t>
  </si>
  <si>
    <t>TV plus in H2 20</t>
  </si>
  <si>
    <t>better box</t>
  </si>
  <si>
    <t>integrates content</t>
  </si>
  <si>
    <t>TotalPlay</t>
  </si>
  <si>
    <t>Revs 36% growth in Q2</t>
  </si>
  <si>
    <t>80% of the size of MEGA</t>
  </si>
  <si>
    <t>1. Seeing them growing in MEGA areas</t>
  </si>
  <si>
    <t>2. Migrating to FTTH…where FTTH, better results than TotalPlay?</t>
  </si>
  <si>
    <t>3. "Cable" as a brand being an issue?</t>
  </si>
  <si>
    <t>In MEGA areas, not growing a lot. Not that sort of impact</t>
  </si>
  <si>
    <t>Each sub going to competitors, speed up migration to FTTH where available</t>
  </si>
  <si>
    <t>&gt;80% of subs attempting to churn stay, better packages etc</t>
  </si>
  <si>
    <t>HFC upgrades also</t>
  </si>
  <si>
    <t>X-view is &gt;1m is a differentiator</t>
  </si>
  <si>
    <t>If upgrade to FTTH</t>
  </si>
  <si>
    <t>Where activating GPON, go straight to the sub to upgrade (with install, equipment etc)</t>
  </si>
  <si>
    <t>Offer more bandwidth, channels etc as a promo</t>
  </si>
  <si>
    <t>hopefully try to increase ARPU</t>
  </si>
  <si>
    <t>GPON project</t>
  </si>
  <si>
    <t>Next 14 months, will start to move subs in H2</t>
  </si>
  <si>
    <t>ARPU uplift…how much?</t>
  </si>
  <si>
    <t>Yes, to some degree, expect to continue to rise</t>
  </si>
  <si>
    <t>Hope to win from competition also</t>
  </si>
  <si>
    <t>SME also impacting mass market</t>
  </si>
  <si>
    <t>non payment/min payment also, which should increase</t>
  </si>
  <si>
    <t>good recovery in June…look vey good going into Q3</t>
  </si>
  <si>
    <t>irregardless of FTTH/HFC</t>
  </si>
  <si>
    <t>Lower in Q2</t>
  </si>
  <si>
    <t>FY guide?</t>
  </si>
  <si>
    <t>We reduced capex guide with pandemic</t>
  </si>
  <si>
    <t>Still on track to hit FY capex of USD</t>
  </si>
  <si>
    <t>may be slightly below USD400m</t>
  </si>
  <si>
    <t>Homes passed, deployment</t>
  </si>
  <si>
    <t>Half of the network being targeted</t>
  </si>
  <si>
    <t>Re-using state of art HFC for network in small/mid-size</t>
  </si>
  <si>
    <t>Do not need to change equipment, or drop to house</t>
  </si>
  <si>
    <t>4m homes passed with GPON</t>
  </si>
  <si>
    <t>Why GPON?</t>
  </si>
  <si>
    <t>HFC offers same service, 1 Gbps to homes</t>
  </si>
  <si>
    <t>In the future…would need to move to fibre at some point, as will be the prevailing fibre</t>
  </si>
  <si>
    <t>Would need to grow number of nodes x2 on HFC</t>
  </si>
  <si>
    <t>So use 100% of nodes in 50% of plant</t>
  </si>
  <si>
    <t>Mobile guide</t>
  </si>
  <si>
    <t>exponential growth</t>
  </si>
  <si>
    <t>need to look for larger scale</t>
  </si>
  <si>
    <t xml:space="preserve">150,000 near-term target </t>
  </si>
  <si>
    <t>putting much more ever to take to larger scale</t>
  </si>
  <si>
    <t>Very confident on growth</t>
  </si>
  <si>
    <t>No way that government and Enterprise will delay Cloud (Ho1a)</t>
  </si>
  <si>
    <t>Happy with Metrocarrier and MCN</t>
  </si>
  <si>
    <t>Metro Enterprise partly offset Government</t>
  </si>
  <si>
    <t>Pre Q3 20</t>
  </si>
  <si>
    <t>July/Aug</t>
  </si>
  <si>
    <t>Good numbers, high demand</t>
  </si>
  <si>
    <t>Government….schools not back</t>
  </si>
  <si>
    <t>2,000 subs only MXN100/month</t>
  </si>
  <si>
    <t>not a factor</t>
  </si>
  <si>
    <t>ARPU mostly impacted by no price increase</t>
  </si>
  <si>
    <t>Pandemic</t>
  </si>
  <si>
    <t>Did not restore promotional rates</t>
  </si>
  <si>
    <t>Price increase</t>
  </si>
  <si>
    <t>August price increase</t>
  </si>
  <si>
    <t>MXN50, or USD2</t>
  </si>
  <si>
    <t>Price increase close to 3%</t>
  </si>
  <si>
    <t>Not everyone has this applied</t>
  </si>
  <si>
    <t>Not if coming off promotion</t>
  </si>
  <si>
    <t>Sensitivity to this has been limited</t>
  </si>
  <si>
    <t>~50% got an increase</t>
  </si>
  <si>
    <t>May be another increase toward the end of 2020</t>
  </si>
  <si>
    <t>Most/all competitors doing the same</t>
  </si>
  <si>
    <t>Government</t>
  </si>
  <si>
    <t>Special package</t>
  </si>
  <si>
    <t>Regulator</t>
  </si>
  <si>
    <t>Spectrum prices to come down…</t>
  </si>
  <si>
    <t>First draft of 2021 budget announced</t>
  </si>
  <si>
    <t>Did not decrease price of spectrum</t>
  </si>
  <si>
    <t>More expensive</t>
  </si>
  <si>
    <t>Not sure on Totalplay</t>
  </si>
  <si>
    <t>Rolling Infra quickly…</t>
  </si>
  <si>
    <t>Mainly Izzy and Telmex territory</t>
  </si>
  <si>
    <t>By state</t>
  </si>
  <si>
    <t>Only one overlapping each state</t>
  </si>
  <si>
    <t>Jalisco, metro area of Guadelajara</t>
  </si>
  <si>
    <t>Sapulca</t>
  </si>
  <si>
    <t>Market share by state…8-9, share is &gt;10%</t>
  </si>
  <si>
    <t>Promotions</t>
  </si>
  <si>
    <t>Back to school. All doing it</t>
  </si>
  <si>
    <t>Functional Separation</t>
  </si>
  <si>
    <t>Was to be done by Q1 2020</t>
  </si>
  <si>
    <t>Slim seems to be friendly with AMLO</t>
  </si>
  <si>
    <t>IFT - President concluded term in Feb of 2020. Pandemic led to a suspension of process. Temporary President for now</t>
  </si>
  <si>
    <t>Probably 2021 at best</t>
  </si>
  <si>
    <t>SOHOs (in Resi)</t>
  </si>
  <si>
    <t>7% of mass market</t>
  </si>
  <si>
    <t>Recovery here…Apr and May hard, but better in June</t>
  </si>
  <si>
    <t>&lt;5/7 employees</t>
  </si>
  <si>
    <t>Better in July and Aug</t>
  </si>
  <si>
    <t>Same as pre-Covid levels</t>
  </si>
  <si>
    <t>Harder to recover</t>
  </si>
  <si>
    <t>Metrocarrier continue to recover…not yet at levels desired</t>
  </si>
  <si>
    <t>Government contract gone. Revs through to Q3 19</t>
  </si>
  <si>
    <t>40% sales to government and local level</t>
  </si>
  <si>
    <t>Most of government not spending</t>
  </si>
  <si>
    <t>Large % of sales was equipment and came with lower margin</t>
  </si>
  <si>
    <t>USD400m - at start of 2020</t>
  </si>
  <si>
    <t>Close to this - USD370-380m</t>
  </si>
  <si>
    <t>GPON</t>
  </si>
  <si>
    <t>Started to build</t>
  </si>
  <si>
    <t>Conclude by 2021</t>
  </si>
  <si>
    <t>Will see in H2</t>
  </si>
  <si>
    <t>NGB Platform, X-View+</t>
  </si>
  <si>
    <t>Launched in late Sept/Oct</t>
  </si>
  <si>
    <t>Netflix offered to all</t>
  </si>
  <si>
    <t>All integrated into one platform</t>
  </si>
  <si>
    <t>Netflix, Prime</t>
  </si>
  <si>
    <t>Goal of 150k by first 12 months…</t>
  </si>
  <si>
    <t>Good track to meet goal</t>
  </si>
  <si>
    <t>FEMSA</t>
  </si>
  <si>
    <t>offering MVNO services, with Telcel, using 3G network</t>
  </si>
  <si>
    <t>Izzy more expensive than MEGA</t>
  </si>
  <si>
    <t>Jun/July - selling last 2 properties</t>
  </si>
  <si>
    <t>MEGA bought mass-market, TV bought the rest</t>
  </si>
  <si>
    <t>Corporate or "Service" business &amp; Infra</t>
  </si>
  <si>
    <t>Service has good overlaps with Metrocarrier and Ho1a</t>
  </si>
  <si>
    <t>Double digit multiple, 5-7x on service EBITDA</t>
  </si>
  <si>
    <t>Few hundred millions. Likely debt funded</t>
  </si>
  <si>
    <t>Q3 2020</t>
  </si>
  <si>
    <t>October</t>
  </si>
  <si>
    <t>Continue with the trend in October. Not that high</t>
  </si>
  <si>
    <t>State can choose when kids go back to school</t>
  </si>
  <si>
    <t>Traffic light system</t>
  </si>
  <si>
    <t>Green</t>
  </si>
  <si>
    <t>Can choose</t>
  </si>
  <si>
    <t>2 at the moment</t>
  </si>
  <si>
    <t>Yellow/red</t>
  </si>
  <si>
    <t>Can't</t>
  </si>
  <si>
    <t>August was the best month due to return to school</t>
  </si>
  <si>
    <t>Some hangover effect possible</t>
  </si>
  <si>
    <t>A little like the analogue impact</t>
  </si>
  <si>
    <t>Adds and ARPU</t>
  </si>
  <si>
    <t>downgrade to cheaper packages</t>
  </si>
  <si>
    <t>potentially disconnecting</t>
  </si>
  <si>
    <t>From homeschooling perhaps</t>
  </si>
  <si>
    <t>Voice strength</t>
  </si>
  <si>
    <t>Sold through a bundle</t>
  </si>
  <si>
    <t>x3 play</t>
  </si>
  <si>
    <t>staying at home…pay TV is cheapest option for entertainment</t>
  </si>
  <si>
    <t>Focus of the company is x3 play</t>
  </si>
  <si>
    <t>Video will continue to grow</t>
  </si>
  <si>
    <t>Voice will grow at the same pace as broadband</t>
  </si>
  <si>
    <t>August</t>
  </si>
  <si>
    <t>October applied</t>
  </si>
  <si>
    <t>remaining 50%</t>
  </si>
  <si>
    <t>1.5-2.0%</t>
  </si>
  <si>
    <t>All competitors also increasing prices</t>
  </si>
  <si>
    <t>Focus has been on wireless</t>
  </si>
  <si>
    <t>Budget had a 50% increase for spectrum</t>
  </si>
  <si>
    <t>7% wireless spectrum</t>
  </si>
  <si>
    <t>8 of MEGA 12 main cities</t>
  </si>
  <si>
    <t>Subs limited, perhaps 300,000, vs 1.5m for MEGA in these cities</t>
  </si>
  <si>
    <t>Capacity of fibre is limited…</t>
  </si>
  <si>
    <t>Fibre aerial which is 24 threads …. Compared to 96 threads for MEGA</t>
  </si>
  <si>
    <t>8 subscribers…need another terminal</t>
  </si>
  <si>
    <t>will save some money</t>
  </si>
  <si>
    <t>Totalplay beginning to hit problems..</t>
  </si>
  <si>
    <t>10 offers for Axtel</t>
  </si>
  <si>
    <t>MEGA not one of them</t>
  </si>
  <si>
    <t>1/ Infra</t>
  </si>
  <si>
    <t>2/ Service</t>
  </si>
  <si>
    <t>Continue to be interested. Didn’t agree with rules on selling process</t>
  </si>
  <si>
    <t>See who buys it, see if can do something with them</t>
  </si>
  <si>
    <t>Same comment as before. Continue to issue dividends</t>
  </si>
  <si>
    <t>Would like 2x net debt to EBITDA</t>
  </si>
  <si>
    <t>Q4 will still be very intensive</t>
  </si>
  <si>
    <t>370-375</t>
  </si>
  <si>
    <t>Overlay</t>
  </si>
  <si>
    <t>Slight (1-2 weeks) delay</t>
  </si>
  <si>
    <t>Remaining 50%...wanted to get all the benefits of HFC</t>
  </si>
  <si>
    <t>so use HFC</t>
  </si>
  <si>
    <t>Migration of HFC equipment</t>
  </si>
  <si>
    <t>cable not re-used</t>
  </si>
  <si>
    <t>energy sources, amplifiers, boxes, equipment in master head ends</t>
  </si>
  <si>
    <t>Conceived to improve customer retention</t>
  </si>
  <si>
    <t>150k for first 12m, 200k now</t>
  </si>
  <si>
    <t>If continue to grow territory coverage</t>
  </si>
  <si>
    <t>In MEGA and Altan coverage areas</t>
  </si>
  <si>
    <t>Good feedback in terms of service</t>
  </si>
  <si>
    <t>EBITDA profitable after 1.5 years</t>
  </si>
  <si>
    <t>No, not being considered</t>
  </si>
  <si>
    <t>5G - take advantage for wholesale</t>
  </si>
  <si>
    <t>medium to long-term</t>
  </si>
  <si>
    <t>5G in next 2-3 years on a mass scale only</t>
  </si>
  <si>
    <t>X-view Plus</t>
  </si>
  <si>
    <t>Net gen before next year</t>
  </si>
  <si>
    <t>All content into one place from OTTs</t>
  </si>
  <si>
    <t>Soft launch</t>
  </si>
  <si>
    <t>Nov</t>
  </si>
  <si>
    <t>Hard launch</t>
  </si>
  <si>
    <t>by YE</t>
  </si>
  <si>
    <t>Same price as X-view</t>
  </si>
  <si>
    <t>MXN50 to get HD</t>
  </si>
  <si>
    <t>MXN50 to get X-View</t>
  </si>
  <si>
    <t>Q4 2020</t>
  </si>
  <si>
    <t>ARPU/unique sub</t>
  </si>
  <si>
    <t>MXN409 under the old method</t>
  </si>
  <si>
    <t>now adjusts out the mobile</t>
  </si>
  <si>
    <t>In 25,000km of network</t>
  </si>
  <si>
    <t>40% deployment is the plan</t>
  </si>
  <si>
    <t xml:space="preserve">After 2021 </t>
  </si>
  <si>
    <t>HFC node splitting underway</t>
  </si>
  <si>
    <t>Mobile ARPU</t>
  </si>
  <si>
    <t>MXN100 inc tax</t>
  </si>
  <si>
    <t>MXN200 inc tax</t>
  </si>
  <si>
    <t>Mix</t>
  </si>
  <si>
    <t>Equipment part of ARPU right now</t>
  </si>
  <si>
    <t>Will start in Q1</t>
  </si>
  <si>
    <t>HFC</t>
  </si>
  <si>
    <t>250 homes per node</t>
  </si>
  <si>
    <t>Target low end of 250-500</t>
  </si>
  <si>
    <t>500 to 250…adding active electronics, but add fibre, bringing closer to subscriber</t>
  </si>
  <si>
    <t>Fibre then at street corners, so easier to move to GPON</t>
  </si>
  <si>
    <t>Set top boxed - can run on HFS or GPON</t>
  </si>
  <si>
    <t>2021 outlook</t>
  </si>
  <si>
    <t>Slight increase in ARPU</t>
  </si>
  <si>
    <t>Pressure from back to work/school</t>
  </si>
  <si>
    <t>Xview Plus, will partly offset</t>
  </si>
  <si>
    <t>made to target 3 million subs</t>
  </si>
  <si>
    <t>for all GPON video subs</t>
  </si>
  <si>
    <t>MVNO not within this ARPU definition</t>
  </si>
  <si>
    <t>Start/middle 2022 for vaccines of adults</t>
  </si>
  <si>
    <t>Home office will persist this year</t>
  </si>
  <si>
    <t>Margin should be the same level</t>
  </si>
  <si>
    <t>Some pressure from corporate</t>
  </si>
  <si>
    <t>MVNO growth</t>
  </si>
  <si>
    <t>Outlook</t>
  </si>
  <si>
    <t>Good ongoing growth</t>
  </si>
  <si>
    <t>ARPU per unique up a little</t>
  </si>
  <si>
    <t>Expect Metrocarrier to grow also</t>
  </si>
  <si>
    <t>Stable margins, as Mass market and Metrocarrier are the higher margin businesses</t>
  </si>
  <si>
    <t>GPON network</t>
  </si>
  <si>
    <t>Finish by end 2021</t>
  </si>
  <si>
    <t>one third of project done…300,000 subs on GPON</t>
  </si>
  <si>
    <t xml:space="preserve">ARPU in FTTH </t>
  </si>
  <si>
    <t>no increase, as just migrated</t>
  </si>
  <si>
    <t>plan to add based on higher OTT</t>
  </si>
  <si>
    <t>larger city, has larger ARPU….irregardless of technology</t>
  </si>
  <si>
    <t>TotalPlay compete on 60% of footprint</t>
  </si>
  <si>
    <t>15-20%</t>
  </si>
  <si>
    <t>Red Compartida financial problems</t>
  </si>
  <si>
    <t>Izzy markets</t>
  </si>
  <si>
    <t>Guadalajara move</t>
  </si>
  <si>
    <t>based off infra from govt contract</t>
  </si>
  <si>
    <t>Mexico, Monterrey- much higher family income</t>
  </si>
  <si>
    <t>Opportunity for MEGA in these areas v high</t>
  </si>
  <si>
    <t>Cancun, others</t>
  </si>
  <si>
    <t>Build</t>
  </si>
  <si>
    <t>6 new cities</t>
  </si>
  <si>
    <t>Will be ready for threats</t>
  </si>
  <si>
    <t>Expect to remain at current levels going forward</t>
  </si>
  <si>
    <t>Video still a reasonable margin, but make more on BB</t>
  </si>
  <si>
    <t xml:space="preserve">Will still push for </t>
  </si>
  <si>
    <t>Once on X-View hard to ditch, much better than DTH</t>
  </si>
  <si>
    <t>Platform complements streaming</t>
  </si>
  <si>
    <t>SAC is lower than video for BB subs add</t>
  </si>
  <si>
    <t>Voice line for BB is at almost no cost</t>
  </si>
  <si>
    <t>This all supports maring</t>
  </si>
  <si>
    <t>Changed fixed telephony revs allocation since start Jan 2020</t>
  </si>
  <si>
    <t>Sequentially Corp will improve</t>
  </si>
  <si>
    <t>Hola - Q1 20 was pre-pandemic</t>
  </si>
  <si>
    <t>remain at certain levels</t>
  </si>
  <si>
    <t>capex to reflect replaced network</t>
  </si>
  <si>
    <t>softer in 2022…&gt;25%</t>
  </si>
  <si>
    <t>2023/24 declines as % sales</t>
  </si>
  <si>
    <t>Pre-Q2 21 (June 21st)</t>
  </si>
  <si>
    <t>Increase in churn</t>
  </si>
  <si>
    <t>1. Some back to office</t>
  </si>
  <si>
    <t>2. Economic - posting better Covid numbers, lower econ levels. Most depending on savings</t>
  </si>
  <si>
    <t>Unemployment?</t>
  </si>
  <si>
    <t>No change in the last few months</t>
  </si>
  <si>
    <t>School</t>
  </si>
  <si>
    <t>2-3 weeks before election, moved to green</t>
  </si>
  <si>
    <t>election ploy</t>
  </si>
  <si>
    <t>days after, back to yellow</t>
  </si>
  <si>
    <t>nobody returned to school, and won't be back for a while</t>
  </si>
  <si>
    <t>June, end of school year</t>
  </si>
  <si>
    <t>whole academic year - school from home</t>
  </si>
  <si>
    <t>decision outstanding on next year</t>
  </si>
  <si>
    <t>Work</t>
  </si>
  <si>
    <t>more offices returning to normal</t>
  </si>
  <si>
    <t>Most subs which got service due to lockdown will keep it</t>
  </si>
  <si>
    <t>Lower than pre-pandemic churn levels … nearer 2.0% now</t>
  </si>
  <si>
    <t>June</t>
  </si>
  <si>
    <t>normally school year drops it. In june, back in Q3. unclear whether it will happen now</t>
  </si>
  <si>
    <t>Price increase end Q1</t>
  </si>
  <si>
    <t>Close to 1.5% average</t>
  </si>
  <si>
    <t>May</t>
  </si>
  <si>
    <t>Growth rates similar to Q1</t>
  </si>
  <si>
    <t>Continues to contribute</t>
  </si>
  <si>
    <t>Izzy launch - Guadalajara + others</t>
  </si>
  <si>
    <t>leveraging corporate, fibre ring</t>
  </si>
  <si>
    <t>BUT need more capillarity</t>
  </si>
  <si>
    <t>announced launch last week</t>
  </si>
  <si>
    <t>looks likely to be specific regions.. Don't have the infra on larger scale</t>
  </si>
  <si>
    <t>higher socio economic levels</t>
  </si>
  <si>
    <t>Guadalajara</t>
  </si>
  <si>
    <t>6-7 municipalities</t>
  </si>
  <si>
    <t>MEGA in 6</t>
  </si>
  <si>
    <t>Izzy in 1</t>
  </si>
  <si>
    <t>Zapopan, wealthier area</t>
  </si>
  <si>
    <t>Easy for MEGA to target Zapopan</t>
  </si>
  <si>
    <t>Izzy's 2m homes</t>
  </si>
  <si>
    <t>Likely to be in and around Guadalajara</t>
  </si>
  <si>
    <t>Territories used to be by concession</t>
  </si>
  <si>
    <t>That model doesn’t work</t>
  </si>
  <si>
    <t>Feeling a lot of pressure from TotalPlay</t>
  </si>
  <si>
    <t>similar market strategy</t>
  </si>
  <si>
    <t>MEGA to negotiating table</t>
  </si>
  <si>
    <t>Targeted the cities which are interesting</t>
  </si>
  <si>
    <t>1.5-2m homes passed in next 2 years… mostly come from existing territories</t>
  </si>
  <si>
    <t>8 of 12 largest MEGA cities</t>
  </si>
  <si>
    <t>Nothing new</t>
  </si>
  <si>
    <t>Sept 2020…35% of subs on fibre, 30% over last 4 years</t>
  </si>
  <si>
    <t>~ &gt;40% . Plus existing gets to 50%</t>
  </si>
  <si>
    <t>Capex…decrease in 2022</t>
  </si>
  <si>
    <t>Goal is to target 20-22% in 2024</t>
  </si>
  <si>
    <t>5 more cities, not yet disclosed</t>
  </si>
  <si>
    <t>corporate, to add to 5 (Mexico City, Monterrey, Cancun…)</t>
  </si>
  <si>
    <t>Dividend payment this Q</t>
  </si>
  <si>
    <t>Want to migrate to more leverage</t>
  </si>
  <si>
    <t>M&amp;A if possible..</t>
  </si>
  <si>
    <t>Altan relationship…some financial difficulties…refinancing</t>
  </si>
  <si>
    <t>No exclusivity with them, could sign another MVNO deal</t>
  </si>
  <si>
    <t>Slower on roll out in rural</t>
  </si>
  <si>
    <t>MVNO - steady growth</t>
  </si>
  <si>
    <t>Maybe at YE, could open to general public</t>
  </si>
  <si>
    <t>Share weakness</t>
  </si>
  <si>
    <t>Izzy moving into Guadalajara</t>
  </si>
  <si>
    <t>2 weeks ago - Taluga, Durango</t>
  </si>
  <si>
    <t>Maybe was just negotiating</t>
  </si>
  <si>
    <t>not good for TV either</t>
  </si>
  <si>
    <t>MEGA - investments in new territories</t>
  </si>
  <si>
    <t>All areas want to cover going through deep analysis</t>
  </si>
  <si>
    <t>Cherry picking</t>
  </si>
  <si>
    <t>Q3s</t>
  </si>
  <si>
    <t>Strong net adds</t>
  </si>
  <si>
    <t>Competition not having such an impact today</t>
  </si>
  <si>
    <t xml:space="preserve">Izzy </t>
  </si>
  <si>
    <t>Lowering to MEGA prices in new areas</t>
  </si>
  <si>
    <t>No significant changes</t>
  </si>
  <si>
    <t>No crazy selling</t>
  </si>
  <si>
    <t>Why move to Izzy?</t>
  </si>
  <si>
    <t xml:space="preserve">Soccer </t>
  </si>
  <si>
    <t>1. only Izzy can cover both teams in Guadalajara</t>
  </si>
  <si>
    <t>Chivas and the other</t>
  </si>
  <si>
    <t>MEGA entering</t>
  </si>
  <si>
    <t>Into Zapopan</t>
  </si>
  <si>
    <t>Cover another 400,000 homes</t>
  </si>
  <si>
    <t>80/85% of remaining metro</t>
  </si>
  <si>
    <t>Largest area…wealthy</t>
  </si>
  <si>
    <t>In Guadalajara</t>
  </si>
  <si>
    <t>MEGA expansion</t>
  </si>
  <si>
    <t>Corporate led expansion: - cities, fibre</t>
  </si>
  <si>
    <t>Not ruling out mass market</t>
  </si>
  <si>
    <t>Yes, will do so</t>
  </si>
  <si>
    <t>Not on a massive scale</t>
  </si>
  <si>
    <t>2nd fibre player in those territories</t>
  </si>
  <si>
    <t>AMX + TotalPlay not going in</t>
  </si>
  <si>
    <t>Downtown Mexico City…but some regions in the North</t>
  </si>
  <si>
    <t>Where?</t>
  </si>
  <si>
    <t>40% of network is FTTH for AMX</t>
  </si>
  <si>
    <t>All major cities have FTTH</t>
  </si>
  <si>
    <t>Could also be Total Play</t>
  </si>
  <si>
    <t>Fibre economics better</t>
  </si>
  <si>
    <t>Started overlay</t>
  </si>
  <si>
    <t>Realised cheaper to do FTTH</t>
  </si>
  <si>
    <t>Good response</t>
  </si>
  <si>
    <t>initially</t>
  </si>
  <si>
    <t>subseq</t>
  </si>
  <si>
    <t>&gt;USD400m</t>
  </si>
  <si>
    <t>goal of 20% of sales in 2024…delayed a couple of years</t>
  </si>
  <si>
    <t>Stronger than in Q1 and Q2</t>
  </si>
  <si>
    <t>Altan financials</t>
  </si>
  <si>
    <t>Not affected</t>
  </si>
  <si>
    <t>Believe Altan will emerge stronger</t>
  </si>
  <si>
    <t>Q3 21 call</t>
  </si>
  <si>
    <t>Multi year program, FTTH in new cities</t>
  </si>
  <si>
    <t>Almost x2 the size of the company</t>
  </si>
  <si>
    <t>Market characteristics</t>
  </si>
  <si>
    <t>growth oppo for company</t>
  </si>
  <si>
    <t>not saturated markets</t>
  </si>
  <si>
    <t>Increasingly competitive environment</t>
  </si>
  <si>
    <t>Recovery of corporate segment</t>
  </si>
  <si>
    <t>&gt;30 Mbps up by 150%</t>
  </si>
  <si>
    <t>MEGA faster growth than market</t>
  </si>
  <si>
    <t>Impairment of Altan</t>
  </si>
  <si>
    <t>FTTH expansion</t>
  </si>
  <si>
    <t>Started already, in Guadalajara, Zapopan, certain areas surrounding Mexico City</t>
  </si>
  <si>
    <t>4-5 months ago</t>
  </si>
  <si>
    <t>Monterrey started, leveraging Metrocarrier metro fibre</t>
  </si>
  <si>
    <t>Capex with own cash generation, will still generate cash</t>
  </si>
  <si>
    <t>Ambitious plan</t>
  </si>
  <si>
    <t>Replicating 24,000 km in last 18 months, for use in other markets</t>
  </si>
  <si>
    <t>3-4 years</t>
  </si>
  <si>
    <t>Low 20%s after 3-4 years</t>
  </si>
  <si>
    <t>Doubling size</t>
  </si>
  <si>
    <t>10m today</t>
  </si>
  <si>
    <t>To 18-19m HPs in the future</t>
  </si>
  <si>
    <t>% to revenue, mid 30% initially, then lower after 3-4 years</t>
  </si>
  <si>
    <t>New markets?</t>
  </si>
  <si>
    <t>Not saying exactly</t>
  </si>
  <si>
    <t>Come where Metrocarrier exists, more in Mex city, Guad, Monterrey</t>
  </si>
  <si>
    <t>Everywhere to get to 9m extra HPs</t>
  </si>
  <si>
    <t>Much higher than MXN1 billion per year</t>
  </si>
  <si>
    <t>Naturally EBITDA should grow in relation to HPs</t>
  </si>
  <si>
    <t>MEGA adds more value to customers than peers</t>
  </si>
  <si>
    <t>Returns metrics for new expansion</t>
  </si>
  <si>
    <t>Unlevered IRR?</t>
  </si>
  <si>
    <t>Well in private, public partly also</t>
  </si>
  <si>
    <t>TV chat</t>
  </si>
  <si>
    <t>$400m to double size of company??</t>
  </si>
  <si>
    <t>$550-600m</t>
  </si>
  <si>
    <t>Underserved regions…?</t>
  </si>
  <si>
    <t>but competing against other providers</t>
  </si>
  <si>
    <t>Successful today, as compete against incumbent only</t>
  </si>
  <si>
    <t>Q3 cities launch by TV</t>
  </si>
  <si>
    <t>Dorango, Toluca already</t>
  </si>
  <si>
    <t>2m homes this year…takes some time to connect</t>
  </si>
  <si>
    <t>0.5m by H1, 1.3m by Q3</t>
  </si>
  <si>
    <t>Late April announcement</t>
  </si>
  <si>
    <t>Sept and Oct better…some fine tuning for pricing</t>
  </si>
  <si>
    <t>Q4 should show better impact</t>
  </si>
  <si>
    <t>17.8m after 2m</t>
  </si>
  <si>
    <t>2022 - too early to say</t>
  </si>
  <si>
    <t>difficult to say given vendor providers</t>
  </si>
  <si>
    <t>AT&amp;T 3m homes passed/year, 15m today..to get to 30m. Supply chain issues</t>
  </si>
  <si>
    <t>Mapping potential cities for next year, "nationwide footprint"</t>
  </si>
  <si>
    <t>2-3m homes out there still, to get to 20m</t>
  </si>
  <si>
    <t>500-2m for 2022</t>
  </si>
  <si>
    <t>Capex of $650-850m</t>
  </si>
  <si>
    <t>$600m ultimately as a sustainable level of capex from 2023</t>
  </si>
  <si>
    <t>Merger of equals</t>
  </si>
  <si>
    <t>&lt;1.5x to below 2x</t>
  </si>
  <si>
    <t>Could then buy back shares</t>
  </si>
  <si>
    <t>Leverage doesn't go up</t>
  </si>
  <si>
    <t>$1 billion - but this depends</t>
  </si>
  <si>
    <t>Could be more</t>
  </si>
  <si>
    <t>LR</t>
  </si>
  <si>
    <t>SKY</t>
  </si>
  <si>
    <t>(250 this year)</t>
  </si>
  <si>
    <t>850 long term</t>
  </si>
  <si>
    <t>UNI deal close</t>
  </si>
  <si>
    <t>Reg taking longer, close by YE (hopefully)</t>
  </si>
  <si>
    <t>restructuring, investment</t>
  </si>
  <si>
    <t>Prelim outlook for 2022</t>
  </si>
  <si>
    <t>Look set to see revs above $4 billion</t>
  </si>
  <si>
    <t>2022 revs growth great for TV-UNI</t>
  </si>
  <si>
    <t>EBITDA should be ~$1.6 billion</t>
  </si>
  <si>
    <t>certain costs coming in 2022</t>
  </si>
  <si>
    <t>Nov 4th</t>
  </si>
  <si>
    <t>UNI deals</t>
  </si>
  <si>
    <t>Launch</t>
  </si>
  <si>
    <t>AVOD</t>
  </si>
  <si>
    <t>first</t>
  </si>
  <si>
    <t>H1</t>
  </si>
  <si>
    <t>SVOD</t>
  </si>
  <si>
    <t>H2</t>
  </si>
  <si>
    <t>30 exclusive series</t>
  </si>
  <si>
    <t>US audience share</t>
  </si>
  <si>
    <t>Call with Esau</t>
  </si>
  <si>
    <t>18-19m by 2025</t>
  </si>
  <si>
    <t>larger cities</t>
  </si>
  <si>
    <t>2m homes per year</t>
  </si>
  <si>
    <t>Started yes, but very minimal</t>
  </si>
  <si>
    <t>Report HPs…activated</t>
  </si>
  <si>
    <t>Mex City, Monterrey, Zapopan</t>
  </si>
  <si>
    <t>2022, mid-30%</t>
  </si>
  <si>
    <t>decrease, &lt;30%</t>
  </si>
  <si>
    <t>lower 20%s</t>
  </si>
  <si>
    <t>2025/26</t>
  </si>
  <si>
    <t>~20% or below</t>
  </si>
  <si>
    <t>Capex, big project</t>
  </si>
  <si>
    <t>&gt;$400m</t>
  </si>
  <si>
    <t>Higher in the first years, $450-500m level</t>
  </si>
  <si>
    <t>Landscape</t>
  </si>
  <si>
    <t>Total Play different market, higher econ levels</t>
  </si>
  <si>
    <t>Telmex higher also</t>
  </si>
  <si>
    <t>MEGA lower</t>
  </si>
  <si>
    <t>Who is where?</t>
  </si>
  <si>
    <t>HFC for TV, AMX copper, Total Play,</t>
  </si>
  <si>
    <t>1st or 2nd player with fibre, don’t want to be the third</t>
  </si>
  <si>
    <t>Total Play plans</t>
  </si>
  <si>
    <t>15m by YE, 17m by early 2022</t>
  </si>
  <si>
    <t>25-30% is a good number to reach</t>
  </si>
  <si>
    <t>Some regions activated, not many, able to reach of 12-15% in a matter of months</t>
  </si>
  <si>
    <t>right now, yes, penetrating with sort of products. X-view plus</t>
  </si>
  <si>
    <t>Currently 40-45%</t>
  </si>
  <si>
    <t>Set top boxes</t>
  </si>
  <si>
    <t>Every order for CPE taking 52-60 weeks to be fulfilled</t>
  </si>
  <si>
    <t>Yes, difficult situation</t>
  </si>
  <si>
    <t>Cost of passing a home</t>
  </si>
  <si>
    <t>Using Metrocarrier</t>
  </si>
  <si>
    <t>New operations…where Metrocarrier</t>
  </si>
  <si>
    <t>Below…</t>
  </si>
  <si>
    <t>&lt; Total Play</t>
  </si>
  <si>
    <t>Passed $100</t>
  </si>
  <si>
    <t>Connect $250-300</t>
  </si>
  <si>
    <t>Total Play more complex</t>
  </si>
  <si>
    <t>Speakers included, Alexa system included</t>
  </si>
  <si>
    <t>Don't charge for set-top box</t>
  </si>
  <si>
    <t>GPON today…4m target for upgrade</t>
  </si>
  <si>
    <t xml:space="preserve">End June…45% of existing base, 85% of </t>
  </si>
  <si>
    <t>End-19, subs to migrate - 50% of base at that time</t>
  </si>
  <si>
    <t>1.4m to be migrated….4m homes passed</t>
  </si>
  <si>
    <t>Of the 4 to migrate, end this year get to &gt;85%</t>
  </si>
  <si>
    <t>700,000 end of June</t>
  </si>
  <si>
    <t xml:space="preserve">Other 4m </t>
  </si>
  <si>
    <t>Yes, will upgrade</t>
  </si>
  <si>
    <t>Not 2-3 years, maybe 7-8 years</t>
  </si>
  <si>
    <t>Board approval</t>
  </si>
  <si>
    <t>This month</t>
  </si>
  <si>
    <t>Developed in a period of 5-6 months</t>
  </si>
  <si>
    <t>Non fibre areas opportunity</t>
  </si>
  <si>
    <t>Televisa in Guad..?</t>
  </si>
  <si>
    <t>Nothing yet really</t>
  </si>
  <si>
    <t>Subs gained in Guad not so relevant</t>
  </si>
  <si>
    <t>TV adopting similar strategies (promotions being matched, Izzy has lowered rates)</t>
  </si>
  <si>
    <t>Nothing too differentiated</t>
  </si>
  <si>
    <t>Overlap</t>
  </si>
  <si>
    <t>High fibre in Guad..all overlap</t>
  </si>
  <si>
    <t xml:space="preserve">Izzy not following the same rule book, targeting </t>
  </si>
  <si>
    <t>Televisa has changed the most…Salvi " no real need to move into fibre"….start of year</t>
  </si>
  <si>
    <t>1m HPs for 2021, 50% there at end of June</t>
  </si>
  <si>
    <t>Merger</t>
  </si>
  <si>
    <t>MEGA has not changed its position on the matter</t>
  </si>
  <si>
    <t>Open to options…from anyone, inc LiLAC</t>
  </si>
  <si>
    <t>Could be some synergies</t>
  </si>
  <si>
    <t>MEGA not likely to take the first step</t>
  </si>
  <si>
    <t>Management not very frequently…CEO/CFO with Salvi regular chats</t>
  </si>
  <si>
    <t>impacted by his departure</t>
  </si>
  <si>
    <t>FY 21 call</t>
  </si>
  <si>
    <t>New footprint</t>
  </si>
  <si>
    <t>Capex for Q4 is in-line with project</t>
  </si>
  <si>
    <t>A lot of FTTH spend, should conclude in Q1 2022</t>
  </si>
  <si>
    <t>Expansion plan</t>
  </si>
  <si>
    <t>As planned</t>
  </si>
  <si>
    <t>Trialled to 3 markets, now planning and working on it</t>
  </si>
  <si>
    <t>3-4 years to double</t>
  </si>
  <si>
    <t>2022 - 40% of sales</t>
  </si>
  <si>
    <t>Huge number of kms, and HPs</t>
  </si>
  <si>
    <t>No guide</t>
  </si>
  <si>
    <t>double digits of revenue and EBITDA, you can count on that</t>
  </si>
  <si>
    <t>Subs - growth in 3 main services, with BB the bigger driver</t>
  </si>
  <si>
    <t>Growth in H2 mainly</t>
  </si>
  <si>
    <t>New areas</t>
  </si>
  <si>
    <t>Churn - a little higher initially</t>
  </si>
  <si>
    <t>No non-recurrent items</t>
  </si>
  <si>
    <t>No expansion spend yet</t>
  </si>
  <si>
    <t>Cost per km will be similar</t>
  </si>
  <si>
    <t>20 cities</t>
  </si>
  <si>
    <t>Government contracts stronger?</t>
  </si>
  <si>
    <t>seasonality often</t>
  </si>
  <si>
    <t>federal contracts</t>
  </si>
  <si>
    <t>portion of govt sales, &lt;20% of total Corporate, mostly in Hola (~40%)</t>
  </si>
  <si>
    <t>4 municipalities in Mexico City</t>
  </si>
  <si>
    <t>In the North…</t>
  </si>
  <si>
    <t>Will continue to look</t>
  </si>
  <si>
    <t>Inflation?</t>
  </si>
  <si>
    <t>ARPU will increase,</t>
  </si>
  <si>
    <t>New subs</t>
  </si>
  <si>
    <t>More products</t>
  </si>
  <si>
    <t>85% completion of GPON evolution (existing product)</t>
  </si>
  <si>
    <t>Will be finished in Q1</t>
  </si>
  <si>
    <t>Total capex for expansion plan</t>
  </si>
  <si>
    <t>USD200 per new subscriber</t>
  </si>
  <si>
    <t>USD50</t>
  </si>
  <si>
    <t>passed</t>
  </si>
  <si>
    <t>USD150</t>
  </si>
  <si>
    <t>connected</t>
  </si>
  <si>
    <t>2m HPs by YE 22, 9-10m in total</t>
  </si>
  <si>
    <t>24,000 km in 18 months</t>
  </si>
  <si>
    <t>Good Q</t>
  </si>
  <si>
    <t>Positive net adds continue</t>
  </si>
  <si>
    <t>Goal to grow RGUs…continues to increase</t>
  </si>
  <si>
    <t>Better adds in Q4</t>
  </si>
  <si>
    <t xml:space="preserve">Some cities - </t>
  </si>
  <si>
    <t>End Q3 - 11 new cities. Mex City, Monterrey, Sabopan - 15% or higher in &lt; 1 year</t>
  </si>
  <si>
    <t>More than 20 other cities. Pen significantly less at this stage</t>
  </si>
  <si>
    <t>Built the kms, not able to activiate</t>
  </si>
  <si>
    <t>Couldn't turn on networl, lacking electronics, components</t>
  </si>
  <si>
    <t>Pace was as expected..construction, sites, issues resolved</t>
  </si>
  <si>
    <t>700k HPs for Q4</t>
  </si>
  <si>
    <t>Discounting still in place for new territories</t>
  </si>
  <si>
    <t>Stable ARPU on Q3 22</t>
  </si>
  <si>
    <t>1/ Continue to open new cities, promotional</t>
  </si>
  <si>
    <t>Discount.. Monterrey</t>
  </si>
  <si>
    <t>100-150 peso discount, not more than 6 months</t>
  </si>
  <si>
    <t>2/ Price increase in December</t>
  </si>
  <si>
    <t>Announced in November</t>
  </si>
  <si>
    <t>1 month only in December</t>
  </si>
  <si>
    <t>2 increases per year</t>
  </si>
  <si>
    <t>Q1</t>
  </si>
  <si>
    <t>~ half</t>
  </si>
  <si>
    <t>Q4</t>
  </si>
  <si>
    <t>2-4%</t>
  </si>
  <si>
    <t>Below inflation</t>
  </si>
  <si>
    <t>As competition gets tougher, this will impact ARPU</t>
  </si>
  <si>
    <t>Market still growing on BB…video/telephony grow low pace</t>
  </si>
  <si>
    <t>most bundling</t>
  </si>
  <si>
    <t>No change to prices</t>
  </si>
  <si>
    <t>TotalPlay - waiting for competition…before moving</t>
  </si>
  <si>
    <t>Izzy - a little more aggressive where compete against MEGA</t>
  </si>
  <si>
    <t>retention strategies</t>
  </si>
  <si>
    <t>moved from nationwide to regional (MEGA has done for many years)</t>
  </si>
  <si>
    <t>think a small price increase…adding more for additional TV, video</t>
  </si>
  <si>
    <t>Q4 will be in-line with Q2/3</t>
  </si>
  <si>
    <t>Touch below the 40%</t>
  </si>
  <si>
    <t>Not trying to grow this.. Content creation</t>
  </si>
  <si>
    <t>Stable customer base…stable growth therefore</t>
  </si>
  <si>
    <t>Benefit from mass market roll out…offer corporate services also. Addressable market growing</t>
  </si>
  <si>
    <t xml:space="preserve">Project…helped support </t>
  </si>
  <si>
    <t>Q4 is usually good…conclude projects before YE</t>
  </si>
  <si>
    <t>MVNO business</t>
  </si>
  <si>
    <t>Last Q where continue with clean up of the base</t>
  </si>
  <si>
    <t>Televisa offer</t>
  </si>
  <si>
    <t>Offer was reviewed at Board level</t>
  </si>
  <si>
    <t>They decided</t>
  </si>
  <si>
    <t>Management and IR don't have all the specifics</t>
  </si>
  <si>
    <t>8 years of rumours</t>
  </si>
  <si>
    <t>MEGA has not changed message…possibility of doing something with Izzy or others</t>
  </si>
  <si>
    <t>If create value, will consider</t>
  </si>
  <si>
    <t>Board/co not closed</t>
  </si>
  <si>
    <t>Synergies - yes aware of this</t>
  </si>
  <si>
    <t>A matter of price</t>
  </si>
  <si>
    <t>19% premium</t>
  </si>
  <si>
    <t>cash dividend</t>
  </si>
  <si>
    <t>not enough to compensate for loss of control</t>
  </si>
  <si>
    <t>Willing to be a minority</t>
  </si>
  <si>
    <t>price</t>
  </si>
  <si>
    <t>First offer</t>
  </si>
  <si>
    <t>Not their best</t>
  </si>
  <si>
    <t>Rational for MEGA to reject</t>
  </si>
  <si>
    <t>TV under pressure</t>
  </si>
  <si>
    <t>AMEX increased the pace of fibre deployment</t>
  </si>
  <si>
    <t>MEGA and TV Boards v close pre deal</t>
  </si>
  <si>
    <t>Salvi had a good relationship</t>
  </si>
  <si>
    <t>Jose Antonio - a lot of history in public/private companies</t>
  </si>
  <si>
    <t>Agree with the synergies</t>
  </si>
  <si>
    <t>Not far off</t>
  </si>
  <si>
    <t>TotalPlay - not aware would hijack</t>
  </si>
  <si>
    <t>Couple of weeks…there should be some urgency</t>
  </si>
  <si>
    <t>Feb 20th week of</t>
  </si>
  <si>
    <t>Q4 22 call</t>
  </si>
  <si>
    <t>Pre Q1 23 chat w/ CFO</t>
  </si>
  <si>
    <t>Q1 23 call</t>
  </si>
  <si>
    <t>Pre Q2 23</t>
  </si>
  <si>
    <t>See continued good momentum on RGUs</t>
  </si>
  <si>
    <t>broadband</t>
  </si>
  <si>
    <t>focus on x3 sales. 80% of sales are triple-play, voice very cheap</t>
  </si>
  <si>
    <t>cheaper TV means still selling</t>
  </si>
  <si>
    <t>yes, still want to see soccer</t>
  </si>
  <si>
    <t>local league only limited on FTA, some exclusivity on ESPN/Fox</t>
  </si>
  <si>
    <t>activate another HPs</t>
  </si>
  <si>
    <t>2.5m in 2023</t>
  </si>
  <si>
    <t xml:space="preserve">900k in Q1, 900k in Q2. Moving to &gt;3m </t>
  </si>
  <si>
    <t>5m therefore in total</t>
  </si>
  <si>
    <t>3m left in 2024</t>
  </si>
  <si>
    <t>17.5m to 18m target</t>
  </si>
  <si>
    <t>Supply side issues</t>
  </si>
  <si>
    <t>Subs who are new…churners also</t>
  </si>
  <si>
    <t>Most from competition</t>
  </si>
  <si>
    <t>Mostly Telmex, Izzy also</t>
  </si>
  <si>
    <t>Price and X-view</t>
  </si>
  <si>
    <t>Discounts..</t>
  </si>
  <si>
    <t>Price increase in May</t>
  </si>
  <si>
    <t>3-3.5%</t>
  </si>
  <si>
    <t>~50%</t>
  </si>
  <si>
    <t>As of May…no significant increase in churn</t>
  </si>
  <si>
    <t>follows 2-4% in December</t>
  </si>
  <si>
    <t>~50% or so</t>
  </si>
  <si>
    <t>No comments in June, which is good</t>
  </si>
  <si>
    <t>Stopped building… focusing on penetration</t>
  </si>
  <si>
    <t>challenge of adding subs</t>
  </si>
  <si>
    <t>1-2 years for a more comfortable leverage position</t>
  </si>
  <si>
    <t>MEGA want to take advantage of this time</t>
  </si>
  <si>
    <t>Izzy trying to compete on price still in MEGA</t>
  </si>
  <si>
    <t>Valim</t>
  </si>
  <si>
    <t>Previously</t>
  </si>
  <si>
    <t>Not too aggressive, took time to get up to speed</t>
  </si>
  <si>
    <t>Some strategies…regional pricing was helpful</t>
  </si>
  <si>
    <t>Continue with positive trend</t>
  </si>
  <si>
    <t>FTTH - 52% end of Q1 migration</t>
  </si>
  <si>
    <t>54-55% by end of Q2</t>
  </si>
  <si>
    <t>Margins</t>
  </si>
  <si>
    <t>Natural deterioration</t>
  </si>
  <si>
    <t xml:space="preserve">legacy </t>
  </si>
  <si>
    <t>48-49%</t>
  </si>
  <si>
    <t>still reflects the inflationary pressures</t>
  </si>
  <si>
    <t>whenever see margin recovery….get back to 48%</t>
  </si>
  <si>
    <t>new</t>
  </si>
  <si>
    <t>lower…pen is lower</t>
  </si>
  <si>
    <t>Lowest level will be 44% consolidated</t>
  </si>
  <si>
    <t>2023 - higher as % sales</t>
  </si>
  <si>
    <t>MXN20-21….but peso lower</t>
  </si>
  <si>
    <t>Below previous spend due to FX</t>
  </si>
  <si>
    <t>85% of capex is USD</t>
  </si>
  <si>
    <t>Capex &gt;40% of sales , &lt; 2022 (43.5%)</t>
  </si>
  <si>
    <t>Could be perhaps a little lower as % sales</t>
  </si>
  <si>
    <t>HP &lt;$50 per home passed</t>
  </si>
  <si>
    <t>Connect - $150</t>
  </si>
  <si>
    <t>Goal is to reach 20% in 2 years</t>
  </si>
  <si>
    <t>Year 1 ~10%</t>
  </si>
  <si>
    <t>Mexico City…run rate is faster than that</t>
  </si>
  <si>
    <t>Some are lower</t>
  </si>
  <si>
    <t>Target is 30% ultimately</t>
  </si>
  <si>
    <t>Mexico City</t>
  </si>
  <si>
    <t>State of Mexico around the city</t>
  </si>
  <si>
    <t>Homes in state/surrounds…a lot of subs</t>
  </si>
  <si>
    <t>Targeted surroundings</t>
  </si>
  <si>
    <t>Lower income</t>
  </si>
  <si>
    <t>1.7x net debt to EBITDA… in H1 24</t>
  </si>
  <si>
    <t>Issue local notes, MXN7 billion last year. Based on program authority</t>
  </si>
  <si>
    <t>another MXN8 billion in H1 24</t>
  </si>
  <si>
    <t>So MXN15 billion in total</t>
  </si>
  <si>
    <t>Maturity end Q2 come and gone (MXN3.1 billion)</t>
  </si>
  <si>
    <t>bank loans</t>
  </si>
  <si>
    <t>increase in leverage</t>
  </si>
  <si>
    <t>High single digit funding</t>
  </si>
  <si>
    <t>Corporate side</t>
  </si>
  <si>
    <t>Similar to Q1</t>
  </si>
  <si>
    <t>Ho1a and Metro benefit from expansion plans</t>
  </si>
  <si>
    <t>Deceleration for HPs</t>
  </si>
  <si>
    <t>2.5m previously.. For 2023</t>
  </si>
  <si>
    <t>6m - 2.0m or so, moved target to &gt;3.0m</t>
  </si>
  <si>
    <t>0.6-0.7m per Q</t>
  </si>
  <si>
    <t>Sales force requirements</t>
  </si>
  <si>
    <t>Can’t hire enough people</t>
  </si>
  <si>
    <t>don’t want to push too quickly</t>
  </si>
  <si>
    <t>30,000 employees now</t>
  </si>
  <si>
    <t>Close to double digit. Should accelerate</t>
  </si>
  <si>
    <t>Pricing</t>
  </si>
  <si>
    <t>No significant impact on adds from price increases</t>
  </si>
  <si>
    <t>October - another price increase</t>
  </si>
  <si>
    <t>Valim..? Nothing really new from Izzy</t>
  </si>
  <si>
    <t>Izzy to be more cautious and conservative</t>
  </si>
  <si>
    <t>Subs coming from TPLAY and Izzy, more so than AMX</t>
  </si>
  <si>
    <t>AMX cheaper and investing more</t>
  </si>
  <si>
    <t>Q3 similar to Q2</t>
  </si>
  <si>
    <t>Q4 is normaly weaker</t>
  </si>
  <si>
    <t>36-38% capex/sales…helped by the peso</t>
  </si>
  <si>
    <t>400,000 upgrade to FTTH from HFC</t>
  </si>
  <si>
    <t>60% FTTH for 2023</t>
  </si>
  <si>
    <t>&gt;70% FTTH for 2024</t>
  </si>
  <si>
    <t>Desire to be 100% fibre network</t>
  </si>
  <si>
    <t>TV overlap</t>
  </si>
  <si>
    <t>~40% of MEGA overlapping</t>
  </si>
  <si>
    <t>TV FTTH network overlap with MEGA very low</t>
  </si>
  <si>
    <t>Weakened by the government</t>
  </si>
  <si>
    <t>AMX relationship with government v good</t>
  </si>
  <si>
    <t>Pay TV licence by mid-24…?</t>
  </si>
  <si>
    <t>not so relevance</t>
  </si>
  <si>
    <t>By laws update - Jan 2024</t>
  </si>
  <si>
    <t xml:space="preserve">In terms of Mega the Company and CEO have made it consistently very clear they have no interest in taking it private. Moreover, if that was their plan they’d be much better off buying back stock and increasing their ownership at this low price than giving a large dividend. </t>
  </si>
  <si>
    <r>
      <t xml:space="preserve">Importantly, I’d also add that in the mega by-laws if any new investor, current shareholder, the Bours family, or the controlling group, decided to purchase &gt;20% of the shares in the company, they would be subject to paying a 30% premium over i) book value, ii) the highest price they previously paid for the shares, or iii) the highest trading price in the last 365 days; </t>
    </r>
    <r>
      <rPr>
        <b/>
        <u/>
        <sz val="11"/>
        <color theme="1"/>
        <rFont val="Calibri"/>
        <family val="2"/>
        <scheme val="minor"/>
      </rPr>
      <t>whichever is higher.</t>
    </r>
  </si>
  <si>
    <t>I note that Bachoco did not have the same poison pill bylaws as Megacable and it had always been suggested they would delist Bachoco. With Mega today, they would have to pay about MXN80/share in a tender offer as of today (30% over the highest price at which the stock traded at during the last 365 days) once they purchased 20% of shares that would trigger the abovementioned clause.</t>
  </si>
  <si>
    <t>Issuing remaining MXN8 billion of MXN15 billion before elections</t>
  </si>
  <si>
    <t>Debt levels…? Don't know how much re short and long-term… long-term</t>
  </si>
  <si>
    <t>variable t + 25 bpsm, 10.5% on fixed</t>
  </si>
  <si>
    <t>similar trends.. Q4 tends to have higher</t>
  </si>
  <si>
    <t>margin - said expansion territories… seasonality impact in q4</t>
  </si>
  <si>
    <t>corporate a little soft…plus a tough comp</t>
  </si>
  <si>
    <t xml:space="preserve">cable margins should be ok </t>
  </si>
  <si>
    <t>tv deal with charter</t>
  </si>
  <si>
    <t>no impact</t>
  </si>
  <si>
    <t>izzy focus on profitability</t>
  </si>
  <si>
    <t>amx perhaps more aggressive</t>
  </si>
  <si>
    <t>no price changes here</t>
  </si>
  <si>
    <t>q4 not so promotional</t>
  </si>
  <si>
    <t>HPs - similar to q3</t>
  </si>
  <si>
    <t>1m HPs</t>
  </si>
  <si>
    <t>2024 - lower than 2023</t>
  </si>
  <si>
    <t>less HPs</t>
  </si>
  <si>
    <t>FX helping, been stronger</t>
  </si>
  <si>
    <t>fy 23</t>
  </si>
  <si>
    <t>~40% capex/revs, a touch higher</t>
  </si>
  <si>
    <t>peso - similar to q3</t>
  </si>
  <si>
    <t>fy 24</t>
  </si>
  <si>
    <t>14.5m by q3 - 18m</t>
  </si>
  <si>
    <t>by h1 25</t>
  </si>
  <si>
    <t>15.5m</t>
  </si>
  <si>
    <t>2.5m / 18 months</t>
  </si>
  <si>
    <t>average</t>
  </si>
  <si>
    <t>H2 24</t>
  </si>
  <si>
    <t xml:space="preserve">HP </t>
  </si>
  <si>
    <t>15% up in FY 24…up 5%</t>
  </si>
  <si>
    <t>hp + eq</t>
  </si>
  <si>
    <t>$200 in total</t>
  </si>
  <si>
    <t>will increase</t>
  </si>
  <si>
    <t>main part is $</t>
  </si>
  <si>
    <t>capex - on the low side</t>
  </si>
  <si>
    <t>mxn capex same in Q3</t>
  </si>
  <si>
    <t>televisa talks?</t>
  </si>
  <si>
    <t>no changes here</t>
  </si>
  <si>
    <t>no real comments on the roadshow</t>
  </si>
  <si>
    <t>promos</t>
  </si>
  <si>
    <t>50% for 12m…initially</t>
  </si>
  <si>
    <t>6m…3m only for &lt;50%</t>
  </si>
  <si>
    <t>momentum is building</t>
  </si>
  <si>
    <t xml:space="preserve">net adds </t>
  </si>
  <si>
    <t>new territories, positive, for sept</t>
  </si>
  <si>
    <t>expansion territories</t>
  </si>
  <si>
    <t>of &gt;12m of ops</t>
  </si>
  <si>
    <t>14-16%</t>
  </si>
  <si>
    <t>election</t>
  </si>
  <si>
    <t>amlo not touched the sector</t>
  </si>
  <si>
    <t>MEGA Q1 24</t>
  </si>
  <si>
    <t>Raised MXN4 billion</t>
  </si>
  <si>
    <t>Peak leverage of 1.6-1.7x</t>
  </si>
  <si>
    <t>2024 - try and complete construction phase</t>
  </si>
  <si>
    <t>No other plans except expansion right now</t>
  </si>
  <si>
    <t>MXN2.6 billion</t>
  </si>
  <si>
    <t>20% of EBITDA in 2023</t>
  </si>
  <si>
    <t>Top of publicly traded in Mexico for dividend</t>
  </si>
  <si>
    <t>New territories</t>
  </si>
  <si>
    <t>no increase in churn</t>
  </si>
  <si>
    <t>Margin expansion</t>
  </si>
  <si>
    <t>High pen in new territories</t>
  </si>
  <si>
    <t>In legacy..no impact here</t>
  </si>
  <si>
    <t>will continue to recover margins until 2027</t>
  </si>
  <si>
    <t>32-34% capex / sales</t>
  </si>
  <si>
    <t>20% by 2027</t>
  </si>
  <si>
    <t>More capital raise</t>
  </si>
  <si>
    <t>not expecting another bond</t>
  </si>
  <si>
    <t>use bank credit lines if needed</t>
  </si>
  <si>
    <t>Not &gt;1.6x net debt to EBITDA</t>
  </si>
  <si>
    <t>1/ IT/cloud - steady</t>
  </si>
  <si>
    <t>2/ Govt / corporate - volatile</t>
  </si>
  <si>
    <t>MCM - turning around will provide positive</t>
  </si>
  <si>
    <t>SMB ruling</t>
  </si>
  <si>
    <t>Mirror ruling with Televisa, who turned it down</t>
  </si>
  <si>
    <t>Networks are from Axtel 4-5 years ago</t>
  </si>
  <si>
    <t>Ignored DTC offerings</t>
  </si>
  <si>
    <t>EBITDA margin 2027?</t>
  </si>
  <si>
    <t>47-48% 2027/28</t>
  </si>
  <si>
    <t>FX impact</t>
  </si>
  <si>
    <t>MXN won't stay at 17, will likely move up to 19 or so</t>
  </si>
  <si>
    <t>All guide reflects the weaker FX assumption</t>
  </si>
  <si>
    <t>Pro-forma Cable</t>
  </si>
  <si>
    <t>New Co Revenue</t>
  </si>
  <si>
    <t>Pre synergy EBITDA</t>
  </si>
  <si>
    <t>Synergy</t>
  </si>
  <si>
    <t>Post-synergy EBITDA</t>
  </si>
  <si>
    <t>Interest rate</t>
  </si>
  <si>
    <t>Financial expenses</t>
  </si>
  <si>
    <t>TV intangible capex</t>
  </si>
  <si>
    <t>Lease costs TV</t>
  </si>
  <si>
    <t>Lease costs MEGA</t>
  </si>
  <si>
    <t>`</t>
  </si>
  <si>
    <t>Net debt (pf for MEGA payout)</t>
  </si>
  <si>
    <t xml:space="preserve"> - of which TV leases</t>
  </si>
  <si>
    <t xml:space="preserve"> - of which MEGA leases</t>
  </si>
  <si>
    <t xml:space="preserve"> - of which financial debt</t>
  </si>
  <si>
    <t xml:space="preserve">MEGA dividend yield </t>
  </si>
  <si>
    <t>DCF, MXN million</t>
  </si>
  <si>
    <t>g</t>
  </si>
  <si>
    <t>NPV FCFs</t>
  </si>
  <si>
    <t>Term value</t>
  </si>
  <si>
    <t>PV terminal value</t>
  </si>
  <si>
    <t>Implied target EV/EBITDA</t>
  </si>
  <si>
    <t>Net debt 2024e</t>
  </si>
  <si>
    <t>per share</t>
  </si>
  <si>
    <t>Minorities MEGA</t>
  </si>
  <si>
    <t>Minorities TV</t>
  </si>
  <si>
    <t>Upside</t>
  </si>
  <si>
    <t>Fair value per MEGA share</t>
  </si>
  <si>
    <t>Share of equity</t>
  </si>
  <si>
    <t>MEGA share of equity</t>
  </si>
  <si>
    <t>MEGA value per share</t>
  </si>
  <si>
    <t>Dividend per share (after tax)</t>
  </si>
  <si>
    <t>Equity per share</t>
  </si>
  <si>
    <t>TV stake in Cable Co</t>
  </si>
  <si>
    <t>Stake in $</t>
  </si>
  <si>
    <t>MEGA / NewCo equity</t>
  </si>
  <si>
    <t>TV's 55% share</t>
  </si>
  <si>
    <t>Deconsolidated debt</t>
  </si>
  <si>
    <t>Value to TV following deal</t>
  </si>
  <si>
    <t>EV cable today</t>
  </si>
  <si>
    <t>Mins</t>
  </si>
  <si>
    <t>Izzy equity fair value today</t>
  </si>
  <si>
    <t>Upside to TV</t>
  </si>
  <si>
    <t>Upside in USD</t>
  </si>
  <si>
    <t>TV per share upside</t>
  </si>
  <si>
    <t>Prob weighed</t>
  </si>
  <si>
    <t>Upside in target</t>
  </si>
  <si>
    <t>Price at 2022 low's</t>
  </si>
  <si>
    <t>Megacable MXN mn</t>
  </si>
  <si>
    <t>HP</t>
  </si>
  <si>
    <t>Customers</t>
  </si>
  <si>
    <t>Fixed Tel</t>
  </si>
  <si>
    <t>Revenues:</t>
  </si>
  <si>
    <t>Cable fixed service</t>
  </si>
  <si>
    <t>Total service</t>
  </si>
  <si>
    <t>B2B</t>
  </si>
  <si>
    <t xml:space="preserve">Total  </t>
  </si>
  <si>
    <t>Programming % video revenues</t>
  </si>
  <si>
    <t>Franchise fees % revenues</t>
  </si>
  <si>
    <t>Cable rev = mass market + metrocarrier</t>
  </si>
  <si>
    <t>Q3 25</t>
  </si>
  <si>
    <t>Calc ARPU</t>
  </si>
  <si>
    <t>Q4 25</t>
  </si>
  <si>
    <t>TV retail EBITDA</t>
  </si>
  <si>
    <t>Megacable (Mass mkt)</t>
  </si>
  <si>
    <t>Televisa (Retail)</t>
  </si>
  <si>
    <t>Telmex (AMX)</t>
  </si>
  <si>
    <t>ARPU new methodology</t>
  </si>
  <si>
    <t>Households</t>
  </si>
  <si>
    <t>1QFY-2026</t>
  </si>
  <si>
    <t>Q1 26e</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</si>
  <si>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</si>
  <si>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</si>
  <si>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</si>
  <si>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</si>
  <si>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</si>
  <si>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</si>
  <si>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</si>
  <si>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</si>
  <si>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</si>
  <si>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</si>
  <si>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</si>
  <si>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</si>
  <si>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</si>
  <si>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</si>
  <si>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</si>
  <si>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</si>
  <si>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</si>
  <si>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</si>
  <si>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</si>
  <si>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</si>
  <si>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</si>
  <si>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</si>
  <si>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</si>
  <si>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</si>
  <si>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</si>
  <si>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</si>
  <si>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</si>
  <si>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</si>
  <si>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</si>
  <si>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</si>
  <si>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</si>
  <si>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</si>
  <si>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</si>
  <si>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</si>
  <si>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</si>
  <si>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</si>
  <si>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</si>
  <si>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</si>
  <si>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</si>
  <si>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</si>
  <si>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</si>
  <si>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</si>
  <si>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</si>
  <si>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</si>
  <si>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</si>
  <si>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</si>
  <si>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</si>
  <si>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</si>
  <si>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</si>
  <si>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</si>
  <si>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</si>
  <si>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</si>
  <si>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</si>
  <si>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</si>
  <si>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</si>
  <si>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</si>
  <si>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</si>
  <si>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1Q24</t>
  </si>
  <si>
    <t>2Q24</t>
  </si>
  <si>
    <t>3Q24</t>
  </si>
  <si>
    <t>4Q24</t>
  </si>
  <si>
    <t>1Q25</t>
  </si>
  <si>
    <t>2Q25</t>
  </si>
  <si>
    <t>3Q25</t>
  </si>
  <si>
    <t>4Q25</t>
  </si>
  <si>
    <t>1Q26</t>
  </si>
  <si>
    <t>2Q26</t>
  </si>
  <si>
    <t>3Q26</t>
  </si>
  <si>
    <t>4Q26</t>
  </si>
  <si>
    <t>Deal upside @ 0% probability</t>
  </si>
  <si>
    <t>Labour obligations</t>
  </si>
  <si>
    <t>2026e net debt adj</t>
  </si>
  <si>
    <t>Less change in WC</t>
  </si>
  <si>
    <t>25-28E</t>
  </si>
  <si>
    <t>Less: Associates</t>
  </si>
  <si>
    <t>Reported chg in WC</t>
  </si>
  <si>
    <t>Q1 26</t>
  </si>
  <si>
    <t>Calc ARPU old method</t>
  </si>
  <si>
    <t>ARPU old method</t>
  </si>
  <si>
    <t>Corporate &amp; other</t>
  </si>
  <si>
    <t>Corporate, carrier &amp; other</t>
  </si>
  <si>
    <t>DPS per A share</t>
  </si>
  <si>
    <t>Dividend payments in CF statement</t>
  </si>
  <si>
    <t>Less: Lease payments amortised</t>
  </si>
  <si>
    <t>Consensus DPS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</si>
</sst>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_-;\-* #,##0_-;_-* &quot;-&quot;??_-;_-@_-"/>
    <numFmt numFmtId="165" formatCode="0.0%"/>
    <numFmt numFmtId="166" formatCode="_-* #,##0.0_-;\-* #,##0.0_-;_-* &quot;-&quot;??_-;_-@_-"/>
    <numFmt numFmtId="167" formatCode="_-* #,##0_-;\-* #,##0_-;_-* &quot;-&quot;?_-;_-@_-"/>
    <numFmt numFmtId="168" formatCode="#,##0;\(#,##0\)"/>
    <numFmt numFmtId="169" formatCode="0.0"/>
    <numFmt numFmtId="170" formatCode="#,##0.0"/>
    <numFmt numFmtId="171" formatCode="#,##0.0_);\(#,##0.0\)"/>
    <numFmt numFmtId="172" formatCode="&quot;$&quot;_(#,##0.00_);&quot;$&quot;\(#,##0.00\)"/>
    <numFmt numFmtId="173" formatCode="#,##0.0_)\x;\(#,##0.0\)\x"/>
    <numFmt numFmtId="174" formatCode="#,##0.0_)_x;\(#,##0.0\)_x"/>
    <numFmt numFmtId="175" formatCode="0.0_)\%;\(0.0\)\%"/>
    <numFmt numFmtId="176" formatCode="#,##0.0_)_%;\(#,##0.0\)_%"/>
    <numFmt numFmtId="177" formatCode="0.000%"/>
    <numFmt numFmtId="178" formatCode="#,##0.00\ &quot;Kč&quot;;[Red]\-#,##0.00\ &quot;Kč&quot;"/>
    <numFmt numFmtId="179" formatCode="0_);\(0\)"/>
    <numFmt numFmtId="180" formatCode="0&quot;E&quot;;\(0\)&quot;E&quot;"/>
    <numFmt numFmtId="181" formatCode="_(* #,##0.00_);_(* \(#,##0.00\);_(* &quot;-&quot;??_);_(@_)"/>
    <numFmt numFmtId="182" formatCode="#,##0.000_);[Red]\(#,##0.000\)"/>
    <numFmt numFmtId="183" formatCode="#,##0.00_);[Red]\-#,##0.00_);0.00_);@_)"/>
    <numFmt numFmtId="184" formatCode="0.00_);\(0.00\);0.00"/>
    <numFmt numFmtId="185" formatCode="_-\€* #,##0.00_-;\-\€* #,##0.00_-;_-\€* &quot;-&quot;??_-;_-@_-"/>
    <numFmt numFmtId="186" formatCode="* _(#,##0.00_);[Red]* \(#,##0.00\);* _(&quot;-&quot;?_);@_)"/>
    <numFmt numFmtId="187" formatCode="_-\€* #,##0_-;\-\€* #,##0_-;_-\€* &quot;-&quot;_-;_-@_-"/>
    <numFmt numFmtId="188" formatCode="0.0%_);\(0.0%\)_)"/>
    <numFmt numFmtId="189" formatCode="&quot;$&quot;#,##0.00_);[Red]\(&quot;$&quot;#,##0.00\)"/>
    <numFmt numFmtId="190" formatCode="\$\ * _(#,##0_);[Red]\$\ * \(#,##0\);\$\ * _(&quot;-&quot;?_);@_)"/>
    <numFmt numFmtId="191" formatCode="\$\ * _(#,##0.00_);[Red]\$\ * \(#,##0.00\);\$\ * _(&quot;-&quot;?_);@_)"/>
    <numFmt numFmtId="192" formatCode="[$EUR]\ * _(#,##0_);[Red][$EUR]\ * \(#,##0\);[$EUR]\ * _(&quot;-&quot;?_);@_)"/>
    <numFmt numFmtId="193" formatCode="[$EUR]\ * _(#,##0.00_);[Red][$EUR]\ * \(#,##0.00\);[$EUR]\ * _(&quot;-&quot;?_);@_)"/>
    <numFmt numFmtId="194" formatCode="\€\ * _(#,##0_);[Red]\€\ * \(#,##0\);\€\ * _(&quot;-&quot;?_);@_)"/>
    <numFmt numFmtId="195" formatCode="\€\ * _(#,##0.00_);[Red]\€\ * \(#,##0.00\);\€\ * _(&quot;-&quot;?_);@_)"/>
    <numFmt numFmtId="196" formatCode="[$GBP]\ * _(#,##0_);[Red][$GBP]\ * \(#,##0\);[$GBP]\ * _(&quot;-&quot;?_);@_)"/>
    <numFmt numFmtId="197" formatCode="[$GBP]\ * _(#,##0.00_);[Red][$GBP]\ * \(#,##0.00\);[$GBP]\ * _(&quot;-&quot;?_);@_)"/>
    <numFmt numFmtId="198" formatCode="\£\ * _(#,##0_);[Red]\£\ * \(#,##0\);\£\ * _(&quot;-&quot;?_);@_)"/>
    <numFmt numFmtId="199" formatCode="\£\ * _(#,##0.00_);[Red]\£\ * \(#,##0.00\);\£\ * _(&quot;-&quot;?_);@_)"/>
    <numFmt numFmtId="200" formatCode="[$USD]\ * _(#,##0_);[Red][$USD]\ * \(#,##0\);[$USD]\ * _(&quot;-&quot;?_);@_)"/>
    <numFmt numFmtId="201" formatCode="[$USD]\ * _(#,##0.00_);[Red][$USD]\ * \(#,##0.00\);[$USD]\ * _(&quot;-&quot;?_);@_)"/>
    <numFmt numFmtId="202" formatCode="&quot;$&quot;#,##0.00000000000000000000000000_);[Red]\(&quot;$&quot;#,##0.00000000000000000000000000\)"/>
    <numFmt numFmtId="203" formatCode="mmm\ yy_)"/>
    <numFmt numFmtId="204" formatCode="yyyy_)"/>
    <numFmt numFmtId="205" formatCode="#,##0.000;\(#,##0.000\)"/>
    <numFmt numFmtId="206" formatCode="#,##0.00;\(#,##0.00\)"/>
    <numFmt numFmtId="207" formatCode="yyyy"/>
    <numFmt numFmtId="208" formatCode="#,##0_);\(#,##0\);0_)"/>
    <numFmt numFmtId="209" formatCode="#,##0.0000_);[Red]\(#,##0.0000\);0.0000_)"/>
    <numFmt numFmtId="210" formatCode="&quot;$&quot;#,##0_);[Red]\(&quot;$&quot;#,##0\)"/>
    <numFmt numFmtId="211" formatCode="00000"/>
    <numFmt numFmtId="212" formatCode="&quot;$&quot;#,##0.00&quot;A&quot;;[Red]\(&quot;$&quot;#,##0.00\)&quot;A&quot;"/>
    <numFmt numFmtId="213" formatCode="&quot;$&quot;#,##0.00&quot;E&quot;;[Red]\(&quot;$&quot;#,##0.00\)&quot;E&quot;"/>
    <numFmt numFmtId="214" formatCode="_-[$€]* #,##0.00_-;\-[$€]* #,##0.00_-;_-[$€]* &quot;-&quot;??_-;_-@_-"/>
    <numFmt numFmtId="215" formatCode="#\ ##0.0"/>
    <numFmt numFmtId="216" formatCode="#,##0.0_);[Red]\(#,##0.0\)"/>
    <numFmt numFmtId="217" formatCode="0.0%_);[Red]\(0.0%\)"/>
    <numFmt numFmtId="218" formatCode="#,##0.0;\(#,##0.0\)"/>
    <numFmt numFmtId="219" formatCode="0.00%;\(0.00%\)"/>
    <numFmt numFmtId="220" formatCode="###0"/>
    <numFmt numFmtId="221" formatCode="#,##0_);[Red]\-#,##0_);0_);@_)"/>
    <numFmt numFmtId="222" formatCode="General_)"/>
    <numFmt numFmtId="223" formatCode="0.00_);\(0.00\);0.00_)"/>
    <numFmt numFmtId="224" formatCode="#,##0\ ;\(#,##0\);\ \-\ "/>
    <numFmt numFmtId="225" formatCode="0.0%;0.0%;\-\ "/>
    <numFmt numFmtId="226" formatCode="0.0%_);\(0.0%\)"/>
    <numFmt numFmtId="227" formatCode="_-* #,##0_ _F_-;\-* #,##0_ _F_-;_-* &quot;-&quot;_ _F_-;_-@_-"/>
    <numFmt numFmtId="228" formatCode="#,##0.00_);[Red]\(#,##0.00\);0.00_)"/>
    <numFmt numFmtId="229" formatCode="_-* #,##0.00_ _F_-;\-* #,##0.00_ _F_-;_-* &quot;-&quot;??_ _F_-;_-@_-"/>
    <numFmt numFmtId="230" formatCode="_-* #,##0&quot; F&quot;_-;\-* #,##0&quot; F&quot;_-;_-* &quot;-&quot;&quot; F&quot;_-;_-@_-"/>
    <numFmt numFmtId="231" formatCode="#,##0.00_)&quot; F&quot;;[Red]\(#,##0.00\)&quot; F&quot;;0.00_)&quot; F&quot;"/>
    <numFmt numFmtId="232" formatCode="_-* #,##0.00&quot; F&quot;_-;\-* #,##0.00&quot; F&quot;_-;_-* &quot;-&quot;??&quot; F&quot;_-;_-@_-"/>
    <numFmt numFmtId="233" formatCode="_ * #,##0.00_ ;_ * \-#,##0.00_ ;_ * &quot;-&quot;??_ ;_ @_ "/>
    <numFmt numFmtId="234" formatCode="_-* #,##0.00\ _K_č_-;\-* #,##0.00\ _K_č_-;_-* &quot;-&quot;??\ _K_č_-;_-@_-"/>
    <numFmt numFmtId="235" formatCode="0.0000"/>
    <numFmt numFmtId="236" formatCode="#,##0_);\(#,##0\);;"/>
    <numFmt numFmtId="237" formatCode="#,##0.0000;\(#,##0.0000\)"/>
    <numFmt numFmtId="238" formatCode="#,##0%;[Red]\-#,##0%;0%;@_)"/>
    <numFmt numFmtId="239" formatCode="#,##0.00%;[Red]\-#,##0.00%;0.00%;@_)"/>
    <numFmt numFmtId="240" formatCode="0%;[Red]\-0%"/>
    <numFmt numFmtId="241" formatCode="0.00\%;\-0.00\%;0.00\%"/>
    <numFmt numFmtId="242" formatCode="0.00%_);\(0.00%\)"/>
    <numFmt numFmtId="243" formatCode="#.0"/>
    <numFmt numFmtId="244" formatCode="&quot;kr&quot;\ #,##0_);[Red]\(&quot;kr&quot;\ #,##0\)"/>
    <numFmt numFmtId="245" formatCode="0.00\x;\-0.00\x;0.00\x"/>
    <numFmt numFmtId="246" formatCode="##0.00000"/>
    <numFmt numFmtId="247" formatCode="0\.00%;[Red]\-0\.00%"/>
    <numFmt numFmtId="248" formatCode="0.0000%"/>
    <numFmt numFmtId="249" formatCode="#,##0.00_)\ \x;\(#,##0.00\)\ \x"/>
    <numFmt numFmtId="250" formatCode="&quot;kr&quot;\ #,##0.00_);[Red]\(&quot;kr&quot;\ #,##0.00\)"/>
    <numFmt numFmtId="251" formatCode="_(* #,##0_);_(* \(#,##0\);_(* &quot;-&quot;_);_(@_)"/>
    <numFmt numFmtId="252" formatCode="#,##0.0\ ;\(#,##0.0\)"/>
    <numFmt numFmtId="253" formatCode="_(&quot;$&quot;* #,##0_);_(&quot;$&quot;* \(#,##0\);_(&quot;$&quot;* &quot;-&quot;_);_(@_)"/>
    <numFmt numFmtId="254" formatCode="#,##0.00\ ;\(#,##0.00\)"/>
    <numFmt numFmtId="255" formatCode="0.00\x"/>
    <numFmt numFmtId="256" formatCode="\$#,##0&quot;mn&quot;;\-&quot;£&quot;#,##0&quot;mn&quot;"/>
    <numFmt numFmtId="257" formatCode="#,##0_);\(#,##0\);#,##0_);@_)"/>
    <numFmt numFmtId="258" formatCode="_(* #,##0_);_(* \(#,##0\);_(* &quot;-&quot;??_);_(@_)"/>
    <numFmt numFmtId="259" formatCode="0.0\x"/>
    <numFmt numFmtId="260" formatCode="_(&quot;$&quot;* #,##0.00_);_(&quot;$&quot;* \(#,##0.00\);_(&quot;$&quot;* &quot;-&quot;??_);_(@_)"/>
    <numFmt numFmtId="261" formatCode="_([$€-2]* #,##0.00_);_([$€-2]* \(#,##0.00\);_([$€-2]* &quot;-&quot;??_)"/>
    <numFmt numFmtId="262" formatCode="0.0_)\%;\(0.0\)\%;0.0_)\%;@_)_%"/>
    <numFmt numFmtId="263" formatCode="#,##0.0_)_%;\(#,##0.0\)_%;0.0_)_%;@_)_%"/>
    <numFmt numFmtId="264" formatCode="#,##0.0_);\(#,##0.0\);#,##0.0_);@_)"/>
    <numFmt numFmtId="265" formatCode="&quot;R$ &quot;_(#,##0.00_);&quot;R$ &quot;\(#,##0.00\);&quot;R$ &quot;_(0.00_);@_)"/>
    <numFmt numFmtId="266" formatCode="&quot;R$ &quot;_(#,##0.00_);&quot;R$ &quot;\(#,##0.00\)"/>
    <numFmt numFmtId="267" formatCode="#,##0.00_);\(#,##0.00\);0.00_);@_)"/>
    <numFmt numFmtId="268" formatCode="\€_(#,##0.00_);\€\(#,##0.00\);\€_(0.00_);@_)"/>
    <numFmt numFmtId="269" formatCode="#,##0_)\x;\(#,##0\)\x;0_)\x;@_)_x"/>
    <numFmt numFmtId="270" formatCode="#,##0_)_x;\(#,##0\)_x;0_)_x;@_)_x"/>
    <numFmt numFmtId="271" formatCode="0.00&quot;x&quot;"/>
    <numFmt numFmtId="272" formatCode="&quot;R$ &quot;#,##0.0_);\(&quot;R$ &quot;#,##0.0\)"/>
    <numFmt numFmtId="273" formatCode="#,##0.0_);\(#,##0.0\);\-\ \ \ \ \ "/>
    <numFmt numFmtId="274" formatCode="&quot;R$ &quot;#,##0;[Red]\-&quot;R$ &quot;#,##0"/>
    <numFmt numFmtId="275" formatCode="mmmmddyyyy"/>
    <numFmt numFmtId="276" formatCode="yyyymmmmdd"/>
    <numFmt numFmtId="277" formatCode="#,##0.000_);\(#,##0.000\)"/>
    <numFmt numFmtId="278" formatCode="&quot;R$ &quot;#,##0.00;[Red]\-&quot;R$ &quot;#,##0.00"/>
    <numFmt numFmtId="279" formatCode="&quot;R$ &quot;#,##0.00;\-&quot;R$ &quot;#,##0.00"/>
    <numFmt numFmtId="280" formatCode="#\ ##0\ "/>
    <numFmt numFmtId="281" formatCode="0.0_);\(0.0\)"/>
    <numFmt numFmtId="282" formatCode="#,##0\ ;\(#,##0\)\ "/>
    <numFmt numFmtId="283" formatCode="&quot;R$ &quot;#,##0.00_);[Red]\(&quot;R$ &quot;#,##0.00\)"/>
    <numFmt numFmtId="284" formatCode="_(&quot;R$ &quot;* #,##0.0_);_(&quot;R$ &quot;* \(#,##0.0\);_(&quot;R$ &quot;* &quot;-&quot;??_);_(@_)"/>
    <numFmt numFmtId="285" formatCode="_(&quot;R$ &quot;* #,##0.00_);_(&quot;R$ &quot;* \(#,##0.00\);_(&quot;R$ &quot;* &quot;-&quot;??_);_(@_)"/>
    <numFmt numFmtId="286" formatCode="0.0&quot;x&quot;"/>
    <numFmt numFmtId="287" formatCode="&quot;R$ &quot;#,##0.0_);[Red]\(&quot;R$ &quot;#,##0.0\)"/>
    <numFmt numFmtId="288" formatCode="0.0_)"/>
    <numFmt numFmtId="289" formatCode="#,##0.0000_);\(#,##0.0000\)"/>
    <numFmt numFmtId="290" formatCode="_-* #,##0.00\ _P_t_s_-;\-* #,##0.00\ _P_t_s_-;_-* &quot;-&quot;??\ _P_t_s_-;_-@_-"/>
    <numFmt numFmtId="291" formatCode="#,#00"/>
    <numFmt numFmtId="292" formatCode="_(* #,##0.00000_);_(* \(#,##0.00000\);_(* &quot;-&quot;??_);_(@_)"/>
    <numFmt numFmtId="293" formatCode=";;"/>
    <numFmt numFmtId="294" formatCode="#,##0;[Red]&quot;-&quot;#,##0"/>
    <numFmt numFmtId="295" formatCode="#,##0\x_);\(#,##0\x\)"/>
    <numFmt numFmtId="296" formatCode="#,##0%_);\(#,##0%\)"/>
    <numFmt numFmtId="297" formatCode="&quot;$&quot;#,##0_);\(&quot;$&quot;#,##0\)"/>
    <numFmt numFmtId="298" formatCode="d\.mmm\.yy"/>
    <numFmt numFmtId="299" formatCode="_-* #,##0\ _F_-;\-* #,##0\ _F_-;_-* &quot;-&quot;\ _F_-;_-@_-"/>
    <numFmt numFmtId="300" formatCode="_(&quot;R$ &quot;* #,##0_);_(&quot;R$ &quot;* \(#,##0\);_(&quot;R$ &quot;* &quot;-&quot;_);_(@_)"/>
    <numFmt numFmtId="301" formatCode="d\.mmm"/>
    <numFmt numFmtId="302" formatCode="_-* #,##0.00\ &quot;F&quot;_-;\-* #,##0.00\ &quot;F&quot;_-;_-* &quot;-&quot;??\ &quot;F&quot;_-;_-@_-"/>
    <numFmt numFmtId="303" formatCode="_-* #,##0.00\ &quot;pta&quot;_-;\-* #,##0.00\ &quot;pta&quot;_-;_-* &quot;-&quot;??\ &quot;pta&quot;_-;_-@_-"/>
    <numFmt numFmtId="304" formatCode="_-&quot;R$ &quot;* #,##0.00_-;\-&quot;R$ &quot;* #,##0.00_-;_-&quot;R$ &quot;* &quot;-&quot;??_-;_-@_-"/>
    <numFmt numFmtId="305" formatCode="&quot;R$ &quot;#,##0_);[Red]&quot;\&quot;&quot;\&quot;\(&quot;R$ &quot;#,##0&quot;\&quot;&quot;\&quot;\)"/>
    <numFmt numFmtId="306" formatCode="#,##0.00_ ;\-#,##0.00\ "/>
    <numFmt numFmtId="307" formatCode="&quot;  -  &quot;0&quot;  -  &quot;"/>
    <numFmt numFmtId="308" formatCode="###\-####\-##__"/>
    <numFmt numFmtId="309" formatCode="%#,#00"/>
    <numFmt numFmtId="310" formatCode="#.##000"/>
    <numFmt numFmtId="311" formatCode="##0.00%;\(##0.00\)%"/>
    <numFmt numFmtId="312" formatCode="#,###.00__"/>
    <numFmt numFmtId="313" formatCode="&quot;R$ &quot;#,##0.00_);\(&quot;R$ &quot;#,##0.00\)"/>
    <numFmt numFmtId="314" formatCode="#,"/>
    <numFmt numFmtId="315" formatCode="_-* #,##0.00\ _€_-;\-* #,##0.00\ _€_-;_-* &quot;-&quot;??\ _€_-;_-@_-"/>
    <numFmt numFmtId="316" formatCode="0.0&quot;pp&quot;"/>
    <numFmt numFmtId="317" formatCode="#,##0."/>
    <numFmt numFmtId="318" formatCode="&quot;R$ &quot;#,##0_);[Red]\(&quot;R$ &quot;#,##0\)"/>
    <numFmt numFmtId="319" formatCode="0.00_)"/>
    <numFmt numFmtId="320" formatCode="#,##0_);\(#,##0\);\-"/>
    <numFmt numFmtId="321" formatCode="#,##0.0_);\(#,##0.0\);\-"/>
    <numFmt numFmtId="322" formatCode="#,##0.0_);\(#,##0.0\);&quot;    -   &quot;"/>
    <numFmt numFmtId="323" formatCode="_-* #,##0\ &quot;pta&quot;_-;\-* #,##0\ &quot;pta&quot;_-;_-* &quot;-&quot;\ &quot;pta&quot;_-;_-@_-"/>
    <numFmt numFmtId="324" formatCode="_-* #,##0\ _p_t_a_-;\-* #,##0\ _p_t_a_-;_-* &quot;-&quot;\ _p_t_a_-;_-@_-"/>
    <numFmt numFmtId="325" formatCode="_-* #,##0.00\ _p_t_a_-;\-* #,##0.00\ _p_t_a_-;_-* &quot;-&quot;??\ _p_t_a_-;_-@_-"/>
    <numFmt numFmtId="326" formatCode="_(* #,##0.0_);_(* \(#,##0.0\);_(* &quot;-&quot;??_);_(@_)"/>
    <numFmt numFmtId="327" formatCode="#,##0,;\-#,##0,"/>
    <numFmt numFmtId="328" formatCode="0.0_ ;[Red]\-0.0\ "/>
    <numFmt numFmtId="329" formatCode="0.0%_);\(0.0%\);0.0%_);@_)"/>
  </numFmts>
  <fonts count="292">
    <font>
      <sz val="11"/>
      <color theme="1"/>
      <name val="Calibri"/>
      <family val="2"/>
      <scheme val="minor"/>
    </font>
    <font>
      <sz val="11"/>
      <color theme="1"/>
      <name val="Calibri"/>
      <family val="2"/>
      <scheme val="minor"/>
    </font>
    <font>
      <sz val="10"/>
      <name val="Trebuchet MS"/>
      <family val="2"/>
    </font>
    <font>
      <sz val="10"/>
      <name val="Arial"/>
      <family val="2"/>
    </font>
    <font>
      <b/>
      <sz val="10"/>
      <name val="Trebuchet MS"/>
      <family val="2"/>
    </font>
    <font>
      <b/>
      <sz val="10"/>
      <name val="Arial"/>
      <family val="2"/>
    </font>
    <font>
      <sz val="10"/>
      <color theme="1"/>
      <name val="Trebuchet MS"/>
      <family val="2"/>
    </font>
    <font>
      <b/>
      <sz val="10"/>
      <color theme="1"/>
      <name val="Trebuchet MS"/>
      <family val="2"/>
    </font>
    <font>
      <i/>
      <sz val="10"/>
      <color theme="1"/>
      <name val="Trebuchet MS"/>
      <family val="2"/>
    </font>
    <font>
      <sz val="9"/>
      <color indexed="81"/>
      <name val="Tahoma"/>
      <family val="2"/>
    </font>
    <font>
      <b/>
      <sz val="9"/>
      <color indexed="81"/>
      <name val="Tahoma"/>
      <family val="2"/>
    </font>
    <font>
      <u/>
      <sz val="11"/>
      <color theme="1"/>
      <name val="Calibri"/>
      <family val="2"/>
      <scheme val="minor"/>
    </font>
    <font>
      <b/>
      <sz val="11"/>
      <color theme="1"/>
      <name val="Calibri"/>
      <family val="2"/>
      <scheme val="minor"/>
    </font>
    <font>
      <sz val="8"/>
      <name val="Arial"/>
      <family val="2"/>
    </font>
    <font>
      <b/>
      <sz val="10"/>
      <name val="MS Sans Serif"/>
      <family val="2"/>
    </font>
    <font>
      <sz val="10"/>
      <color indexed="8"/>
      <name val="MS Sans Serif"/>
      <family val="2"/>
    </font>
    <font>
      <sz val="12"/>
      <name val="·s²Ó©úÅé"/>
      <charset val="136"/>
    </font>
    <font>
      <sz val="8"/>
      <color indexed="8"/>
      <name val="MS Sans Serif"/>
      <family val="2"/>
    </font>
    <font>
      <sz val="10"/>
      <name val="Times New Roman"/>
      <family val="1"/>
    </font>
    <font>
      <b/>
      <sz val="12"/>
      <name val="Helv"/>
    </font>
    <font>
      <sz val="12"/>
      <name val="Arial"/>
      <family val="2"/>
    </font>
    <font>
      <sz val="10"/>
      <color indexed="10"/>
      <name val="Times New Roman"/>
      <family val="1"/>
    </font>
    <font>
      <b/>
      <sz val="11"/>
      <color indexed="10"/>
      <name val="Times New Roman"/>
      <family val="1"/>
    </font>
    <font>
      <sz val="8"/>
      <name val="Times New Roman"/>
      <family val="1"/>
    </font>
    <font>
      <b/>
      <i/>
      <sz val="11"/>
      <color indexed="9"/>
      <name val="Times New Roman"/>
      <family val="1"/>
    </font>
    <font>
      <b/>
      <sz val="9"/>
      <color indexed="9"/>
      <name val="Arial"/>
      <family val="2"/>
    </font>
    <font>
      <u val="singleAccounting"/>
      <sz val="10"/>
      <name val="Arial"/>
      <family val="2"/>
    </font>
    <font>
      <sz val="12"/>
      <color indexed="10"/>
      <name val="Times New Roman"/>
      <family val="1"/>
    </font>
    <font>
      <i/>
      <sz val="9"/>
      <color indexed="55"/>
      <name val="Arial"/>
      <family val="2"/>
    </font>
    <font>
      <sz val="10"/>
      <name val="MS Sans Serif"/>
      <family val="2"/>
    </font>
    <font>
      <b/>
      <sz val="10"/>
      <name val="Times New Roman"/>
      <family val="1"/>
    </font>
    <font>
      <b/>
      <sz val="9"/>
      <name val="Arial"/>
      <family val="2"/>
    </font>
    <font>
      <sz val="9"/>
      <name val="Arial"/>
      <family val="2"/>
    </font>
    <font>
      <sz val="8"/>
      <name val="Helvetica"/>
      <family val="2"/>
    </font>
    <font>
      <sz val="10"/>
      <name val="Frutiger 45 Light"/>
      <family val="2"/>
    </font>
    <font>
      <sz val="10"/>
      <name val="Geneva"/>
    </font>
    <font>
      <sz val="10"/>
      <color indexed="22"/>
      <name val="Arial"/>
      <family val="2"/>
    </font>
    <font>
      <sz val="24"/>
      <name val="MS Sans Serif"/>
      <family val="2"/>
    </font>
    <font>
      <sz val="12"/>
      <name val="Times New Roman"/>
      <family val="1"/>
    </font>
    <font>
      <b/>
      <sz val="8"/>
      <name val="Arial"/>
      <family val="2"/>
    </font>
    <font>
      <b/>
      <sz val="8"/>
      <name val="Times New Roman"/>
      <family val="1"/>
    </font>
    <font>
      <sz val="12"/>
      <color indexed="14"/>
      <name val="Times New Roman"/>
      <family val="1"/>
    </font>
    <font>
      <sz val="10"/>
      <name val="Arial Narrow"/>
      <family val="2"/>
    </font>
    <font>
      <u val="doubleAccounting"/>
      <sz val="10"/>
      <name val="Arial"/>
      <family val="2"/>
    </font>
    <font>
      <b/>
      <i/>
      <sz val="8"/>
      <color indexed="12"/>
      <name val="HelveticaNeue Condensed"/>
    </font>
    <font>
      <b/>
      <sz val="7"/>
      <color indexed="12"/>
      <name val="Arial"/>
      <family val="2"/>
    </font>
    <font>
      <u/>
      <sz val="10"/>
      <color indexed="36"/>
      <name val="Arial"/>
      <family val="2"/>
    </font>
    <font>
      <i/>
      <sz val="8"/>
      <color indexed="17"/>
      <name val="Times New Roman"/>
      <family val="1"/>
    </font>
    <font>
      <sz val="8"/>
      <color indexed="21"/>
      <name val="Arial"/>
      <family val="2"/>
    </font>
    <font>
      <b/>
      <sz val="22"/>
      <name val="Arial"/>
      <family val="2"/>
    </font>
    <font>
      <b/>
      <sz val="18"/>
      <name val="Arial"/>
      <family val="2"/>
    </font>
    <font>
      <b/>
      <sz val="14"/>
      <name val="Arial"/>
      <family val="2"/>
    </font>
    <font>
      <b/>
      <sz val="12"/>
      <name val="Arial"/>
      <family val="2"/>
    </font>
    <font>
      <sz val="8"/>
      <color indexed="12"/>
      <name val="Times New Roman"/>
      <family val="1"/>
    </font>
    <font>
      <sz val="10"/>
      <color indexed="12"/>
      <name val="Times New Roman"/>
      <family val="1"/>
    </font>
    <font>
      <b/>
      <sz val="12"/>
      <color indexed="10"/>
      <name val="Arial"/>
      <family val="2"/>
    </font>
    <font>
      <b/>
      <sz val="10"/>
      <color indexed="18"/>
      <name val="Times New Roman"/>
      <family val="1"/>
    </font>
    <font>
      <sz val="8"/>
      <color indexed="8"/>
      <name val="Helvetica"/>
      <family val="2"/>
    </font>
    <font>
      <u/>
      <sz val="6"/>
      <color indexed="12"/>
      <name val="Arial"/>
      <family val="2"/>
    </font>
    <font>
      <u/>
      <sz val="10"/>
      <color indexed="12"/>
      <name val="Arial"/>
      <family val="2"/>
    </font>
    <font>
      <sz val="8"/>
      <color indexed="39"/>
      <name val="Arial"/>
      <family val="2"/>
    </font>
    <font>
      <sz val="8"/>
      <color indexed="10"/>
      <name val="Helv"/>
    </font>
    <font>
      <b/>
      <sz val="10"/>
      <name val="Helv"/>
    </font>
    <font>
      <sz val="10"/>
      <color indexed="16"/>
      <name val="MS Sans Serif"/>
      <family val="2"/>
    </font>
    <font>
      <b/>
      <sz val="12"/>
      <color indexed="17"/>
      <name val="Wingdings"/>
      <charset val="2"/>
    </font>
    <font>
      <b/>
      <sz val="18"/>
      <name val="Times New Roman"/>
      <family val="1"/>
    </font>
    <font>
      <sz val="8"/>
      <color indexed="10"/>
      <name val="Times New Roman"/>
      <family val="1"/>
    </font>
    <font>
      <b/>
      <sz val="8"/>
      <color indexed="14"/>
      <name val="MS Sans Serif"/>
      <family val="2"/>
    </font>
    <font>
      <sz val="8"/>
      <color indexed="18"/>
      <name val="Times New Roman"/>
      <family val="1"/>
    </font>
    <font>
      <i/>
      <sz val="9"/>
      <color indexed="16"/>
      <name val="Arial"/>
      <family val="2"/>
    </font>
    <font>
      <sz val="7"/>
      <name val="Small Fonts"/>
      <family val="2"/>
    </font>
    <font>
      <b/>
      <u/>
      <sz val="12"/>
      <name val="L Serifa Light"/>
    </font>
    <font>
      <sz val="7"/>
      <color indexed="12"/>
      <name val="Arial"/>
      <family val="2"/>
    </font>
    <font>
      <i/>
      <sz val="10"/>
      <name val="Helv"/>
    </font>
    <font>
      <i/>
      <sz val="12"/>
      <color indexed="10"/>
      <name val="Times New Roman"/>
      <family val="1"/>
    </font>
    <font>
      <sz val="8"/>
      <color indexed="8"/>
      <name val="Arial"/>
      <family val="2"/>
    </font>
    <font>
      <i/>
      <sz val="10"/>
      <name val="Helvetica"/>
    </font>
    <font>
      <sz val="10"/>
      <name val="Helv"/>
    </font>
    <font>
      <b/>
      <sz val="8"/>
      <color indexed="18"/>
      <name val="Times New Roman"/>
      <family val="1"/>
    </font>
    <font>
      <sz val="8"/>
      <name val="Univers"/>
      <family val="2"/>
    </font>
    <font>
      <sz val="8"/>
      <color indexed="10"/>
      <name val="Arial"/>
      <family val="2"/>
    </font>
    <font>
      <sz val="10"/>
      <name val="GillSans Light"/>
    </font>
    <font>
      <sz val="8"/>
      <name val="COUR"/>
    </font>
    <font>
      <sz val="12"/>
      <color indexed="12"/>
      <name val="Times New Roman"/>
      <family val="1"/>
    </font>
    <font>
      <sz val="10"/>
      <color indexed="23"/>
      <name val="MS Sans Serif"/>
      <family val="2"/>
    </font>
    <font>
      <b/>
      <sz val="14"/>
      <name val="Times New Roman"/>
      <family val="1"/>
    </font>
    <font>
      <b/>
      <sz val="12"/>
      <name val="MS Sans Serif"/>
      <family val="2"/>
    </font>
    <font>
      <b/>
      <sz val="10"/>
      <name val="GillSans"/>
    </font>
    <font>
      <b/>
      <sz val="7"/>
      <name val="Arial"/>
      <family val="2"/>
    </font>
    <font>
      <b/>
      <sz val="16"/>
      <name val="Times New Roman"/>
      <family val="1"/>
    </font>
    <font>
      <b/>
      <sz val="10"/>
      <color indexed="16"/>
      <name val="Times New Roman"/>
      <family val="1"/>
    </font>
    <font>
      <sz val="8"/>
      <name val="MS Sans Serif"/>
      <family val="2"/>
    </font>
    <font>
      <i/>
      <sz val="9"/>
      <name val="Times New Roman"/>
      <family val="1"/>
    </font>
    <font>
      <b/>
      <i/>
      <sz val="10"/>
      <name val="Arial"/>
      <family val="2"/>
    </font>
    <font>
      <sz val="8"/>
      <color indexed="9"/>
      <name val="Arial"/>
      <family val="2"/>
    </font>
    <font>
      <sz val="14"/>
      <name val="뼻뮝"/>
      <family val="3"/>
      <charset val="129"/>
    </font>
    <font>
      <sz val="12"/>
      <name val="뼻뮝"/>
      <family val="1"/>
      <charset val="129"/>
    </font>
    <font>
      <sz val="11"/>
      <name val="돋움"/>
      <family val="3"/>
      <charset val="129"/>
    </font>
    <font>
      <sz val="11"/>
      <name val="돋움체"/>
      <family val="3"/>
      <charset val="129"/>
    </font>
    <font>
      <sz val="10"/>
      <color theme="3" tint="0.39997558519241921"/>
      <name val="Trebuchet MS"/>
      <family val="2"/>
    </font>
    <font>
      <b/>
      <u/>
      <sz val="11"/>
      <color theme="1"/>
      <name val="Calibri"/>
      <family val="2"/>
      <scheme val="minor"/>
    </font>
    <font>
      <b/>
      <sz val="11"/>
      <color theme="0"/>
      <name val="Calibri"/>
      <family val="2"/>
      <scheme val="minor"/>
    </font>
    <font>
      <b/>
      <u/>
      <sz val="10"/>
      <color theme="1"/>
      <name val="Trebuchet MS"/>
      <family val="2"/>
    </font>
    <font>
      <u/>
      <sz val="10"/>
      <color theme="1"/>
      <name val="Trebuchet MS"/>
      <family val="2"/>
    </font>
    <font>
      <sz val="9"/>
      <color theme="1"/>
      <name val="Calibri"/>
      <family val="2"/>
    </font>
    <font>
      <sz val="10"/>
      <color indexed="8"/>
      <name val="Calibri"/>
      <family val="2"/>
    </font>
    <font>
      <sz val="8"/>
      <name val="Calibri"/>
      <family val="2"/>
    </font>
    <font>
      <sz val="18"/>
      <name val="Calibri"/>
      <family val="2"/>
    </font>
    <font>
      <sz val="9"/>
      <name val="Calibri"/>
      <family val="2"/>
    </font>
    <font>
      <sz val="10"/>
      <name val="Calibri"/>
      <family val="2"/>
    </font>
    <font>
      <b/>
      <sz val="10"/>
      <name val="Calibri"/>
      <family val="2"/>
    </font>
    <font>
      <i/>
      <sz val="10"/>
      <name val="Calibri"/>
      <family val="2"/>
    </font>
    <font>
      <b/>
      <i/>
      <sz val="9"/>
      <name val="Calibri"/>
      <family val="2"/>
    </font>
    <font>
      <sz val="9"/>
      <color theme="1"/>
      <name val="Calibri"/>
      <family val="2"/>
      <scheme val="minor"/>
    </font>
    <font>
      <b/>
      <sz val="10"/>
      <color theme="0"/>
      <name val="Trebuchet MS"/>
      <family val="2"/>
    </font>
    <font>
      <sz val="12"/>
      <color theme="1"/>
      <name val="Calibri"/>
      <family val="2"/>
      <scheme val="minor"/>
    </font>
    <font>
      <b/>
      <sz val="10"/>
      <color theme="1"/>
      <name val="Roboto"/>
    </font>
    <font>
      <sz val="10"/>
      <color theme="1"/>
      <name val="Roboto"/>
    </font>
    <font>
      <sz val="11"/>
      <color theme="1"/>
      <name val="Roboto"/>
    </font>
    <font>
      <b/>
      <sz val="10"/>
      <name val="Roboto"/>
    </font>
    <font>
      <b/>
      <sz val="11"/>
      <color theme="1"/>
      <name val="Roboto"/>
    </font>
    <font>
      <sz val="10"/>
      <name val="Roboto"/>
    </font>
    <font>
      <sz val="8"/>
      <name val="Calibri"/>
      <family val="2"/>
      <scheme val="minor"/>
    </font>
    <font>
      <sz val="11"/>
      <color theme="3" tint="0.39997558519241921"/>
      <name val="Calibri"/>
      <family val="2"/>
      <scheme val="minor"/>
    </font>
    <font>
      <i/>
      <sz val="11"/>
      <color theme="1"/>
      <name val="Calibri"/>
      <family val="2"/>
      <scheme val="minor"/>
    </font>
    <font>
      <sz val="12"/>
      <color theme="1"/>
      <name val="Roboto"/>
    </font>
    <font>
      <b/>
      <sz val="12"/>
      <color theme="1"/>
      <name val="Roboto"/>
    </font>
    <font>
      <b/>
      <sz val="11"/>
      <name val="Roboto"/>
    </font>
    <font>
      <sz val="11"/>
      <name val="Roboto"/>
    </font>
    <font>
      <sz val="12"/>
      <name val="Roboto"/>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indexed="9"/>
      <name val="Arial"/>
      <family val="2"/>
    </font>
    <font>
      <sz val="10"/>
      <name val="Verdana"/>
      <family val="2"/>
    </font>
    <font>
      <sz val="11"/>
      <color indexed="8"/>
      <name val="Calibri"/>
      <family val="2"/>
    </font>
    <font>
      <i/>
      <sz val="9"/>
      <name val="Arial"/>
      <family val="2"/>
    </font>
    <font>
      <sz val="10"/>
      <name val="Helv"/>
      <charset val="204"/>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1"/>
      <name val="Times New Roman"/>
      <family val="1"/>
    </font>
    <font>
      <sz val="8"/>
      <name val="Helv"/>
    </font>
    <font>
      <sz val="10"/>
      <name val="Courier"/>
      <family val="3"/>
    </font>
    <font>
      <sz val="12"/>
      <name val="Helv"/>
    </font>
    <font>
      <sz val="10"/>
      <color indexed="8"/>
      <name val="Arial"/>
      <family val="2"/>
    </font>
    <font>
      <sz val="5.75"/>
      <name val="Arial"/>
      <family val="2"/>
    </font>
    <font>
      <sz val="8"/>
      <name val="Geneva"/>
    </font>
    <font>
      <sz val="10"/>
      <color indexed="12"/>
      <name val="MS Sans Serif"/>
      <family val="2"/>
    </font>
    <font>
      <b/>
      <sz val="12"/>
      <name val="Times New Roman"/>
      <family val="1"/>
    </font>
    <font>
      <sz val="7"/>
      <name val="Times New Roman"/>
      <family val="1"/>
    </font>
    <font>
      <b/>
      <sz val="1"/>
      <color indexed="8"/>
      <name val="Courier"/>
      <family val="3"/>
    </font>
    <font>
      <b/>
      <sz val="5.75"/>
      <name val="Arial"/>
      <family val="2"/>
    </font>
    <font>
      <sz val="8"/>
      <color indexed="48"/>
      <name val="Arial"/>
      <family val="2"/>
    </font>
    <font>
      <sz val="10"/>
      <name val="BERNHARD"/>
    </font>
    <font>
      <b/>
      <sz val="14"/>
      <color indexed="56"/>
      <name val="Palatino"/>
      <family val="1"/>
    </font>
    <font>
      <b/>
      <sz val="8"/>
      <name val="Helv"/>
    </font>
    <font>
      <sz val="10"/>
      <name val="Book Antiqua"/>
      <family val="1"/>
    </font>
    <font>
      <sz val="1"/>
      <color indexed="8"/>
      <name val="Courier"/>
      <family val="3"/>
    </font>
    <font>
      <b/>
      <sz val="16"/>
      <name val="Arial"/>
      <family val="2"/>
    </font>
    <font>
      <sz val="10"/>
      <name val="Tahoma"/>
      <family val="2"/>
    </font>
    <font>
      <sz val="12"/>
      <name val="Courier"/>
      <family val="3"/>
    </font>
    <font>
      <sz val="8"/>
      <name val="Tahoma"/>
      <family val="2"/>
    </font>
    <font>
      <b/>
      <sz val="7"/>
      <color indexed="48"/>
      <name val="Tahoma"/>
      <family val="2"/>
    </font>
    <font>
      <sz val="7"/>
      <name val="Palatino"/>
      <family val="1"/>
    </font>
    <font>
      <sz val="18"/>
      <name val="Helvetica-Black"/>
    </font>
    <font>
      <i/>
      <sz val="14"/>
      <name val="Palatino"/>
      <family val="1"/>
    </font>
    <font>
      <b/>
      <sz val="9"/>
      <name val="Helv"/>
    </font>
    <font>
      <sz val="9"/>
      <color indexed="39"/>
      <name val="Arial"/>
      <family val="2"/>
    </font>
    <font>
      <sz val="9"/>
      <color indexed="12"/>
      <name val="Arial"/>
      <family val="2"/>
    </font>
    <font>
      <sz val="10"/>
      <name val="N Helvetica Narrow"/>
      <family val="1"/>
    </font>
    <font>
      <sz val="18"/>
      <name val="Times New Roman"/>
      <family val="1"/>
    </font>
    <font>
      <b/>
      <sz val="13"/>
      <name val="Times New Roman"/>
      <family val="1"/>
    </font>
    <font>
      <b/>
      <i/>
      <sz val="12"/>
      <name val="Times New Roman"/>
      <family val="1"/>
    </font>
    <font>
      <i/>
      <sz val="12"/>
      <name val="Times New Roman"/>
      <family val="1"/>
    </font>
    <font>
      <sz val="12"/>
      <name val="Arial MT"/>
    </font>
    <font>
      <b/>
      <sz val="9"/>
      <name val="Helvetica"/>
      <family val="2"/>
    </font>
    <font>
      <b/>
      <sz val="10"/>
      <name val="Helvetica"/>
      <family val="2"/>
    </font>
    <font>
      <u/>
      <sz val="10"/>
      <name val="Helvetica"/>
      <family val="2"/>
    </font>
    <font>
      <sz val="10"/>
      <name val="Helvetica"/>
      <family val="2"/>
    </font>
    <font>
      <sz val="10"/>
      <color indexed="16"/>
      <name val="Helvetica-Black"/>
    </font>
    <font>
      <b/>
      <u/>
      <sz val="10"/>
      <name val="Arial"/>
      <family val="2"/>
    </font>
    <font>
      <sz val="9"/>
      <name val="Verdana"/>
      <family val="2"/>
    </font>
    <font>
      <i/>
      <sz val="8"/>
      <name val="Arial"/>
      <family val="2"/>
    </font>
    <font>
      <sz val="9"/>
      <name val="Geneva"/>
    </font>
    <font>
      <sz val="10"/>
      <name val="Palatino"/>
      <family val="1"/>
    </font>
    <font>
      <i/>
      <sz val="8"/>
      <color indexed="14"/>
      <name val="Arial"/>
      <family val="2"/>
    </font>
    <font>
      <sz val="10"/>
      <color indexed="12"/>
      <name val="Geneva"/>
      <family val="2"/>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b/>
      <sz val="12"/>
      <color indexed="56"/>
      <name val="Arial"/>
      <family val="2"/>
    </font>
    <font>
      <sz val="1"/>
      <color indexed="72"/>
      <name val="Courier"/>
      <family val="3"/>
    </font>
    <font>
      <b/>
      <sz val="14"/>
      <name val="Palatino"/>
      <family val="1"/>
    </font>
    <font>
      <b/>
      <sz val="10"/>
      <color indexed="32"/>
      <name val="Arial"/>
      <family val="2"/>
    </font>
    <font>
      <b/>
      <u/>
      <sz val="11"/>
      <name val="Helvetica"/>
      <family val="2"/>
    </font>
    <font>
      <b/>
      <sz val="10"/>
      <color indexed="16"/>
      <name val="Courier"/>
      <family val="3"/>
    </font>
    <font>
      <b/>
      <sz val="12"/>
      <name val="Helvetica"/>
      <family val="2"/>
    </font>
    <font>
      <b/>
      <sz val="9"/>
      <name val="Palatino"/>
      <family val="1"/>
    </font>
    <font>
      <sz val="9"/>
      <color indexed="21"/>
      <name val="Helvetica-Black"/>
    </font>
    <font>
      <sz val="9"/>
      <name val="Helvetica-Black"/>
    </font>
    <font>
      <sz val="11"/>
      <name val="Arial"/>
      <family val="2"/>
    </font>
    <font>
      <b/>
      <u/>
      <sz val="12"/>
      <name val="Arial"/>
      <family val="2"/>
    </font>
    <font>
      <b/>
      <sz val="12"/>
      <color indexed="8"/>
      <name val="Times New Roman"/>
      <family val="1"/>
    </font>
    <font>
      <sz val="10"/>
      <color indexed="32"/>
      <name val="Arial"/>
      <family val="2"/>
    </font>
    <font>
      <b/>
      <sz val="10"/>
      <color indexed="8"/>
      <name val="Arial"/>
      <family val="2"/>
    </font>
    <font>
      <u/>
      <sz val="7.7"/>
      <color indexed="12"/>
      <name val="Calibri"/>
      <family val="2"/>
    </font>
    <font>
      <sz val="12"/>
      <name val="Arial MT"/>
      <family val="2"/>
    </font>
    <font>
      <sz val="12"/>
      <name val="Helv"/>
      <family val="2"/>
    </font>
    <font>
      <b/>
      <sz val="18"/>
      <color indexed="56"/>
      <name val="Cambria"/>
      <family val="2"/>
    </font>
    <font>
      <b/>
      <sz val="14"/>
      <color indexed="8"/>
      <name val="Helvetica"/>
      <family val="2"/>
    </font>
    <font>
      <b/>
      <sz val="10"/>
      <color indexed="8"/>
      <name val="Helvetica"/>
      <family val="2"/>
    </font>
    <font>
      <sz val="10"/>
      <color indexed="8"/>
      <name val="Helvetica"/>
      <family val="2"/>
    </font>
    <font>
      <b/>
      <sz val="12"/>
      <color indexed="8"/>
      <name val="Helvetica"/>
      <family val="2"/>
    </font>
    <font>
      <sz val="8"/>
      <color indexed="12"/>
      <name val="Times"/>
      <family val="1"/>
    </font>
    <font>
      <sz val="10"/>
      <color indexed="18"/>
      <name val="Times New Roman"/>
      <family val="1"/>
    </font>
    <font>
      <sz val="10"/>
      <color indexed="12"/>
      <name val="Arial"/>
      <family val="2"/>
    </font>
    <font>
      <b/>
      <u/>
      <sz val="12"/>
      <name val="Arial Narrow"/>
      <family val="2"/>
    </font>
    <font>
      <sz val="10"/>
      <color indexed="2"/>
      <name val="Tahoma"/>
      <family val="2"/>
    </font>
    <font>
      <b/>
      <sz val="10"/>
      <color indexed="0"/>
      <name val="Tahoma"/>
      <family val="2"/>
    </font>
    <font>
      <b/>
      <i/>
      <sz val="10"/>
      <color indexed="4"/>
      <name val="Tahoma"/>
      <family val="2"/>
    </font>
    <font>
      <sz val="10"/>
      <color indexed="4"/>
      <name val="Tahoma"/>
      <family val="2"/>
    </font>
    <font>
      <sz val="10"/>
      <name val="COUR"/>
    </font>
    <font>
      <sz val="10"/>
      <color indexed="10"/>
      <name val="Arial"/>
      <family val="2"/>
    </font>
    <font>
      <sz val="10"/>
      <color indexed="9"/>
      <name val="Arial"/>
      <family val="2"/>
    </font>
    <font>
      <sz val="10"/>
      <color indexed="17"/>
      <name val="Arial"/>
      <family val="2"/>
    </font>
    <font>
      <b/>
      <sz val="10"/>
      <color indexed="52"/>
      <name val="Arial"/>
      <family val="2"/>
    </font>
    <font>
      <sz val="10"/>
      <color indexed="52"/>
      <name val="Arial"/>
      <family val="2"/>
    </font>
    <font>
      <b/>
      <sz val="11"/>
      <color indexed="56"/>
      <name val="Arial"/>
      <family val="2"/>
    </font>
    <font>
      <sz val="10"/>
      <color indexed="62"/>
      <name val="Arial"/>
      <family val="2"/>
    </font>
    <font>
      <sz val="10"/>
      <color indexed="20"/>
      <name val="Arial"/>
      <family val="2"/>
    </font>
    <font>
      <sz val="10"/>
      <color indexed="60"/>
      <name val="Arial"/>
      <family val="2"/>
    </font>
    <font>
      <b/>
      <sz val="10"/>
      <color indexed="63"/>
      <name val="Arial"/>
      <family val="2"/>
    </font>
    <font>
      <i/>
      <sz val="10"/>
      <color indexed="23"/>
      <name val="Arial"/>
      <family val="2"/>
    </font>
    <font>
      <b/>
      <sz val="15"/>
      <color indexed="56"/>
      <name val="Arial"/>
      <family val="2"/>
    </font>
    <font>
      <b/>
      <sz val="13"/>
      <color indexed="56"/>
      <name val="Arial"/>
      <family val="2"/>
    </font>
    <font>
      <sz val="10"/>
      <color theme="1"/>
      <name val="Arial"/>
      <family val="2"/>
    </font>
    <font>
      <u/>
      <sz val="11"/>
      <color theme="10"/>
      <name val="Calibri"/>
      <family val="2"/>
      <scheme val="minor"/>
    </font>
    <font>
      <sz val="11"/>
      <color rgb="FF9C6500"/>
      <name val="Calibri"/>
      <family val="2"/>
      <scheme val="minor"/>
    </font>
    <font>
      <sz val="11"/>
      <color rgb="FF0000FF"/>
      <name val="Calibri"/>
      <family val="2"/>
      <scheme val="minor"/>
    </font>
    <font>
      <b/>
      <sz val="11"/>
      <color theme="3" tint="0.39997558519241921"/>
      <name val="Roboto"/>
    </font>
    <font>
      <sz val="11"/>
      <color theme="3" tint="0.39997558519241921"/>
      <name val="Roboto"/>
    </font>
    <font>
      <i/>
      <sz val="11"/>
      <color theme="1"/>
      <name val="Roboto"/>
    </font>
    <font>
      <i/>
      <sz val="11"/>
      <name val="Roboto"/>
    </font>
    <font>
      <b/>
      <sz val="12"/>
      <name val="Roboto"/>
    </font>
    <font>
      <b/>
      <u/>
      <sz val="11"/>
      <name val="Roboto"/>
    </font>
    <font>
      <sz val="11"/>
      <color theme="4"/>
      <name val="Roboto"/>
    </font>
    <font>
      <u/>
      <sz val="12"/>
      <color theme="1"/>
      <name val="Roboto"/>
    </font>
    <font>
      <b/>
      <sz val="11"/>
      <color rgb="FFFF0000"/>
      <name val="Roboto"/>
    </font>
    <font>
      <sz val="11"/>
      <color rgb="FFFF0000"/>
      <name val="Roboto"/>
    </font>
    <font>
      <sz val="11"/>
      <color rgb="FFC00000"/>
      <name val="Roboto"/>
    </font>
    <font>
      <sz val="11"/>
      <color indexed="48"/>
      <name val="Roboto"/>
    </font>
    <font>
      <b/>
      <sz val="11"/>
      <color indexed="12"/>
      <name val="Roboto"/>
    </font>
    <font>
      <b/>
      <sz val="11"/>
      <color theme="3"/>
      <name val="Roboto"/>
    </font>
    <font>
      <b/>
      <sz val="11"/>
      <name val="Arial"/>
      <family val="2"/>
    </font>
    <font>
      <sz val="11"/>
      <color theme="1"/>
      <name val="Arial"/>
      <family val="2"/>
    </font>
    <font>
      <sz val="11"/>
      <color rgb="FF0000FF"/>
      <name val="Arial"/>
      <family val="2"/>
    </font>
    <font>
      <b/>
      <sz val="11"/>
      <color theme="1"/>
      <name val="Arial"/>
      <family val="2"/>
    </font>
    <font>
      <sz val="11"/>
      <color theme="0" tint="-0.34998626667073579"/>
      <name val="Calibri"/>
      <family val="2"/>
      <scheme val="minor"/>
    </font>
    <font>
      <b/>
      <sz val="11"/>
      <color theme="0" tint="-0.34998626667073579"/>
      <name val="Arial"/>
      <family val="2"/>
    </font>
    <font>
      <sz val="11"/>
      <color theme="0" tint="-0.34998626667073579"/>
      <name val="Arial"/>
      <family val="2"/>
    </font>
    <font>
      <b/>
      <sz val="11"/>
      <color theme="0" tint="-0.34998626667073579"/>
      <name val="Calibri"/>
      <family val="2"/>
      <scheme val="minor"/>
    </font>
    <font>
      <i/>
      <sz val="11"/>
      <name val="Arial"/>
      <family val="2"/>
    </font>
    <font>
      <i/>
      <sz val="11"/>
      <color rgb="FF0000FF"/>
      <name val="Arial"/>
      <family val="2"/>
    </font>
    <font>
      <sz val="11"/>
      <name val="Calibri"/>
      <family val="2"/>
      <scheme val="minor"/>
    </font>
    <font>
      <sz val="11"/>
      <color rgb="FFFF0000"/>
      <name val="Arial"/>
      <family val="2"/>
    </font>
    <font>
      <b/>
      <sz val="10"/>
      <color theme="3" tint="0.39997558519241921"/>
      <name val="Roboto"/>
    </font>
    <font>
      <sz val="12"/>
      <color theme="3" tint="0.39997558519241921"/>
      <name val="Roboto"/>
    </font>
    <font>
      <b/>
      <u/>
      <sz val="12"/>
      <color theme="1"/>
      <name val="Roboto"/>
    </font>
    <font>
      <sz val="11"/>
      <color theme="0" tint="-0.14999847407452621"/>
      <name val="Roboto"/>
    </font>
    <font>
      <sz val="11"/>
      <color theme="0" tint="-0.249977111117893"/>
      <name val="Roboto"/>
    </font>
    <font>
      <sz val="10"/>
      <color theme="0" tint="-0.249977111117893"/>
      <name val="Roboto"/>
    </font>
    <font>
      <b/>
      <sz val="11"/>
      <color theme="0" tint="-0.249977111117893"/>
      <name val="Roboto"/>
    </font>
    <font>
      <sz val="11"/>
      <color rgb="FF0000FF"/>
      <name val="Roboto"/>
    </font>
    <font>
      <b/>
      <sz val="11"/>
      <color rgb="FF0000FF"/>
      <name val="Roboto"/>
    </font>
    <font>
      <sz val="11"/>
      <color theme="0"/>
      <name val="Roboto"/>
    </font>
    <font>
      <b/>
      <sz val="11"/>
      <color theme="0"/>
      <name val="Roboto"/>
    </font>
  </fonts>
  <fills count="124">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indexed="44"/>
        <bgColor indexed="64"/>
      </patternFill>
    </fill>
    <fill>
      <patternFill patternType="solid">
        <fgColor indexed="26"/>
        <bgColor indexed="64"/>
      </patternFill>
    </fill>
    <fill>
      <patternFill patternType="solid">
        <fgColor indexed="9"/>
        <bgColor indexed="64"/>
      </patternFill>
    </fill>
    <fill>
      <patternFill patternType="solid">
        <fgColor indexed="8"/>
        <bgColor indexed="64"/>
      </patternFill>
    </fill>
    <fill>
      <patternFill patternType="solid">
        <fgColor indexed="18"/>
        <bgColor indexed="64"/>
      </patternFill>
    </fill>
    <fill>
      <patternFill patternType="gray0625">
        <fgColor indexed="15"/>
      </patternFill>
    </fill>
    <fill>
      <patternFill patternType="solid">
        <fgColor indexed="42"/>
        <bgColor indexed="64"/>
      </patternFill>
    </fill>
    <fill>
      <patternFill patternType="solid">
        <fgColor indexed="41"/>
        <bgColor indexed="64"/>
      </patternFill>
    </fill>
    <fill>
      <patternFill patternType="lightGray">
        <fgColor indexed="12"/>
      </patternFill>
    </fill>
    <fill>
      <patternFill patternType="solid">
        <fgColor indexed="43"/>
        <bgColor indexed="64"/>
      </patternFill>
    </fill>
    <fill>
      <patternFill patternType="solid">
        <fgColor indexed="22"/>
        <bgColor indexed="64"/>
      </patternFill>
    </fill>
    <fill>
      <patternFill patternType="gray0625"/>
    </fill>
    <fill>
      <patternFill patternType="solid">
        <fgColor indexed="15"/>
        <bgColor indexed="64"/>
      </patternFill>
    </fill>
    <fill>
      <patternFill patternType="solid">
        <fgColor indexed="22"/>
      </patternFill>
    </fill>
    <fill>
      <patternFill patternType="solid">
        <fgColor indexed="13"/>
        <bgColor indexed="15"/>
      </patternFill>
    </fill>
    <fill>
      <patternFill patternType="solid">
        <fgColor indexed="11"/>
        <bgColor indexed="64"/>
      </patternFill>
    </fill>
    <fill>
      <patternFill patternType="gray0625">
        <fgColor indexed="22"/>
      </patternFill>
    </fill>
    <fill>
      <patternFill patternType="solid">
        <fgColor indexed="13"/>
      </patternFill>
    </fill>
    <fill>
      <patternFill patternType="lightGray"/>
    </fill>
    <fill>
      <patternFill patternType="solid">
        <fgColor indexed="9"/>
      </patternFill>
    </fill>
    <fill>
      <patternFill patternType="solid">
        <fgColor indexed="16"/>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indexed="65"/>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7"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bgColor indexed="8"/>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9"/>
        <bgColor indexed="19"/>
      </patternFill>
    </fill>
    <fill>
      <patternFill patternType="solid">
        <fgColor indexed="51"/>
        <bgColor indexed="64"/>
      </patternFill>
    </fill>
    <fill>
      <patternFill patternType="solid">
        <fgColor indexed="55"/>
      </patternFill>
    </fill>
    <fill>
      <patternFill patternType="solid">
        <fgColor indexed="26"/>
        <bgColor indexed="19"/>
      </patternFill>
    </fill>
    <fill>
      <patternFill patternType="solid">
        <fgColor indexed="48"/>
      </patternFill>
    </fill>
    <fill>
      <patternFill patternType="solid">
        <fgColor indexed="51"/>
        <bgColor indexed="19"/>
      </patternFill>
    </fill>
    <fill>
      <patternFill patternType="solid">
        <fgColor indexed="15"/>
      </patternFill>
    </fill>
    <fill>
      <patternFill patternType="solid">
        <fgColor indexed="12"/>
      </patternFill>
    </fill>
    <fill>
      <patternFill patternType="solid">
        <fgColor indexed="26"/>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0"/>
        <bgColor indexed="64"/>
      </patternFill>
    </fill>
    <fill>
      <patternFill patternType="solid">
        <fgColor indexed="9"/>
        <bgColor indexed="19"/>
      </patternFill>
    </fill>
    <fill>
      <patternFill patternType="solid">
        <fgColor indexed="9"/>
        <bgColor indexed="43"/>
      </patternFill>
    </fill>
    <fill>
      <patternFill patternType="solid">
        <fgColor indexed="19"/>
      </patternFill>
    </fill>
    <fill>
      <patternFill patternType="solid">
        <fgColor theme="5"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rgb="FFFFC000"/>
        <bgColor indexed="64"/>
      </patternFill>
    </fill>
    <fill>
      <patternFill patternType="solid">
        <fgColor rgb="FFFFFF00"/>
        <bgColor rgb="FF000000"/>
      </patternFill>
    </fill>
    <fill>
      <patternFill patternType="solid">
        <fgColor rgb="FF99CCFF"/>
        <bgColor rgb="FF000000"/>
      </patternFill>
    </fill>
    <fill>
      <patternFill patternType="solid">
        <fgColor theme="3" tint="-0.249977111117893"/>
        <bgColor indexed="64"/>
      </patternFill>
    </fill>
    <fill>
      <patternFill patternType="solid">
        <fgColor rgb="FF00CC99"/>
        <bgColor indexed="64"/>
      </patternFill>
    </fill>
    <fill>
      <patternFill patternType="solid">
        <fgColor theme="7" tint="0.39997558519241921"/>
        <bgColor indexed="64"/>
      </patternFill>
    </fill>
    <fill>
      <patternFill patternType="solid">
        <fgColor theme="0" tint="-0.499984740745262"/>
        <bgColor indexed="64"/>
      </patternFill>
    </fill>
    <fill>
      <patternFill patternType="solid">
        <fgColor theme="9"/>
        <bgColor indexed="64"/>
      </patternFill>
    </fill>
  </fills>
  <borders count="91">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right/>
      <top/>
      <bottom style="medium">
        <color indexed="64"/>
      </bottom>
      <diagonal/>
    </border>
    <border>
      <left/>
      <right/>
      <top/>
      <bottom style="thin">
        <color indexed="44"/>
      </bottom>
      <diagonal/>
    </border>
    <border>
      <left style="thin">
        <color indexed="64"/>
      </left>
      <right style="thin">
        <color indexed="64"/>
      </right>
      <top style="thin">
        <color indexed="64"/>
      </top>
      <bottom style="thin">
        <color indexed="64"/>
      </bottom>
      <diagonal/>
    </border>
    <border>
      <left style="double">
        <color indexed="64"/>
      </left>
      <right/>
      <top/>
      <bottom/>
      <diagonal/>
    </border>
    <border>
      <left style="thin">
        <color indexed="64"/>
      </left>
      <right style="thin">
        <color indexed="64"/>
      </right>
      <top/>
      <bottom style="thin">
        <color indexed="64"/>
      </bottom>
      <diagonal/>
    </border>
    <border>
      <left/>
      <right/>
      <top/>
      <bottom style="dotted">
        <color indexed="64"/>
      </bottom>
      <diagonal/>
    </border>
    <border>
      <left style="dotted">
        <color indexed="12"/>
      </left>
      <right style="dotted">
        <color indexed="12"/>
      </right>
      <top style="dotted">
        <color indexed="12"/>
      </top>
      <bottom style="dotted">
        <color indexed="12"/>
      </bottom>
      <diagonal/>
    </border>
    <border>
      <left style="dotted">
        <color indexed="57"/>
      </left>
      <right style="dotted">
        <color indexed="57"/>
      </right>
      <top style="dotted">
        <color indexed="57"/>
      </top>
      <bottom style="dotted">
        <color indexed="57"/>
      </bottom>
      <diagonal/>
    </border>
    <border>
      <left style="thin">
        <color indexed="57"/>
      </left>
      <right style="thin">
        <color indexed="57"/>
      </right>
      <top style="thin">
        <color indexed="57"/>
      </top>
      <bottom style="thin">
        <color indexed="57"/>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right style="hair">
        <color indexed="64"/>
      </right>
      <top/>
      <bottom/>
      <diagonal/>
    </border>
    <border>
      <left/>
      <right style="thin">
        <color indexed="64"/>
      </right>
      <top/>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64"/>
      </top>
      <bottom/>
      <diagonal/>
    </border>
    <border>
      <left style="double">
        <color indexed="64"/>
      </left>
      <right/>
      <top style="double">
        <color indexed="64"/>
      </top>
      <bottom/>
      <diagonal/>
    </border>
    <border>
      <left/>
      <right style="medium">
        <color indexed="64"/>
      </right>
      <top/>
      <bottom/>
      <diagonal/>
    </border>
    <border>
      <left/>
      <right/>
      <top style="medium">
        <color indexed="23"/>
      </top>
      <bottom style="medium">
        <color indexed="23"/>
      </bottom>
      <diagonal/>
    </border>
    <border>
      <left/>
      <right/>
      <top style="medium">
        <color indexed="41"/>
      </top>
      <bottom style="medium">
        <color indexed="41"/>
      </bottom>
      <diagonal/>
    </border>
    <border>
      <left/>
      <right/>
      <top style="medium">
        <color indexed="41"/>
      </top>
      <bottom/>
      <diagonal/>
    </border>
    <border>
      <left/>
      <right/>
      <top/>
      <bottom style="thin">
        <color indexed="23"/>
      </bottom>
      <diagonal/>
    </border>
    <border>
      <left/>
      <right/>
      <top style="thick">
        <color indexed="64"/>
      </top>
      <bottom/>
      <diagonal/>
    </border>
    <border>
      <left/>
      <right/>
      <top/>
      <bottom style="thick">
        <color indexed="18"/>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right/>
      <top/>
      <bottom style="medium">
        <color indexed="18"/>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bottom style="thin">
        <color indexed="8"/>
      </bottom>
      <diagonal/>
    </border>
    <border>
      <left/>
      <right/>
      <top style="thin">
        <color indexed="64"/>
      </top>
      <bottom style="double">
        <color indexed="64"/>
      </bottom>
      <diagonal/>
    </border>
    <border>
      <left/>
      <right/>
      <top style="thin">
        <color indexed="62"/>
      </top>
      <bottom style="double">
        <color indexed="62"/>
      </bottom>
      <diagonal/>
    </border>
    <border>
      <left/>
      <right/>
      <top/>
      <bottom style="thin">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375">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13" fillId="0" borderId="0"/>
    <xf numFmtId="43" fontId="3" fillId="0" borderId="0" applyFont="0" applyFill="0" applyBorder="0" applyAlignment="0" applyProtection="0"/>
    <xf numFmtId="0" fontId="3" fillId="0" borderId="0"/>
    <xf numFmtId="0" fontId="14" fillId="0" borderId="0" applyNumberFormat="0" applyFill="0" applyBorder="0" applyAlignment="0" applyProtection="0"/>
    <xf numFmtId="0" fontId="15" fillId="0" borderId="0" applyNumberFormat="0" applyFont="0" applyFill="0" applyBorder="0" applyAlignment="0" applyProtection="0"/>
    <xf numFmtId="0" fontId="3" fillId="0" borderId="0"/>
    <xf numFmtId="171" fontId="3" fillId="0" borderId="0" applyFont="0" applyFill="0" applyBorder="0" applyAlignment="0" applyProtection="0"/>
    <xf numFmtId="172"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15" fillId="0" borderId="0" applyNumberForma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3" fontId="3" fillId="0" borderId="0" applyFont="0" applyFill="0" applyBorder="0" applyAlignment="0" applyProtection="0"/>
    <xf numFmtId="174" fontId="3" fillId="0" borderId="0" applyFont="0" applyFill="0" applyBorder="0" applyAlignment="0" applyProtection="0"/>
    <xf numFmtId="175" fontId="3" fillId="0" borderId="0" applyFont="0" applyFill="0" applyBorder="0" applyAlignment="0" applyProtection="0"/>
    <xf numFmtId="176" fontId="3" fillId="0" borderId="0" applyFont="0" applyFill="0" applyBorder="0" applyAlignment="0" applyProtection="0"/>
    <xf numFmtId="0" fontId="16" fillId="0" borderId="0"/>
    <xf numFmtId="0" fontId="3" fillId="0" borderId="0"/>
    <xf numFmtId="0" fontId="3" fillId="0" borderId="0"/>
    <xf numFmtId="0" fontId="3" fillId="0" borderId="0" applyFont="0" applyFill="0" applyBorder="0" applyAlignment="0" applyProtection="0"/>
    <xf numFmtId="177" fontId="3" fillId="0" borderId="0" applyFont="0" applyFill="0" applyBorder="0" applyAlignment="0" applyProtection="0"/>
    <xf numFmtId="169" fontId="3" fillId="0" borderId="0" applyNumberFormat="0" applyFill="0" applyBorder="0" applyAlignment="0"/>
    <xf numFmtId="178" fontId="3" fillId="0" borderId="0" applyFill="0" applyBorder="0" applyProtection="0">
      <alignment horizontal="right"/>
    </xf>
    <xf numFmtId="0" fontId="3" fillId="0" borderId="0" applyFont="0" applyFill="0" applyBorder="0" applyAlignment="0" applyProtection="0"/>
    <xf numFmtId="0" fontId="3" fillId="0" borderId="0" applyFont="0" applyFill="0" applyBorder="0" applyAlignment="0" applyProtection="0"/>
    <xf numFmtId="170" fontId="17" fillId="5" borderId="0">
      <alignment horizontal="left"/>
    </xf>
    <xf numFmtId="179" fontId="18" fillId="0" borderId="0" applyFont="0" applyFill="0" applyBorder="0" applyAlignment="0" applyProtection="0"/>
    <xf numFmtId="180" fontId="19" fillId="0" borderId="0" applyFont="0" applyFill="0" applyBorder="0" applyAlignment="0" applyProtection="0"/>
    <xf numFmtId="0" fontId="3" fillId="0" borderId="0" applyNumberFormat="0" applyFill="0" applyBorder="0" applyAlignment="0" applyProtection="0"/>
    <xf numFmtId="0" fontId="20" fillId="0" borderId="0" applyNumberFormat="0" applyFill="0" applyBorder="0" applyAlignment="0" applyProtection="0"/>
    <xf numFmtId="0" fontId="21" fillId="0" borderId="7" applyNumberFormat="0" applyFill="0" applyAlignment="0" applyProtection="0"/>
    <xf numFmtId="168" fontId="22" fillId="6" borderId="0" applyNumberFormat="0" applyFill="0" applyBorder="0" applyAlignment="0" applyProtection="0">
      <alignment horizontal="right"/>
    </xf>
    <xf numFmtId="0" fontId="3" fillId="0" borderId="0" applyFont="0" applyFill="0" applyBorder="0" applyAlignment="0" applyProtection="0"/>
    <xf numFmtId="181" fontId="3" fillId="0" borderId="0" applyFont="0" applyFill="0" applyBorder="0" applyAlignment="0" applyProtection="0"/>
    <xf numFmtId="0" fontId="3" fillId="0" borderId="0"/>
    <xf numFmtId="182" fontId="23" fillId="0" borderId="0" applyFill="0" applyBorder="0" applyAlignment="0" applyProtection="0">
      <protection locked="0"/>
    </xf>
    <xf numFmtId="0" fontId="24" fillId="7" borderId="0"/>
    <xf numFmtId="171" fontId="18" fillId="0" borderId="0" applyNumberFormat="0" applyFont="0" applyAlignment="0" applyProtection="0"/>
    <xf numFmtId="0" fontId="25" fillId="8" borderId="0" applyNumberFormat="0" applyBorder="0">
      <alignment horizontal="center" vertical="center"/>
    </xf>
    <xf numFmtId="0" fontId="23" fillId="0" borderId="8" applyNumberFormat="0" applyFont="0" applyFill="0" applyAlignment="0" applyProtection="0"/>
    <xf numFmtId="0" fontId="23" fillId="0" borderId="9" applyNumberFormat="0" applyFont="0" applyFill="0" applyAlignment="0" applyProtection="0"/>
    <xf numFmtId="0" fontId="26" fillId="0" borderId="0" applyFont="0" applyFill="0" applyBorder="0" applyAlignment="0" applyProtection="0"/>
    <xf numFmtId="0" fontId="3" fillId="0" borderId="0"/>
    <xf numFmtId="39" fontId="27" fillId="0" borderId="4" applyNumberFormat="0" applyFill="0" applyBorder="0"/>
    <xf numFmtId="182" fontId="23" fillId="0" borderId="0" applyFont="0" applyFill="0" applyBorder="0" applyAlignment="0" applyProtection="0">
      <protection locked="0"/>
    </xf>
    <xf numFmtId="183" fontId="28" fillId="0" borderId="0" applyNumberFormat="0" applyAlignment="0">
      <alignment vertical="center"/>
    </xf>
    <xf numFmtId="0" fontId="29" fillId="0" borderId="0">
      <alignment horizontal="center" wrapText="1"/>
      <protection hidden="1"/>
    </xf>
    <xf numFmtId="0" fontId="30" fillId="9" borderId="8" applyNumberFormat="0" applyProtection="0">
      <alignment horizontal="center" vertical="center" wrapText="1"/>
    </xf>
    <xf numFmtId="0" fontId="30" fillId="9" borderId="0" applyNumberFormat="0" applyBorder="0" applyProtection="0">
      <alignment horizontal="centerContinuous" vertical="center"/>
    </xf>
    <xf numFmtId="0" fontId="30" fillId="9" borderId="10" applyNumberFormat="0" applyBorder="0" applyProtection="0">
      <alignment horizontal="center" vertical="center" wrapText="1"/>
    </xf>
    <xf numFmtId="0" fontId="31" fillId="10" borderId="0" applyNumberFormat="0">
      <alignment horizontal="center" vertical="top" wrapText="1"/>
    </xf>
    <xf numFmtId="0" fontId="31" fillId="10" borderId="0" applyNumberFormat="0">
      <alignment horizontal="left" vertical="top" wrapText="1"/>
    </xf>
    <xf numFmtId="0" fontId="31" fillId="10" borderId="0" applyNumberFormat="0">
      <alignment horizontal="centerContinuous" vertical="top"/>
    </xf>
    <xf numFmtId="0" fontId="32" fillId="10" borderId="0" applyNumberFormat="0">
      <alignment horizontal="center" vertical="top" wrapText="1"/>
    </xf>
    <xf numFmtId="0" fontId="31" fillId="11" borderId="0" applyNumberFormat="0">
      <alignment horizontal="center" vertical="top" wrapText="1"/>
    </xf>
    <xf numFmtId="0" fontId="18" fillId="0" borderId="11" applyNumberFormat="0" applyFont="0" applyFill="0" applyAlignment="0" applyProtection="0">
      <alignment horizontal="left"/>
    </xf>
    <xf numFmtId="170" fontId="33"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alignment horizontal="right"/>
    </xf>
    <xf numFmtId="43"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35" fillId="0" borderId="0" applyFont="0" applyFill="0" applyBorder="0" applyAlignment="0" applyProtection="0"/>
    <xf numFmtId="171" fontId="13" fillId="0" borderId="0"/>
    <xf numFmtId="3" fontId="36" fillId="0" borderId="0" applyFont="0" applyFill="0" applyBorder="0" applyAlignment="0" applyProtection="0"/>
    <xf numFmtId="0" fontId="37" fillId="12" borderId="0">
      <alignment horizontal="center" vertical="center" wrapText="1"/>
    </xf>
    <xf numFmtId="0" fontId="3" fillId="0" borderId="0">
      <alignment horizontal="left"/>
    </xf>
    <xf numFmtId="0" fontId="3" fillId="0" borderId="0"/>
    <xf numFmtId="0" fontId="3" fillId="0" borderId="0">
      <alignment horizontal="left"/>
    </xf>
    <xf numFmtId="184" fontId="29" fillId="0" borderId="0" applyFill="0" applyBorder="0">
      <alignment horizontal="right"/>
      <protection locked="0"/>
    </xf>
    <xf numFmtId="185" fontId="38" fillId="0" borderId="0" applyFont="0"/>
    <xf numFmtId="186" fontId="32" fillId="0" borderId="0" applyFont="0" applyFill="0" applyBorder="0" applyAlignment="0" applyProtection="0">
      <alignment vertical="center"/>
    </xf>
    <xf numFmtId="187" fontId="38" fillId="0" borderId="0" applyFont="0"/>
    <xf numFmtId="188" fontId="3" fillId="0" borderId="0"/>
    <xf numFmtId="189" fontId="3" fillId="0" borderId="0" applyFont="0" applyFill="0" applyBorder="0" applyAlignment="0"/>
    <xf numFmtId="0" fontId="34" fillId="0" borderId="0" applyFont="0" applyFill="0" applyBorder="0" applyAlignment="0" applyProtection="0">
      <alignment horizontal="right"/>
    </xf>
    <xf numFmtId="0" fontId="34" fillId="0" borderId="0" applyFont="0" applyFill="0" applyBorder="0" applyAlignment="0" applyProtection="0">
      <alignment horizontal="right"/>
    </xf>
    <xf numFmtId="190" fontId="32" fillId="0" borderId="0" applyFont="0" applyFill="0" applyBorder="0" applyAlignment="0" applyProtection="0">
      <alignment vertical="center"/>
    </xf>
    <xf numFmtId="191" fontId="32" fillId="0" borderId="0" applyFont="0" applyFill="0" applyBorder="0" applyAlignment="0" applyProtection="0">
      <alignment vertical="center"/>
    </xf>
    <xf numFmtId="192" fontId="32" fillId="0" borderId="0" applyFont="0" applyFill="0" applyBorder="0" applyAlignment="0" applyProtection="0">
      <alignment vertical="center"/>
    </xf>
    <xf numFmtId="193" fontId="32" fillId="0" borderId="0" applyFont="0" applyFill="0" applyBorder="0" applyAlignment="0" applyProtection="0">
      <alignment vertical="center"/>
    </xf>
    <xf numFmtId="194" fontId="32" fillId="0" borderId="0" applyFont="0" applyFill="0" applyBorder="0" applyAlignment="0" applyProtection="0">
      <alignment vertical="center"/>
    </xf>
    <xf numFmtId="195" fontId="32" fillId="0" borderId="0" applyFont="0" applyFill="0" applyBorder="0" applyAlignment="0" applyProtection="0">
      <alignment vertical="center"/>
    </xf>
    <xf numFmtId="196" fontId="32" fillId="0" borderId="0" applyFont="0" applyFill="0" applyBorder="0" applyAlignment="0" applyProtection="0">
      <alignment vertical="center"/>
    </xf>
    <xf numFmtId="197" fontId="32" fillId="0" borderId="0" applyFont="0" applyFill="0" applyBorder="0" applyAlignment="0" applyProtection="0">
      <alignment vertical="center"/>
    </xf>
    <xf numFmtId="198" fontId="32" fillId="0" borderId="0" applyFont="0" applyFill="0" applyBorder="0" applyAlignment="0" applyProtection="0">
      <alignment vertical="center"/>
    </xf>
    <xf numFmtId="199" fontId="32" fillId="0" borderId="0" applyFont="0" applyFill="0" applyBorder="0" applyAlignment="0" applyProtection="0">
      <alignment vertical="center"/>
    </xf>
    <xf numFmtId="200" fontId="32" fillId="0" borderId="0" applyFont="0" applyFill="0" applyBorder="0" applyAlignment="0" applyProtection="0">
      <alignment vertical="center"/>
    </xf>
    <xf numFmtId="201" fontId="32" fillId="0" borderId="0" applyFont="0" applyFill="0" applyBorder="0" applyAlignment="0" applyProtection="0">
      <alignment vertical="center"/>
    </xf>
    <xf numFmtId="202" fontId="3" fillId="0" borderId="0" applyFont="0" applyFill="0" applyBorder="0" applyAlignment="0" applyProtection="0"/>
    <xf numFmtId="0" fontId="3" fillId="0" borderId="0">
      <alignment horizontal="right"/>
      <protection locked="0"/>
    </xf>
    <xf numFmtId="203" fontId="32" fillId="0" borderId="0" applyFont="0" applyFill="0" applyBorder="0" applyAlignment="0" applyProtection="0">
      <alignment vertical="center"/>
    </xf>
    <xf numFmtId="204" fontId="32" fillId="0" borderId="0" applyFont="0" applyFill="0" applyBorder="0" applyAlignment="0" applyProtection="0">
      <alignment vertical="center"/>
    </xf>
    <xf numFmtId="15" fontId="39" fillId="0" borderId="0" applyFill="0" applyBorder="0" applyAlignment="0"/>
    <xf numFmtId="0" fontId="39" fillId="5" borderId="0" applyFont="0" applyFill="0" applyBorder="0" applyAlignment="0" applyProtection="0"/>
    <xf numFmtId="205" fontId="3" fillId="5" borderId="12" applyFont="0" applyFill="0" applyBorder="0" applyAlignment="0" applyProtection="0"/>
    <xf numFmtId="206" fontId="3" fillId="5" borderId="0" applyFont="0" applyFill="0" applyBorder="0" applyAlignment="0" applyProtection="0"/>
    <xf numFmtId="17" fontId="39" fillId="0" borderId="0" applyFill="0" applyBorder="0">
      <alignment horizontal="right"/>
    </xf>
    <xf numFmtId="164" fontId="3" fillId="0" borderId="6" applyFont="0" applyFill="0" applyBorder="0" applyAlignment="0" applyProtection="0"/>
    <xf numFmtId="0" fontId="34" fillId="0" borderId="0" applyFont="0" applyFill="0" applyBorder="0" applyAlignment="0" applyProtection="0"/>
    <xf numFmtId="0" fontId="3" fillId="0" borderId="0">
      <alignment horizontal="right"/>
      <protection locked="0"/>
    </xf>
    <xf numFmtId="206" fontId="3" fillId="0" borderId="0" applyFill="0" applyBorder="0">
      <alignment horizontal="right"/>
    </xf>
    <xf numFmtId="14" fontId="40" fillId="0" borderId="0" applyFont="0" applyFill="0" applyBorder="0" applyAlignment="0" applyProtection="0">
      <alignment horizontal="center"/>
    </xf>
    <xf numFmtId="207" fontId="40" fillId="0" borderId="0" applyFont="0" applyFill="0" applyBorder="0" applyAlignment="0" applyProtection="0">
      <alignment horizontal="center"/>
    </xf>
    <xf numFmtId="208" fontId="41" fillId="0" borderId="4" applyNumberFormat="0" applyFill="0" applyBorder="0" applyAlignment="0">
      <alignment horizontal="left"/>
      <protection locked="0"/>
    </xf>
    <xf numFmtId="209" fontId="18" fillId="0" borderId="0" applyFont="0" applyFill="0" applyBorder="0" applyAlignment="0" applyProtection="0"/>
    <xf numFmtId="0" fontId="42" fillId="0" borderId="0">
      <protection locked="0"/>
    </xf>
    <xf numFmtId="189" fontId="23" fillId="0" borderId="0" applyFont="0" applyFill="0" applyBorder="0" applyAlignment="0" applyProtection="0"/>
    <xf numFmtId="0" fontId="13" fillId="0" borderId="0"/>
    <xf numFmtId="210" fontId="23" fillId="0" borderId="0" applyFont="0" applyFill="0" applyBorder="0" applyAlignment="0" applyProtection="0"/>
    <xf numFmtId="0" fontId="34" fillId="0" borderId="13" applyNumberFormat="0" applyFont="0" applyFill="0" applyAlignment="0" applyProtection="0"/>
    <xf numFmtId="0" fontId="43" fillId="0" borderId="0" applyFill="0" applyBorder="0" applyAlignment="0" applyProtection="0"/>
    <xf numFmtId="165" fontId="44" fillId="0" borderId="14" applyNumberFormat="0" applyAlignment="0" applyProtection="0">
      <alignment vertical="top"/>
    </xf>
    <xf numFmtId="0" fontId="13" fillId="13" borderId="0" applyNumberFormat="0" applyFont="0" applyBorder="0" applyAlignment="0" applyProtection="0"/>
    <xf numFmtId="211" fontId="18" fillId="0" borderId="0" applyFont="0" applyFill="0" applyBorder="0" applyAlignment="0"/>
    <xf numFmtId="189" fontId="23" fillId="0" borderId="0" applyFont="0" applyFill="0" applyBorder="0" applyAlignment="0" applyProtection="0">
      <alignment horizontal="right"/>
    </xf>
    <xf numFmtId="212" fontId="18" fillId="0" borderId="0" applyFont="0" applyFill="0" applyBorder="0" applyProtection="0">
      <alignment horizontal="left"/>
      <protection locked="0"/>
    </xf>
    <xf numFmtId="213" fontId="18" fillId="0" borderId="0" applyFont="0" applyFill="0" applyBorder="0" applyProtection="0">
      <alignment horizontal="left"/>
      <protection locked="0"/>
    </xf>
    <xf numFmtId="189" fontId="3" fillId="0" borderId="0"/>
    <xf numFmtId="165" fontId="3" fillId="0" borderId="0"/>
    <xf numFmtId="171" fontId="3" fillId="0" borderId="0"/>
    <xf numFmtId="214" fontId="3" fillId="0" borderId="0" applyFont="0" applyFill="0" applyBorder="0" applyAlignment="0" applyProtection="0"/>
    <xf numFmtId="215" fontId="18" fillId="6" borderId="0">
      <alignment horizontal="right"/>
    </xf>
    <xf numFmtId="3" fontId="45" fillId="0" borderId="0" applyNumberFormat="0" applyFont="0" applyFill="0" applyBorder="0" applyAlignment="0" applyProtection="0">
      <alignment horizontal="left"/>
    </xf>
    <xf numFmtId="2" fontId="36" fillId="0" borderId="0" applyFont="0" applyFill="0" applyBorder="0" applyAlignment="0" applyProtection="0"/>
    <xf numFmtId="0" fontId="3" fillId="5" borderId="0" applyFont="0" applyFill="0" applyBorder="0" applyAlignment="0"/>
    <xf numFmtId="0" fontId="13" fillId="0" borderId="0"/>
    <xf numFmtId="0" fontId="46" fillId="0" borderId="0" applyNumberFormat="0" applyFill="0" applyBorder="0" applyAlignment="0" applyProtection="0">
      <alignment vertical="top"/>
      <protection locked="0"/>
    </xf>
    <xf numFmtId="0" fontId="3" fillId="0" borderId="0">
      <alignment horizontal="left"/>
    </xf>
    <xf numFmtId="0" fontId="3" fillId="0" borderId="0">
      <alignment horizontal="left"/>
    </xf>
    <xf numFmtId="0" fontId="3" fillId="0" borderId="0" applyFill="0" applyBorder="0" applyProtection="0">
      <alignment horizontal="left"/>
    </xf>
    <xf numFmtId="0" fontId="3" fillId="0" borderId="0">
      <alignment horizontal="left"/>
    </xf>
    <xf numFmtId="0" fontId="3" fillId="0" borderId="0">
      <alignment horizontal="left"/>
    </xf>
    <xf numFmtId="0" fontId="13" fillId="0" borderId="0"/>
    <xf numFmtId="216" fontId="23" fillId="0" borderId="0" applyFill="0" applyBorder="0" applyAlignment="0" applyProtection="0">
      <protection locked="0"/>
    </xf>
    <xf numFmtId="38" fontId="13" fillId="14" borderId="0" applyNumberFormat="0" applyFont="0" applyBorder="0" applyAlignment="0">
      <protection hidden="1"/>
    </xf>
    <xf numFmtId="217" fontId="47" fillId="0" borderId="0" applyFill="0" applyBorder="0" applyAlignment="0" applyProtection="0"/>
    <xf numFmtId="217" fontId="48" fillId="0" borderId="0" applyAlignment="0">
      <alignment horizontal="left"/>
      <protection locked="0"/>
    </xf>
    <xf numFmtId="0" fontId="49" fillId="10" borderId="0" applyNumberFormat="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horizontal="left" vertical="center"/>
    </xf>
    <xf numFmtId="0" fontId="31" fillId="0" borderId="0" applyNumberFormat="0" applyFill="0" applyBorder="0" applyAlignment="0" applyProtection="0">
      <alignment vertical="center"/>
    </xf>
    <xf numFmtId="0" fontId="18" fillId="0" borderId="0"/>
    <xf numFmtId="218" fontId="53" fillId="0" borderId="0" applyNumberFormat="0" applyFill="0" applyBorder="0" applyAlignment="0" applyProtection="0"/>
    <xf numFmtId="2" fontId="54" fillId="15" borderId="0"/>
    <xf numFmtId="219" fontId="39" fillId="5" borderId="10" applyNumberFormat="0" applyFont="0" applyAlignment="0"/>
    <xf numFmtId="0" fontId="34" fillId="0" borderId="0" applyFont="0" applyFill="0" applyBorder="0" applyAlignment="0" applyProtection="0">
      <alignment horizontal="right"/>
    </xf>
    <xf numFmtId="0" fontId="3" fillId="1" borderId="0" applyNumberFormat="0" applyBorder="0" applyProtection="0">
      <alignment horizontal="left" vertical="center"/>
    </xf>
    <xf numFmtId="0" fontId="3" fillId="0" borderId="0" applyProtection="0">
      <alignment horizontal="right"/>
    </xf>
    <xf numFmtId="0" fontId="3" fillId="0" borderId="0">
      <alignment horizontal="left"/>
    </xf>
    <xf numFmtId="0" fontId="55" fillId="16" borderId="0">
      <alignment horizontal="left"/>
    </xf>
    <xf numFmtId="0" fontId="3" fillId="17" borderId="0"/>
    <xf numFmtId="0" fontId="3" fillId="0" borderId="0">
      <alignment horizontal="left"/>
    </xf>
    <xf numFmtId="0" fontId="3" fillId="0" borderId="4">
      <alignment horizontal="left" vertical="top"/>
    </xf>
    <xf numFmtId="0" fontId="3" fillId="0" borderId="0">
      <alignment horizontal="left"/>
    </xf>
    <xf numFmtId="0" fontId="3" fillId="0" borderId="4">
      <alignment horizontal="left" vertical="top"/>
    </xf>
    <xf numFmtId="0" fontId="3" fillId="0" borderId="0">
      <alignment horizontal="left"/>
    </xf>
    <xf numFmtId="0" fontId="56" fillId="0" borderId="0"/>
    <xf numFmtId="0" fontId="32" fillId="2" borderId="0" applyNumberFormat="0" applyFont="0" applyBorder="0" applyAlignment="0" applyProtection="0">
      <alignment vertical="center"/>
    </xf>
    <xf numFmtId="220" fontId="57" fillId="0" borderId="0" applyNumberFormat="0" applyFill="0" applyBorder="0" applyAlignment="0"/>
    <xf numFmtId="0" fontId="5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216" fontId="23" fillId="0" borderId="0" applyFill="0" applyBorder="0" applyAlignment="0" applyProtection="0">
      <alignment horizontal="right"/>
      <protection locked="0"/>
    </xf>
    <xf numFmtId="0" fontId="34" fillId="0" borderId="0" applyNumberFormat="0" applyFill="0" applyBorder="0" applyAlignment="0" applyProtection="0"/>
    <xf numFmtId="10" fontId="13" fillId="5" borderId="10" applyNumberFormat="0" applyBorder="0" applyAlignment="0" applyProtection="0"/>
    <xf numFmtId="0" fontId="32" fillId="0" borderId="15" applyNumberFormat="0" applyAlignment="0">
      <alignment vertical="center"/>
    </xf>
    <xf numFmtId="189" fontId="13" fillId="0" borderId="0"/>
    <xf numFmtId="0" fontId="32" fillId="0" borderId="16" applyNumberFormat="0" applyAlignment="0">
      <alignment vertical="center"/>
      <protection locked="0"/>
    </xf>
    <xf numFmtId="206" fontId="3" fillId="5" borderId="0" applyFont="0" applyBorder="0" applyAlignment="0" applyProtection="0">
      <protection locked="0"/>
    </xf>
    <xf numFmtId="221" fontId="32" fillId="18" borderId="16" applyNumberFormat="0" applyAlignment="0">
      <alignment vertical="center"/>
      <protection locked="0"/>
    </xf>
    <xf numFmtId="0" fontId="13" fillId="5" borderId="0" applyFont="0" applyBorder="0" applyAlignment="0">
      <protection locked="0"/>
    </xf>
    <xf numFmtId="0" fontId="32" fillId="10" borderId="0" applyNumberFormat="0" applyAlignment="0">
      <alignment vertical="center"/>
    </xf>
    <xf numFmtId="0" fontId="32" fillId="19" borderId="0" applyNumberFormat="0" applyAlignment="0">
      <alignment vertical="center"/>
    </xf>
    <xf numFmtId="0" fontId="54" fillId="0" borderId="0" applyNumberFormat="0" applyFill="0" applyBorder="0" applyAlignment="0" applyProtection="0"/>
    <xf numFmtId="216" fontId="13" fillId="5" borderId="0">
      <protection locked="0"/>
    </xf>
    <xf numFmtId="0" fontId="32" fillId="0" borderId="17" applyNumberFormat="0" applyAlignment="0">
      <alignment vertical="center"/>
      <protection locked="0"/>
    </xf>
    <xf numFmtId="222" fontId="3" fillId="5" borderId="0" applyFont="0" applyBorder="0" applyAlignment="0">
      <protection locked="0"/>
    </xf>
    <xf numFmtId="10" fontId="13" fillId="5" borderId="0">
      <protection locked="0"/>
    </xf>
    <xf numFmtId="0" fontId="13" fillId="5" borderId="0" applyFont="0" applyBorder="0" applyAlignment="0">
      <protection locked="0"/>
    </xf>
    <xf numFmtId="216" fontId="60" fillId="5" borderId="0" applyNumberFormat="0" applyBorder="0" applyAlignment="0">
      <protection locked="0"/>
    </xf>
    <xf numFmtId="10" fontId="3" fillId="0" borderId="0">
      <protection locked="0"/>
    </xf>
    <xf numFmtId="0" fontId="3" fillId="5" borderId="10"/>
    <xf numFmtId="0" fontId="3" fillId="5" borderId="10"/>
    <xf numFmtId="0" fontId="42" fillId="0" borderId="0" applyNumberFormat="0" applyFill="0" applyBorder="0" applyAlignment="0">
      <protection locked="0"/>
    </xf>
    <xf numFmtId="15" fontId="3" fillId="0" borderId="0">
      <protection locked="0"/>
    </xf>
    <xf numFmtId="2" fontId="3" fillId="0" borderId="18">
      <protection locked="0"/>
    </xf>
    <xf numFmtId="0" fontId="3" fillId="0" borderId="0">
      <protection locked="0"/>
    </xf>
    <xf numFmtId="0" fontId="29" fillId="0" borderId="0" applyFill="0" applyBorder="0">
      <alignment horizontal="right"/>
      <protection locked="0"/>
    </xf>
    <xf numFmtId="223" fontId="29" fillId="0" borderId="0" applyFill="0" applyBorder="0">
      <alignment horizontal="right"/>
      <protection locked="0"/>
    </xf>
    <xf numFmtId="224" fontId="42" fillId="20" borderId="0" applyBorder="0"/>
    <xf numFmtId="0" fontId="14" fillId="21" borderId="19">
      <alignment horizontal="left" vertical="center" wrapText="1"/>
    </xf>
    <xf numFmtId="4" fontId="54" fillId="15" borderId="0"/>
    <xf numFmtId="1" fontId="61" fillId="1" borderId="20">
      <protection locked="0"/>
    </xf>
    <xf numFmtId="168" fontId="62" fillId="0" borderId="6" applyNumberFormat="0" applyFill="0">
      <alignment vertical="center"/>
    </xf>
    <xf numFmtId="37" fontId="63" fillId="0" borderId="0" applyNumberFormat="0" applyFill="0" applyBorder="0" applyAlignment="0" applyProtection="0">
      <alignment horizontal="right"/>
    </xf>
    <xf numFmtId="171" fontId="64" fillId="0" borderId="0" applyNumberFormat="0" applyFont="0" applyFill="0" applyBorder="0" applyAlignment="0">
      <protection hidden="1"/>
    </xf>
    <xf numFmtId="0" fontId="65" fillId="0" borderId="0" applyNumberFormat="0" applyFill="0" applyBorder="0" applyProtection="0">
      <alignment horizontal="left" vertical="center"/>
    </xf>
    <xf numFmtId="1" fontId="66" fillId="0" borderId="0"/>
    <xf numFmtId="0" fontId="67" fillId="0" borderId="0"/>
    <xf numFmtId="225" fontId="3" fillId="20" borderId="0" applyBorder="0" applyAlignment="0">
      <alignment horizontal="right"/>
    </xf>
    <xf numFmtId="226" fontId="68" fillId="0" borderId="0" applyFill="0" applyBorder="0" applyAlignment="0" applyProtection="0"/>
    <xf numFmtId="40" fontId="29" fillId="0" borderId="0" applyFont="0" applyFill="0" applyBorder="0" applyAlignment="0" applyProtection="0"/>
    <xf numFmtId="227" fontId="35" fillId="0" borderId="0" applyFont="0" applyFill="0" applyBorder="0" applyAlignment="0" applyProtection="0"/>
    <xf numFmtId="228" fontId="18" fillId="0" borderId="0" applyFont="0" applyFill="0" applyBorder="0" applyAlignment="0" applyProtection="0"/>
    <xf numFmtId="229" fontId="35" fillId="0" borderId="0" applyFont="0" applyFill="0" applyBorder="0" applyAlignment="0" applyProtection="0"/>
    <xf numFmtId="165" fontId="3" fillId="0" borderId="0"/>
    <xf numFmtId="230" fontId="35" fillId="0" borderId="0" applyFont="0" applyFill="0" applyBorder="0" applyAlignment="0" applyProtection="0"/>
    <xf numFmtId="231" fontId="3" fillId="0" borderId="0" applyFont="0" applyFill="0" applyBorder="0" applyAlignment="0"/>
    <xf numFmtId="232" fontId="35" fillId="0" borderId="0" applyFont="0" applyFill="0" applyBorder="0" applyAlignment="0" applyProtection="0"/>
    <xf numFmtId="0" fontId="34" fillId="0" borderId="0" applyFont="0" applyFill="0" applyBorder="0" applyAlignment="0" applyProtection="0">
      <alignment horizontal="right"/>
    </xf>
    <xf numFmtId="169" fontId="3" fillId="14" borderId="0" applyFont="0" applyBorder="0" applyAlignment="0" applyProtection="0">
      <alignment horizontal="right"/>
      <protection hidden="1"/>
    </xf>
    <xf numFmtId="0" fontId="69" fillId="0" borderId="0" applyNumberFormat="0" applyAlignment="0">
      <alignment vertical="center"/>
    </xf>
    <xf numFmtId="0" fontId="42" fillId="0" borderId="21" applyBorder="0" applyAlignment="0" applyProtection="0">
      <alignment horizontal="center"/>
    </xf>
    <xf numFmtId="37" fontId="70" fillId="0" borderId="0"/>
    <xf numFmtId="0" fontId="3" fillId="0" borderId="0"/>
    <xf numFmtId="1" fontId="71" fillId="0" borderId="0" applyFill="0" applyBorder="0"/>
    <xf numFmtId="38" fontId="13" fillId="0" borderId="0" applyFont="0" applyFill="0" applyBorder="0" applyAlignment="0"/>
    <xf numFmtId="216" fontId="3" fillId="0" borderId="0" applyFont="0" applyFill="0" applyBorder="0" applyAlignment="0"/>
    <xf numFmtId="40" fontId="13" fillId="0" borderId="0" applyFont="0" applyFill="0" applyBorder="0" applyAlignment="0"/>
    <xf numFmtId="233" fontId="3" fillId="0" borderId="0" applyFont="0" applyFill="0" applyBorder="0" applyAlignment="0"/>
    <xf numFmtId="0" fontId="3" fillId="0" borderId="0"/>
    <xf numFmtId="0" fontId="3" fillId="0" borderId="0"/>
    <xf numFmtId="0" fontId="3" fillId="0" borderId="0"/>
    <xf numFmtId="216" fontId="39" fillId="0" borderId="0" applyNumberFormat="0" applyFill="0" applyBorder="0" applyAlignment="0" applyProtection="0"/>
    <xf numFmtId="0" fontId="13" fillId="0" borderId="0" applyFont="0" applyFill="0" applyBorder="0" applyAlignment="0" applyProtection="0"/>
    <xf numFmtId="218" fontId="18" fillId="0" borderId="0" applyFill="0" applyBorder="0" applyAlignment="0" applyProtection="0"/>
    <xf numFmtId="0" fontId="3" fillId="0" borderId="0"/>
    <xf numFmtId="166" fontId="3" fillId="0" borderId="0"/>
    <xf numFmtId="37" fontId="72" fillId="0" borderId="0" applyNumberFormat="0" applyFont="0" applyFill="0" applyBorder="0" applyAlignment="0" applyProtection="0"/>
    <xf numFmtId="0" fontId="73" fillId="0" borderId="18"/>
    <xf numFmtId="234" fontId="3" fillId="0" borderId="0" applyFont="0" applyFill="0" applyBorder="0" applyAlignment="0" applyProtection="0"/>
    <xf numFmtId="221" fontId="32" fillId="0" borderId="0" applyFont="0" applyFill="0" applyBorder="0" applyAlignment="0" applyProtection="0">
      <alignment vertical="center"/>
    </xf>
    <xf numFmtId="183" fontId="32" fillId="0" borderId="0" applyFont="0" applyFill="0" applyBorder="0" applyAlignment="0" applyProtection="0">
      <alignment vertical="center"/>
    </xf>
    <xf numFmtId="38" fontId="18" fillId="0" borderId="22" applyFont="0" applyFill="0" applyBorder="0" applyAlignment="0" applyProtection="0"/>
    <xf numFmtId="235" fontId="3" fillId="0" borderId="0" applyFont="0" applyFill="0" applyBorder="0" applyAlignment="0" applyProtection="0"/>
    <xf numFmtId="236" fontId="74" fillId="22" borderId="4" applyFont="0" applyBorder="0"/>
    <xf numFmtId="169" fontId="75" fillId="0" borderId="0"/>
    <xf numFmtId="0" fontId="3" fillId="0" borderId="10">
      <alignment vertical="center" wrapText="1"/>
    </xf>
    <xf numFmtId="1" fontId="3" fillId="0" borderId="0" applyProtection="0">
      <alignment horizontal="right" vertical="center"/>
    </xf>
    <xf numFmtId="0" fontId="30" fillId="0" borderId="23" applyNumberFormat="0" applyAlignment="0" applyProtection="0"/>
    <xf numFmtId="0" fontId="18" fillId="10" borderId="0" applyNumberFormat="0" applyFont="0" applyBorder="0" applyAlignment="0" applyProtection="0"/>
    <xf numFmtId="0" fontId="13" fillId="11" borderId="18" applyNumberFormat="0" applyFont="0" applyBorder="0" applyAlignment="0" applyProtection="0">
      <alignment horizontal="center"/>
    </xf>
    <xf numFmtId="0" fontId="13" fillId="4" borderId="18" applyNumberFormat="0" applyFont="0" applyBorder="0" applyAlignment="0" applyProtection="0">
      <alignment horizontal="center"/>
    </xf>
    <xf numFmtId="0" fontId="18" fillId="0" borderId="24" applyNumberFormat="0" applyAlignment="0" applyProtection="0"/>
    <xf numFmtId="0" fontId="18" fillId="0" borderId="25" applyNumberFormat="0" applyAlignment="0" applyProtection="0"/>
    <xf numFmtId="0" fontId="30" fillId="0" borderId="26" applyNumberFormat="0" applyAlignment="0" applyProtection="0"/>
    <xf numFmtId="0" fontId="42" fillId="0" borderId="6">
      <alignment vertical="center"/>
    </xf>
    <xf numFmtId="0" fontId="13" fillId="0" borderId="0"/>
    <xf numFmtId="165" fontId="76" fillId="0" borderId="0" applyFill="0" applyBorder="0" applyProtection="0">
      <alignment vertical="top"/>
    </xf>
    <xf numFmtId="0" fontId="29" fillId="0" borderId="0" applyFont="0" applyFill="0" applyBorder="0" applyAlignment="0" applyProtection="0"/>
    <xf numFmtId="165" fontId="77" fillId="0" borderId="0" applyFont="0" applyFill="0" applyBorder="0" applyAlignment="0" applyProtection="0"/>
    <xf numFmtId="10" fontId="77" fillId="0" borderId="0" applyFont="0" applyFill="0" applyBorder="0" applyAlignment="0" applyProtection="0"/>
    <xf numFmtId="0" fontId="3" fillId="0" borderId="0" applyFont="0" applyFill="0" applyBorder="0" applyAlignment="0"/>
    <xf numFmtId="222" fontId="3" fillId="0" borderId="0" applyFont="0" applyFill="0" applyBorder="0" applyAlignment="0"/>
    <xf numFmtId="237" fontId="3" fillId="13" borderId="0" applyFont="0" applyFill="0" applyBorder="0" applyAlignment="0" applyProtection="0"/>
    <xf numFmtId="9" fontId="18" fillId="0" borderId="0"/>
    <xf numFmtId="10" fontId="18" fillId="0" borderId="0"/>
    <xf numFmtId="9" fontId="18" fillId="0" borderId="0"/>
    <xf numFmtId="9" fontId="3" fillId="0" borderId="0" applyFont="0" applyFill="0" applyBorder="0" applyAlignment="0" applyProtection="0"/>
    <xf numFmtId="238" fontId="32" fillId="0" borderId="0" applyFont="0" applyFill="0" applyBorder="0" applyAlignment="0" applyProtection="0">
      <alignment horizontal="right" vertical="center"/>
    </xf>
    <xf numFmtId="239" fontId="32" fillId="0" borderId="0" applyFont="0" applyFill="0" applyBorder="0" applyAlignment="0" applyProtection="0">
      <alignment vertical="center"/>
    </xf>
    <xf numFmtId="240" fontId="18" fillId="0" borderId="0" applyFont="0" applyFill="0" applyBorder="0" applyAlignment="0" applyProtection="0"/>
    <xf numFmtId="241" fontId="29" fillId="0" borderId="0" applyFill="0" applyBorder="0">
      <alignment horizontal="right"/>
      <protection locked="0"/>
    </xf>
    <xf numFmtId="217" fontId="23" fillId="0" borderId="0" applyFont="0" applyFill="0" applyBorder="0" applyAlignment="0" applyProtection="0"/>
    <xf numFmtId="177" fontId="3" fillId="0" borderId="0" applyFont="0" applyFill="0" applyBorder="0" applyAlignment="0" applyProtection="0"/>
    <xf numFmtId="189" fontId="23" fillId="0" borderId="0" applyFont="0" applyFill="0" applyBorder="0" applyAlignment="0" applyProtection="0"/>
    <xf numFmtId="216" fontId="23" fillId="0" borderId="0" applyFont="0" applyFill="0" applyBorder="0" applyAlignment="0" applyProtection="0">
      <protection locked="0"/>
    </xf>
    <xf numFmtId="226" fontId="73" fillId="0" borderId="0" applyFill="0" applyBorder="0" applyAlignment="0" applyProtection="0"/>
    <xf numFmtId="242" fontId="3" fillId="0" borderId="0" applyFont="0" applyFill="0" applyBorder="0" applyAlignment="0"/>
    <xf numFmtId="9" fontId="35" fillId="0" borderId="0" applyFont="0" applyFill="0" applyBorder="0" applyAlignment="0" applyProtection="0"/>
    <xf numFmtId="216" fontId="23" fillId="0" borderId="0" applyFill="0" applyBorder="0" applyAlignment="0" applyProtection="0"/>
    <xf numFmtId="38" fontId="23" fillId="0" borderId="0" applyFont="0" applyFill="0" applyBorder="0" applyAlignment="0" applyProtection="0"/>
    <xf numFmtId="189" fontId="78" fillId="0" borderId="27">
      <alignment horizontal="right"/>
    </xf>
    <xf numFmtId="10" fontId="23" fillId="0" borderId="0"/>
    <xf numFmtId="0" fontId="3" fillId="0" borderId="0">
      <alignment horizontal="right"/>
    </xf>
    <xf numFmtId="0" fontId="3" fillId="0" borderId="0"/>
    <xf numFmtId="243" fontId="3" fillId="0" borderId="0"/>
    <xf numFmtId="244" fontId="79" fillId="0" borderId="0"/>
    <xf numFmtId="243" fontId="3" fillId="0" borderId="0"/>
    <xf numFmtId="244" fontId="79" fillId="0" borderId="0"/>
    <xf numFmtId="244" fontId="79" fillId="0" borderId="0"/>
    <xf numFmtId="243" fontId="3" fillId="0" borderId="0"/>
    <xf numFmtId="244" fontId="79" fillId="0" borderId="0"/>
    <xf numFmtId="244" fontId="79" fillId="0" borderId="0"/>
    <xf numFmtId="244" fontId="79" fillId="0" borderId="0"/>
    <xf numFmtId="243" fontId="3" fillId="0" borderId="0"/>
    <xf numFmtId="244" fontId="79" fillId="0" borderId="0"/>
    <xf numFmtId="244" fontId="79" fillId="0" borderId="0"/>
    <xf numFmtId="243" fontId="3" fillId="0" borderId="0"/>
    <xf numFmtId="244" fontId="79" fillId="0" borderId="0"/>
    <xf numFmtId="244" fontId="79" fillId="0" borderId="0"/>
    <xf numFmtId="0" fontId="3" fillId="0" borderId="0"/>
    <xf numFmtId="0" fontId="3" fillId="0" borderId="0"/>
    <xf numFmtId="0" fontId="3" fillId="0" borderId="0"/>
    <xf numFmtId="245" fontId="29" fillId="0" borderId="0">
      <alignment horizontal="right"/>
      <protection locked="0"/>
    </xf>
    <xf numFmtId="216" fontId="80" fillId="0" borderId="0" applyNumberFormat="0" applyFill="0" applyBorder="0" applyAlignment="0" applyProtection="0">
      <alignment horizontal="left"/>
    </xf>
    <xf numFmtId="216" fontId="40" fillId="0" borderId="0" applyFont="0" applyFill="0" applyBorder="0" applyAlignment="0" applyProtection="0"/>
    <xf numFmtId="0" fontId="81" fillId="0" borderId="0" applyNumberFormat="0" applyFill="0" applyBorder="0" applyProtection="0">
      <alignment horizontal="right" vertical="center"/>
    </xf>
    <xf numFmtId="0" fontId="3" fillId="0" borderId="0">
      <alignment horizontal="right"/>
    </xf>
    <xf numFmtId="0" fontId="3" fillId="0" borderId="0">
      <alignment horizontal="right"/>
    </xf>
    <xf numFmtId="0" fontId="3" fillId="0" borderId="0" applyFill="0" applyBorder="0" applyProtection="0">
      <alignment horizontal="right"/>
    </xf>
    <xf numFmtId="0" fontId="3" fillId="0" borderId="0">
      <alignment horizontal="right"/>
    </xf>
    <xf numFmtId="0" fontId="18" fillId="0" borderId="28" applyNumberFormat="0" applyFont="0" applyFill="0" applyAlignment="0" applyProtection="0"/>
    <xf numFmtId="0" fontId="30" fillId="9" borderId="29" applyNumberFormat="0" applyBorder="0" applyProtection="0">
      <alignment horizontal="left" wrapText="1"/>
    </xf>
    <xf numFmtId="0" fontId="30" fillId="9" borderId="0" applyNumberFormat="0" applyBorder="0" applyProtection="0">
      <alignment horizontal="left"/>
    </xf>
    <xf numFmtId="0" fontId="82" fillId="23" borderId="0" applyFont="0" applyFill="0" applyAlignment="0"/>
    <xf numFmtId="0" fontId="31" fillId="0" borderId="0" applyNumberFormat="0" applyFill="0" applyBorder="0">
      <alignment horizontal="left" vertical="center" wrapText="1"/>
    </xf>
    <xf numFmtId="0" fontId="32" fillId="0" borderId="0" applyNumberFormat="0" applyFill="0" applyBorder="0">
      <alignment horizontal="left" vertical="center" wrapText="1" indent="1"/>
    </xf>
    <xf numFmtId="0" fontId="13"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208" fontId="83" fillId="0" borderId="4" applyNumberFormat="0" applyFill="0" applyBorder="0">
      <protection locked="0"/>
    </xf>
    <xf numFmtId="0" fontId="3" fillId="0" borderId="30">
      <alignment vertical="center"/>
    </xf>
    <xf numFmtId="246" fontId="84" fillId="0" borderId="0" applyFill="0" applyBorder="0">
      <alignment horizontal="right"/>
      <protection hidden="1"/>
    </xf>
    <xf numFmtId="0" fontId="85" fillId="0" borderId="0" applyNumberFormat="0" applyFill="0" applyBorder="0" applyProtection="0">
      <alignment horizontal="left" vertical="center"/>
    </xf>
    <xf numFmtId="0" fontId="86" fillId="12" borderId="10">
      <alignment horizontal="center" vertical="center" wrapText="1"/>
      <protection hidden="1"/>
    </xf>
    <xf numFmtId="182" fontId="23" fillId="0" borderId="0" applyFill="0" applyBorder="0" applyAlignment="0" applyProtection="0">
      <protection locked="0"/>
    </xf>
    <xf numFmtId="0" fontId="26" fillId="0" borderId="0" applyFill="0" applyBorder="0" applyAlignment="0" applyProtection="0"/>
    <xf numFmtId="40" fontId="18" fillId="0" borderId="0" applyFont="0" applyFill="0" applyBorder="0" applyAlignment="0" applyProtection="0"/>
    <xf numFmtId="247" fontId="18" fillId="0" borderId="0" applyFont="0" applyFill="0" applyBorder="0" applyAlignment="0" applyProtection="0"/>
    <xf numFmtId="168" fontId="62" fillId="0" borderId="0" applyNumberFormat="0" applyFill="0" applyBorder="0" applyAlignment="0"/>
    <xf numFmtId="0" fontId="29" fillId="0" borderId="0"/>
    <xf numFmtId="0" fontId="18" fillId="0" borderId="0" applyFont="0" applyFill="0" applyBorder="0" applyAlignment="0" applyProtection="0"/>
    <xf numFmtId="0" fontId="13" fillId="10" borderId="0" applyNumberFormat="0" applyFont="0" applyBorder="0" applyAlignment="0">
      <protection hidden="1"/>
    </xf>
    <xf numFmtId="0" fontId="77" fillId="0" borderId="0"/>
    <xf numFmtId="0" fontId="3" fillId="0" borderId="0"/>
    <xf numFmtId="0" fontId="87" fillId="0" borderId="0" applyNumberFormat="0" applyFill="0" applyBorder="0" applyProtection="0">
      <alignment horizontal="left" vertical="center"/>
    </xf>
    <xf numFmtId="221" fontId="31" fillId="0" borderId="31" applyNumberFormat="0" applyFill="0" applyAlignment="0" applyProtection="0">
      <alignment vertical="center"/>
    </xf>
    <xf numFmtId="0" fontId="23" fillId="0" borderId="0"/>
    <xf numFmtId="221" fontId="32" fillId="0" borderId="32" applyNumberFormat="0" applyFont="0" applyFill="0" applyAlignment="0" applyProtection="0">
      <alignment vertical="center"/>
    </xf>
    <xf numFmtId="0" fontId="3" fillId="0" borderId="0" applyBorder="0" applyProtection="0">
      <alignment vertical="center"/>
    </xf>
    <xf numFmtId="0" fontId="34" fillId="0" borderId="6" applyBorder="0" applyProtection="0">
      <alignment horizontal="right" vertical="center"/>
    </xf>
    <xf numFmtId="0" fontId="3" fillId="24" borderId="0" applyBorder="0" applyProtection="0">
      <alignment horizontal="centerContinuous" vertical="center"/>
    </xf>
    <xf numFmtId="0" fontId="3" fillId="7" borderId="6" applyBorder="0" applyProtection="0">
      <alignment horizontal="centerContinuous" vertical="center"/>
    </xf>
    <xf numFmtId="0" fontId="3" fillId="0" borderId="0">
      <alignment horizontal="left"/>
    </xf>
    <xf numFmtId="218" fontId="13" fillId="0" borderId="0">
      <alignment horizontal="right"/>
    </xf>
    <xf numFmtId="3" fontId="13" fillId="0" borderId="0">
      <alignment horizontal="right"/>
    </xf>
    <xf numFmtId="0" fontId="32" fillId="14" borderId="0" applyNumberFormat="0" applyFont="0" applyBorder="0" applyAlignment="0" applyProtection="0">
      <alignment vertical="center"/>
    </xf>
    <xf numFmtId="0" fontId="3" fillId="0" borderId="0">
      <alignment horizontal="left"/>
    </xf>
    <xf numFmtId="0" fontId="88" fillId="0" borderId="0" applyFill="0" applyBorder="0" applyProtection="0"/>
    <xf numFmtId="0" fontId="3" fillId="0" borderId="0"/>
    <xf numFmtId="0" fontId="3" fillId="0" borderId="0" applyFill="0" applyBorder="0" applyProtection="0">
      <alignment horizontal="left"/>
    </xf>
    <xf numFmtId="0" fontId="32" fillId="0" borderId="0" applyNumberFormat="0" applyFont="0" applyFill="0" applyAlignment="0" applyProtection="0">
      <alignment vertical="center"/>
    </xf>
    <xf numFmtId="0" fontId="3" fillId="0" borderId="4" applyFill="0" applyBorder="0" applyProtection="0">
      <alignment horizontal="left" vertical="top"/>
    </xf>
    <xf numFmtId="221" fontId="32" fillId="0" borderId="0" applyNumberFormat="0" applyFont="0" applyBorder="0" applyAlignment="0" applyProtection="0">
      <alignment vertical="center"/>
    </xf>
    <xf numFmtId="0" fontId="3" fillId="23" borderId="33" applyNumberFormat="0" applyAlignment="0" applyProtection="0">
      <alignment vertical="center"/>
    </xf>
    <xf numFmtId="0" fontId="23" fillId="0" borderId="0"/>
    <xf numFmtId="0" fontId="89" fillId="0" borderId="0">
      <alignment horizontal="centerContinuous"/>
    </xf>
    <xf numFmtId="0" fontId="3" fillId="19" borderId="0" applyNumberFormat="0" applyFont="0" applyBorder="0" applyAlignment="0" applyProtection="0"/>
    <xf numFmtId="49" fontId="34" fillId="0" borderId="6">
      <alignment vertical="center"/>
    </xf>
    <xf numFmtId="49" fontId="32" fillId="0" borderId="0" applyFont="0" applyFill="0" applyBorder="0" applyAlignment="0" applyProtection="0">
      <alignment horizontal="center" vertical="center"/>
    </xf>
    <xf numFmtId="0" fontId="3" fillId="0" borderId="0"/>
    <xf numFmtId="0" fontId="3" fillId="0" borderId="0"/>
    <xf numFmtId="0" fontId="3" fillId="0" borderId="0"/>
    <xf numFmtId="0" fontId="3" fillId="0" borderId="0"/>
    <xf numFmtId="0" fontId="3" fillId="0" borderId="0"/>
    <xf numFmtId="0" fontId="3" fillId="0" borderId="0"/>
    <xf numFmtId="248" fontId="3" fillId="0" borderId="0" applyFill="0" applyBorder="0" applyAlignment="0" applyProtection="0">
      <alignment horizontal="right"/>
    </xf>
    <xf numFmtId="1" fontId="40" fillId="0" borderId="1" applyFill="0" applyBorder="0" applyProtection="0">
      <alignment horizontal="right"/>
    </xf>
    <xf numFmtId="249" fontId="3" fillId="0" borderId="0"/>
    <xf numFmtId="0" fontId="18" fillId="0" borderId="0" applyNumberFormat="0" applyFill="0" applyBorder="0" applyAlignment="0" applyProtection="0"/>
    <xf numFmtId="0" fontId="38" fillId="0" borderId="0" applyNumberFormat="0" applyFill="0" applyBorder="0" applyAlignment="0" applyProtection="0"/>
    <xf numFmtId="250" fontId="79" fillId="0" borderId="0"/>
    <xf numFmtId="0" fontId="30" fillId="9" borderId="8" applyNumberFormat="0" applyProtection="0">
      <alignment horizontal="left" vertical="center"/>
    </xf>
    <xf numFmtId="0" fontId="40" fillId="0" borderId="0" applyFill="0" applyBorder="0" applyProtection="0"/>
    <xf numFmtId="0" fontId="3" fillId="0" borderId="34"/>
    <xf numFmtId="216" fontId="90" fillId="0" borderId="35"/>
    <xf numFmtId="216" fontId="78" fillId="0" borderId="0" applyNumberFormat="0" applyFill="0" applyBorder="0" applyAlignment="0" applyProtection="0"/>
    <xf numFmtId="0" fontId="29" fillId="0" borderId="0" applyBorder="0"/>
    <xf numFmtId="208" fontId="19" fillId="0" borderId="0" applyNumberFormat="0" applyFill="0" applyBorder="0" applyAlignment="0"/>
    <xf numFmtId="0" fontId="3" fillId="0" borderId="0"/>
    <xf numFmtId="0" fontId="3" fillId="0" borderId="0"/>
    <xf numFmtId="0" fontId="3" fillId="0" borderId="0" applyNumberFormat="0" applyFont="0" applyFill="0" applyBorder="0" applyAlignment="0">
      <alignment horizontal="left" vertical="center"/>
    </xf>
    <xf numFmtId="171" fontId="3" fillId="0" borderId="3" applyNumberFormat="0" applyFont="0" applyFill="0" applyAlignment="0"/>
    <xf numFmtId="0" fontId="31" fillId="10" borderId="0" applyNumberFormat="0" applyAlignment="0" applyProtection="0">
      <alignment horizontal="left" vertical="center" wrapText="1"/>
    </xf>
    <xf numFmtId="233" fontId="3" fillId="0" borderId="0" applyFont="0" applyFill="0" applyBorder="0" applyAlignment="0" applyProtection="0"/>
    <xf numFmtId="251" fontId="3" fillId="0" borderId="0" applyFont="0" applyFill="0" applyBorder="0" applyAlignment="0" applyProtection="0"/>
    <xf numFmtId="181" fontId="3" fillId="0" borderId="0" applyFont="0" applyFill="0" applyBorder="0" applyAlignment="0" applyProtection="0"/>
    <xf numFmtId="170" fontId="91" fillId="0" borderId="6" applyAlignment="0">
      <alignment horizontal="left"/>
      <protection locked="0"/>
    </xf>
    <xf numFmtId="0" fontId="32" fillId="0" borderId="0" applyNumberFormat="0" applyFont="0" applyBorder="0" applyAlignment="0" applyProtection="0">
      <alignment vertical="center"/>
    </xf>
    <xf numFmtId="0" fontId="3" fillId="0" borderId="0"/>
    <xf numFmtId="0" fontId="92" fillId="0" borderId="0"/>
    <xf numFmtId="0" fontId="32" fillId="0" borderId="0" applyNumberFormat="0" applyFont="0" applyAlignment="0" applyProtection="0">
      <alignment vertical="center"/>
    </xf>
    <xf numFmtId="252" fontId="3" fillId="0" borderId="0" applyNumberFormat="0"/>
    <xf numFmtId="0" fontId="93" fillId="0" borderId="0" applyNumberFormat="0" applyFont="0" applyFill="0" applyBorder="0" applyAlignment="0" applyProtection="0">
      <alignment horizontal="left"/>
    </xf>
    <xf numFmtId="0" fontId="94" fillId="0" borderId="0" applyNumberFormat="0" applyFill="0" applyBorder="0" applyAlignment="0" applyProtection="0"/>
    <xf numFmtId="1" fontId="23" fillId="0" borderId="0" applyFont="0" applyFill="0" applyBorder="0" applyAlignment="0" applyProtection="0"/>
    <xf numFmtId="0" fontId="18" fillId="9" borderId="0" applyNumberFormat="0" applyBorder="0" applyProtection="0">
      <alignment horizontal="left"/>
    </xf>
    <xf numFmtId="222" fontId="23" fillId="0" borderId="0" applyFont="0" applyFill="0" applyBorder="0" applyProtection="0">
      <alignment horizontal="right"/>
    </xf>
    <xf numFmtId="0" fontId="26" fillId="0" borderId="0" applyFont="0" applyFill="0" applyBorder="0" applyAlignment="0" applyProtection="0"/>
    <xf numFmtId="40" fontId="95" fillId="0" borderId="0" applyFont="0" applyFill="0" applyBorder="0" applyAlignment="0" applyProtection="0"/>
    <xf numFmtId="38" fontId="95" fillId="0" borderId="0" applyFont="0" applyFill="0" applyBorder="0" applyAlignment="0" applyProtection="0"/>
    <xf numFmtId="0" fontId="95" fillId="0" borderId="0" applyFont="0" applyFill="0" applyBorder="0" applyAlignment="0" applyProtection="0"/>
    <xf numFmtId="0" fontId="95" fillId="0" borderId="0" applyFont="0" applyFill="0" applyBorder="0" applyAlignment="0" applyProtection="0"/>
    <xf numFmtId="0" fontId="96" fillId="0" borderId="0"/>
    <xf numFmtId="0" fontId="97" fillId="0" borderId="0" applyFont="0" applyFill="0" applyBorder="0" applyAlignment="0" applyProtection="0"/>
    <xf numFmtId="0" fontId="97" fillId="0" borderId="0" applyFont="0" applyFill="0" applyBorder="0" applyAlignment="0" applyProtection="0"/>
    <xf numFmtId="254" fontId="3" fillId="0" borderId="0" applyFont="0" applyFill="0" applyBorder="0" applyAlignment="0" applyProtection="0"/>
    <xf numFmtId="0" fontId="97" fillId="0" borderId="0" applyFont="0" applyFill="0" applyBorder="0" applyAlignment="0" applyProtection="0"/>
    <xf numFmtId="0" fontId="98" fillId="0" borderId="0"/>
    <xf numFmtId="0" fontId="104" fillId="0" borderId="0"/>
    <xf numFmtId="181" fontId="104" fillId="0" borderId="0" applyFont="0" applyFill="0" applyBorder="0" applyAlignment="0" applyProtection="0"/>
    <xf numFmtId="0" fontId="115" fillId="0" borderId="0"/>
    <xf numFmtId="0" fontId="1" fillId="0" borderId="0"/>
    <xf numFmtId="9" fontId="115" fillId="0" borderId="0" applyFont="0" applyFill="0" applyBorder="0" applyAlignment="0" applyProtection="0"/>
    <xf numFmtId="0" fontId="131" fillId="0" borderId="59" applyNumberFormat="0" applyFill="0" applyAlignment="0" applyProtection="0"/>
    <xf numFmtId="0" fontId="132" fillId="0" borderId="60" applyNumberFormat="0" applyFill="0" applyAlignment="0" applyProtection="0"/>
    <xf numFmtId="0" fontId="133" fillId="0" borderId="61" applyNumberFormat="0" applyFill="0" applyAlignment="0" applyProtection="0"/>
    <xf numFmtId="0" fontId="133" fillId="0" borderId="0" applyNumberFormat="0" applyFill="0" applyBorder="0" applyAlignment="0" applyProtection="0"/>
    <xf numFmtId="0" fontId="134" fillId="34" borderId="0" applyNumberFormat="0" applyBorder="0" applyAlignment="0" applyProtection="0"/>
    <xf numFmtId="0" fontId="135" fillId="35" borderId="0" applyNumberFormat="0" applyBorder="0" applyAlignment="0" applyProtection="0"/>
    <xf numFmtId="0" fontId="136" fillId="37" borderId="62" applyNumberFormat="0" applyAlignment="0" applyProtection="0"/>
    <xf numFmtId="0" fontId="137" fillId="38" borderId="63" applyNumberFormat="0" applyAlignment="0" applyProtection="0"/>
    <xf numFmtId="0" fontId="138" fillId="38" borderId="62" applyNumberFormat="0" applyAlignment="0" applyProtection="0"/>
    <xf numFmtId="0" fontId="139" fillId="0" borderId="64" applyNumberFormat="0" applyFill="0" applyAlignment="0" applyProtection="0"/>
    <xf numFmtId="0" fontId="101" fillId="39" borderId="65" applyNumberFormat="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2" fillId="0" borderId="67" applyNumberFormat="0" applyFill="0" applyAlignment="0" applyProtection="0"/>
    <xf numFmtId="0" fontId="142"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42"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42"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42"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42"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42"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2" fillId="0" borderId="0"/>
    <xf numFmtId="0" fontId="3" fillId="0" borderId="0" applyNumberFormat="0" applyFill="0" applyBorder="0" applyAlignment="0" applyProtection="0"/>
    <xf numFmtId="261" fontId="3" fillId="0" borderId="0" applyNumberFormat="0" applyFill="0" applyBorder="0" applyAlignment="0" applyProtection="0"/>
    <xf numFmtId="252" fontId="32" fillId="0" borderId="0"/>
    <xf numFmtId="0" fontId="2" fillId="0" borderId="0"/>
    <xf numFmtId="0" fontId="144" fillId="0" borderId="0"/>
    <xf numFmtId="261" fontId="3" fillId="0" borderId="0"/>
    <xf numFmtId="0" fontId="144" fillId="0" borderId="0"/>
    <xf numFmtId="0" fontId="3" fillId="0" borderId="0"/>
    <xf numFmtId="0" fontId="144" fillId="0" borderId="0"/>
    <xf numFmtId="0" fontId="3" fillId="0" borderId="0"/>
    <xf numFmtId="0" fontId="3" fillId="0" borderId="0"/>
    <xf numFmtId="0" fontId="2" fillId="0" borderId="0"/>
    <xf numFmtId="0" fontId="2" fillId="0" borderId="0"/>
    <xf numFmtId="0" fontId="2" fillId="0" borderId="0"/>
    <xf numFmtId="0" fontId="2" fillId="0" borderId="0"/>
    <xf numFmtId="262" fontId="3" fillId="0" borderId="0" applyFont="0" applyFill="0" applyBorder="0" applyAlignment="0" applyProtection="0"/>
    <xf numFmtId="263" fontId="3" fillId="0" borderId="0" applyFont="0" applyFill="0" applyBorder="0" applyAlignment="0" applyProtection="0"/>
    <xf numFmtId="0" fontId="3" fillId="0" borderId="0" applyFont="0" applyFill="0" applyBorder="0" applyAlignment="0" applyProtection="0"/>
    <xf numFmtId="261" fontId="3" fillId="0" borderId="0" applyFont="0" applyFill="0" applyBorder="0" applyAlignment="0" applyProtection="0"/>
    <xf numFmtId="0" fontId="147" fillId="0" borderId="0"/>
    <xf numFmtId="261" fontId="147" fillId="0" borderId="0"/>
    <xf numFmtId="0" fontId="147" fillId="0" borderId="0"/>
    <xf numFmtId="261" fontId="147" fillId="0" borderId="0"/>
    <xf numFmtId="0" fontId="3" fillId="0" borderId="0" applyFont="0" applyFill="0" applyBorder="0" applyAlignment="0" applyProtection="0"/>
    <xf numFmtId="261" fontId="3" fillId="0" borderId="0" applyFont="0" applyFill="0" applyBorder="0" applyAlignment="0" applyProtection="0"/>
    <xf numFmtId="0" fontId="15" fillId="0" borderId="0" applyNumberFormat="0" applyFill="0" applyBorder="0" applyAlignment="0" applyProtection="0"/>
    <xf numFmtId="261" fontId="15" fillId="0" borderId="0" applyNumberFormat="0" applyFill="0" applyBorder="0" applyAlignment="0" applyProtection="0"/>
    <xf numFmtId="0" fontId="15" fillId="0" borderId="0" applyNumberFormat="0" applyFill="0" applyBorder="0" applyAlignment="0" applyProtection="0"/>
    <xf numFmtId="261" fontId="15" fillId="0" borderId="0" applyNumberFormat="0" applyFill="0" applyBorder="0" applyAlignment="0" applyProtection="0"/>
    <xf numFmtId="0" fontId="15" fillId="0" borderId="0" applyNumberFormat="0" applyFill="0" applyBorder="0" applyAlignment="0" applyProtection="0"/>
    <xf numFmtId="261" fontId="15" fillId="0" borderId="0" applyNumberFormat="0" applyFill="0" applyBorder="0" applyAlignment="0" applyProtection="0"/>
    <xf numFmtId="0" fontId="15" fillId="0" borderId="0" applyNumberFormat="0" applyFill="0" applyBorder="0" applyAlignment="0" applyProtection="0"/>
    <xf numFmtId="261" fontId="15" fillId="0" borderId="0" applyNumberFormat="0" applyFill="0" applyBorder="0" applyAlignment="0" applyProtection="0"/>
    <xf numFmtId="0" fontId="15" fillId="0" borderId="0" applyNumberFormat="0" applyFill="0" applyBorder="0" applyAlignment="0" applyProtection="0"/>
    <xf numFmtId="261" fontId="15" fillId="0" borderId="0" applyNumberFormat="0" applyFill="0" applyBorder="0" applyAlignment="0" applyProtection="0"/>
    <xf numFmtId="0" fontId="15" fillId="0" borderId="0" applyNumberFormat="0" applyFill="0" applyBorder="0" applyAlignment="0" applyProtection="0"/>
    <xf numFmtId="261" fontId="15" fillId="0" borderId="0" applyNumberFormat="0" applyFill="0" applyBorder="0" applyAlignment="0" applyProtection="0"/>
    <xf numFmtId="0" fontId="15" fillId="0" borderId="0" applyNumberFormat="0" applyFill="0" applyBorder="0" applyAlignment="0" applyProtection="0"/>
    <xf numFmtId="261" fontId="15" fillId="0" borderId="0" applyNumberFormat="0" applyFill="0" applyBorder="0" applyAlignment="0" applyProtection="0"/>
    <xf numFmtId="0" fontId="147" fillId="0" borderId="0"/>
    <xf numFmtId="261" fontId="147" fillId="0" borderId="0"/>
    <xf numFmtId="0" fontId="15" fillId="0" borderId="0" applyNumberFormat="0" applyFill="0" applyBorder="0" applyAlignment="0" applyProtection="0"/>
    <xf numFmtId="261" fontId="15" fillId="0" borderId="0" applyNumberFormat="0" applyFill="0" applyBorder="0" applyAlignment="0" applyProtection="0"/>
    <xf numFmtId="0" fontId="147" fillId="0" borderId="0"/>
    <xf numFmtId="261" fontId="147" fillId="0" borderId="0"/>
    <xf numFmtId="0" fontId="15" fillId="0" borderId="0" applyNumberFormat="0" applyFill="0" applyBorder="0" applyAlignment="0" applyProtection="0"/>
    <xf numFmtId="261" fontId="15" fillId="0" borderId="0" applyNumberFormat="0" applyFill="0" applyBorder="0" applyAlignment="0" applyProtection="0"/>
    <xf numFmtId="0" fontId="15" fillId="0" borderId="0" applyNumberFormat="0" applyFill="0" applyBorder="0" applyAlignment="0" applyProtection="0"/>
    <xf numFmtId="261" fontId="15" fillId="0" borderId="0" applyNumberFormat="0" applyFill="0" applyBorder="0" applyAlignment="0" applyProtection="0"/>
    <xf numFmtId="0" fontId="147" fillId="0" borderId="0"/>
    <xf numFmtId="261" fontId="147" fillId="0" borderId="0"/>
    <xf numFmtId="0" fontId="147" fillId="0" borderId="0"/>
    <xf numFmtId="261" fontId="147" fillId="0" borderId="0"/>
    <xf numFmtId="264"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0" fontId="15" fillId="0" borderId="0" applyNumberFormat="0" applyFill="0" applyBorder="0" applyAlignment="0" applyProtection="0"/>
    <xf numFmtId="261" fontId="15" fillId="0" borderId="0" applyNumberFormat="0" applyFill="0" applyBorder="0" applyAlignment="0" applyProtection="0"/>
    <xf numFmtId="265" fontId="3" fillId="0" borderId="0" applyFont="0" applyFill="0" applyBorder="0" applyAlignment="0" applyProtection="0"/>
    <xf numFmtId="172" fontId="3" fillId="0" borderId="0" applyFont="0" applyFill="0" applyBorder="0" applyAlignment="0" applyProtection="0"/>
    <xf numFmtId="266" fontId="3" fillId="0" borderId="0" applyFont="0" applyFill="0" applyBorder="0" applyAlignment="0" applyProtection="0"/>
    <xf numFmtId="266" fontId="3" fillId="0" borderId="0" applyFont="0" applyFill="0" applyBorder="0" applyAlignment="0" applyProtection="0"/>
    <xf numFmtId="266" fontId="3" fillId="0" borderId="0" applyFont="0" applyFill="0" applyBorder="0" applyAlignment="0" applyProtection="0"/>
    <xf numFmtId="265" fontId="3" fillId="0" borderId="0" applyFont="0" applyFill="0" applyBorder="0" applyAlignment="0" applyProtection="0"/>
    <xf numFmtId="266" fontId="3" fillId="0" borderId="0" applyFont="0" applyFill="0" applyBorder="0" applyAlignment="0" applyProtection="0"/>
    <xf numFmtId="267"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268" fontId="3" fillId="0" borderId="0" applyFont="0" applyFill="0" applyBorder="0" applyAlignment="0" applyProtection="0"/>
    <xf numFmtId="0" fontId="3" fillId="0" borderId="0" applyFont="0" applyFill="0" applyBorder="0" applyAlignment="0" applyProtection="0"/>
    <xf numFmtId="261" fontId="3" fillId="0" borderId="0" applyFont="0" applyFill="0" applyBorder="0" applyAlignment="0" applyProtection="0"/>
    <xf numFmtId="0" fontId="148" fillId="0" borderId="0" applyNumberFormat="0" applyFill="0" applyBorder="0" applyAlignment="0" applyProtection="0"/>
    <xf numFmtId="261" fontId="148" fillId="0" borderId="0" applyNumberFormat="0" applyFill="0" applyBorder="0" applyAlignment="0" applyProtection="0"/>
    <xf numFmtId="0" fontId="148" fillId="0" borderId="0" applyNumberFormat="0" applyFill="0" applyBorder="0" applyAlignment="0" applyProtection="0"/>
    <xf numFmtId="261" fontId="148" fillId="0" borderId="0" applyNumberFormat="0" applyFill="0" applyBorder="0" applyAlignment="0" applyProtection="0"/>
    <xf numFmtId="0" fontId="148" fillId="0" borderId="0" applyNumberFormat="0" applyFill="0" applyBorder="0" applyAlignment="0" applyProtection="0"/>
    <xf numFmtId="261" fontId="148" fillId="0" borderId="0" applyNumberFormat="0" applyFill="0" applyBorder="0" applyAlignment="0" applyProtection="0"/>
    <xf numFmtId="0" fontId="148" fillId="0" borderId="0" applyNumberFormat="0" applyFill="0" applyBorder="0" applyAlignment="0" applyProtection="0"/>
    <xf numFmtId="261" fontId="148" fillId="0" borderId="0" applyNumberFormat="0" applyFill="0" applyBorder="0" applyAlignment="0" applyProtection="0"/>
    <xf numFmtId="0" fontId="148" fillId="0" borderId="0" applyNumberFormat="0" applyFill="0" applyBorder="0" applyAlignment="0" applyProtection="0"/>
    <xf numFmtId="261" fontId="148" fillId="0" borderId="0" applyNumberFormat="0" applyFill="0" applyBorder="0" applyAlignment="0" applyProtection="0"/>
    <xf numFmtId="0" fontId="3" fillId="65" borderId="0" applyNumberFormat="0" applyFont="0" applyAlignment="0" applyProtection="0"/>
    <xf numFmtId="261" fontId="3" fillId="65" borderId="0" applyNumberFormat="0" applyFont="0" applyAlignment="0" applyProtection="0"/>
    <xf numFmtId="0" fontId="3" fillId="0" borderId="0" applyFont="0" applyFill="0" applyBorder="0" applyAlignment="0" applyProtection="0"/>
    <xf numFmtId="261" fontId="3" fillId="0" borderId="0" applyFont="0" applyFill="0" applyBorder="0" applyAlignment="0" applyProtection="0"/>
    <xf numFmtId="0" fontId="3" fillId="0" borderId="0" applyFont="0" applyFill="0" applyBorder="0" applyAlignment="0" applyProtection="0"/>
    <xf numFmtId="261" fontId="3" fillId="0" borderId="0" applyFont="0" applyFill="0" applyBorder="0" applyAlignment="0" applyProtection="0"/>
    <xf numFmtId="269"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270" fontId="3" fillId="0" borderId="0" applyFont="0" applyFill="0" applyBorder="0" applyProtection="0">
      <alignment horizontal="right"/>
    </xf>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0" fontId="15" fillId="0" borderId="0" applyNumberFormat="0" applyFill="0" applyBorder="0" applyAlignment="0" applyProtection="0"/>
    <xf numFmtId="261" fontId="15" fillId="0" borderId="0" applyNumberFormat="0" applyFill="0" applyBorder="0" applyAlignment="0" applyProtection="0"/>
    <xf numFmtId="262" fontId="3" fillId="0" borderId="0" applyFont="0" applyFill="0" applyBorder="0" applyProtection="0">
      <alignment horizontal="right"/>
    </xf>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0" fontId="15" fillId="0" borderId="0" applyNumberFormat="0" applyFill="0" applyBorder="0" applyAlignment="0" applyProtection="0"/>
    <xf numFmtId="261" fontId="15" fillId="0" borderId="0" applyNumberFormat="0" applyFill="0" applyBorder="0" applyAlignment="0" applyProtection="0"/>
    <xf numFmtId="0" fontId="149" fillId="0" borderId="0" applyNumberFormat="0" applyFill="0" applyBorder="0" applyProtection="0">
      <alignment vertical="top"/>
    </xf>
    <xf numFmtId="261" fontId="149" fillId="0" borderId="0" applyNumberFormat="0" applyFill="0" applyBorder="0" applyProtection="0">
      <alignment vertical="top"/>
    </xf>
    <xf numFmtId="0" fontId="149" fillId="0" borderId="0" applyNumberFormat="0" applyFill="0" applyBorder="0" applyProtection="0">
      <alignment vertical="top"/>
    </xf>
    <xf numFmtId="261" fontId="149" fillId="0" borderId="0" applyNumberFormat="0" applyFill="0" applyBorder="0" applyProtection="0">
      <alignment vertical="top"/>
    </xf>
    <xf numFmtId="0" fontId="149" fillId="0" borderId="0" applyNumberFormat="0" applyFill="0" applyBorder="0" applyProtection="0">
      <alignment vertical="top"/>
    </xf>
    <xf numFmtId="261" fontId="149" fillId="0" borderId="0" applyNumberFormat="0" applyFill="0" applyBorder="0" applyProtection="0">
      <alignment vertical="top"/>
    </xf>
    <xf numFmtId="0" fontId="149" fillId="0" borderId="0" applyNumberFormat="0" applyFill="0" applyBorder="0" applyProtection="0">
      <alignment vertical="top"/>
    </xf>
    <xf numFmtId="261" fontId="149" fillId="0" borderId="0" applyNumberFormat="0" applyFill="0" applyBorder="0" applyProtection="0">
      <alignment vertical="top"/>
    </xf>
    <xf numFmtId="0" fontId="149" fillId="0" borderId="0" applyNumberFormat="0" applyFill="0" applyBorder="0" applyProtection="0">
      <alignment vertical="top"/>
    </xf>
    <xf numFmtId="261" fontId="149" fillId="0" borderId="0" applyNumberFormat="0" applyFill="0" applyBorder="0" applyProtection="0">
      <alignment vertical="top"/>
    </xf>
    <xf numFmtId="0" fontId="150" fillId="0" borderId="68" applyNumberFormat="0" applyFill="0" applyAlignment="0" applyProtection="0"/>
    <xf numFmtId="261" fontId="150" fillId="0" borderId="68" applyNumberFormat="0" applyFill="0" applyAlignment="0" applyProtection="0"/>
    <xf numFmtId="0" fontId="151" fillId="0" borderId="69" applyNumberFormat="0" applyFill="0" applyProtection="0">
      <alignment horizontal="center"/>
    </xf>
    <xf numFmtId="261" fontId="151" fillId="0" borderId="69" applyNumberFormat="0" applyFill="0" applyProtection="0">
      <alignment horizontal="center"/>
    </xf>
    <xf numFmtId="0" fontId="151" fillId="0" borderId="0" applyNumberFormat="0" applyFill="0" applyBorder="0" applyProtection="0">
      <alignment horizontal="left"/>
    </xf>
    <xf numFmtId="261" fontId="151" fillId="0" borderId="0" applyNumberFormat="0" applyFill="0" applyBorder="0" applyProtection="0">
      <alignment horizontal="left"/>
    </xf>
    <xf numFmtId="0" fontId="152" fillId="0" borderId="0" applyNumberFormat="0" applyFill="0" applyBorder="0" applyProtection="0">
      <alignment horizontal="centerContinuous"/>
    </xf>
    <xf numFmtId="261" fontId="152" fillId="0" borderId="0" applyNumberFormat="0" applyFill="0" applyBorder="0" applyProtection="0">
      <alignment horizontal="centerContinuous"/>
    </xf>
    <xf numFmtId="0" fontId="15" fillId="0" borderId="0" applyNumberFormat="0" applyFill="0" applyBorder="0" applyAlignment="0" applyProtection="0"/>
    <xf numFmtId="261" fontId="15" fillId="0" borderId="0" applyNumberFormat="0" applyFill="0" applyBorder="0" applyAlignment="0" applyProtection="0"/>
    <xf numFmtId="0" fontId="3" fillId="0" borderId="0"/>
    <xf numFmtId="0" fontId="3" fillId="0" borderId="0" applyFont="0" applyFill="0" applyBorder="0" applyAlignment="0" applyProtection="0"/>
    <xf numFmtId="261" fontId="3" fillId="0" borderId="0" applyFont="0" applyFill="0" applyBorder="0" applyAlignment="0" applyProtection="0"/>
    <xf numFmtId="271" fontId="153" fillId="0" borderId="0" applyFont="0" applyFill="0" applyBorder="0" applyAlignment="0" applyProtection="0"/>
    <xf numFmtId="272" fontId="153" fillId="0" borderId="0" applyFont="0" applyFill="0" applyBorder="0" applyAlignment="0" applyProtection="0"/>
    <xf numFmtId="0" fontId="3" fillId="0" borderId="0"/>
    <xf numFmtId="0" fontId="38" fillId="0" borderId="0" applyNumberFormat="0" applyFill="0" applyBorder="0" applyAlignment="0" applyProtection="0"/>
    <xf numFmtId="0" fontId="144" fillId="0" borderId="0"/>
    <xf numFmtId="261" fontId="3" fillId="0" borderId="0"/>
    <xf numFmtId="0" fontId="3" fillId="0" borderId="0"/>
    <xf numFmtId="0" fontId="153" fillId="0" borderId="0"/>
    <xf numFmtId="261" fontId="153" fillId="0" borderId="0"/>
    <xf numFmtId="1" fontId="29" fillId="0" borderId="0"/>
    <xf numFmtId="273" fontId="50" fillId="0" borderId="0" applyFont="0" applyAlignment="0">
      <alignment horizontal="center"/>
    </xf>
    <xf numFmtId="9" fontId="154" fillId="0" borderId="0" applyFont="0" applyFill="0" applyBorder="0" applyAlignment="0" applyProtection="0"/>
    <xf numFmtId="0" fontId="38" fillId="0" borderId="0"/>
    <xf numFmtId="261" fontId="38" fillId="0" borderId="0"/>
    <xf numFmtId="165" fontId="154" fillId="0" borderId="0" applyFont="0" applyFill="0" applyBorder="0" applyAlignment="0" applyProtection="0"/>
    <xf numFmtId="10" fontId="154" fillId="0" borderId="0" applyFont="0" applyFill="0" applyBorder="0" applyAlignment="0" applyProtection="0"/>
    <xf numFmtId="273" fontId="52" fillId="0" borderId="0" applyFont="0" applyFill="0" applyBorder="0" applyAlignment="0" applyProtection="0"/>
    <xf numFmtId="273" fontId="50" fillId="0" borderId="0" applyFont="0" applyAlignment="0">
      <alignment horizontal="center"/>
    </xf>
    <xf numFmtId="274" fontId="3" fillId="0" borderId="0">
      <alignment horizontal="center"/>
    </xf>
    <xf numFmtId="275" fontId="3" fillId="0" borderId="0">
      <alignment horizontal="left"/>
    </xf>
    <xf numFmtId="276" fontId="3" fillId="0" borderId="0">
      <alignment horizontal="left"/>
    </xf>
    <xf numFmtId="216" fontId="154" fillId="0" borderId="0" applyFont="0" applyFill="0" applyBorder="0" applyAlignment="0" applyProtection="0"/>
    <xf numFmtId="39" fontId="155" fillId="0" borderId="0" applyFont="0" applyFill="0" applyBorder="0" applyAlignment="0" applyProtection="0"/>
    <xf numFmtId="0" fontId="157" fillId="66" borderId="0" applyNumberFormat="0" applyBorder="0" applyAlignment="0" applyProtection="0"/>
    <xf numFmtId="0" fontId="157" fillId="67" borderId="0" applyNumberFormat="0" applyBorder="0" applyAlignment="0" applyProtection="0"/>
    <xf numFmtId="0" fontId="157" fillId="68" borderId="0" applyNumberFormat="0" applyBorder="0" applyAlignment="0" applyProtection="0"/>
    <xf numFmtId="0" fontId="157" fillId="69" borderId="0" applyNumberFormat="0" applyBorder="0" applyAlignment="0" applyProtection="0"/>
    <xf numFmtId="0" fontId="157" fillId="70" borderId="0" applyNumberFormat="0" applyBorder="0" applyAlignment="0" applyProtection="0"/>
    <xf numFmtId="0" fontId="157" fillId="71" borderId="0" applyNumberFormat="0" applyBorder="0" applyAlignment="0" applyProtection="0"/>
    <xf numFmtId="277" fontId="155" fillId="0" borderId="0" applyFont="0" applyFill="0" applyBorder="0" applyAlignment="0" applyProtection="0"/>
    <xf numFmtId="0" fontId="157" fillId="72" borderId="0" applyNumberFormat="0" applyBorder="0" applyAlignment="0" applyProtection="0"/>
    <xf numFmtId="9" fontId="2" fillId="0" borderId="0" applyFont="0" applyFill="0" applyBorder="0" applyAlignment="0" applyProtection="0"/>
    <xf numFmtId="0" fontId="157" fillId="73" borderId="0" applyNumberFormat="0" applyBorder="0" applyAlignment="0" applyProtection="0"/>
    <xf numFmtId="0" fontId="157" fillId="74" borderId="0" applyNumberFormat="0" applyBorder="0" applyAlignment="0" applyProtection="0"/>
    <xf numFmtId="0" fontId="157" fillId="69" borderId="0" applyNumberFormat="0" applyBorder="0" applyAlignment="0" applyProtection="0"/>
    <xf numFmtId="0" fontId="157" fillId="72" borderId="0" applyNumberFormat="0" applyBorder="0" applyAlignment="0" applyProtection="0"/>
    <xf numFmtId="0" fontId="157" fillId="75" borderId="0" applyNumberFormat="0" applyBorder="0" applyAlignment="0" applyProtection="0"/>
    <xf numFmtId="0" fontId="142" fillId="44" borderId="0" applyNumberFormat="0" applyBorder="0" applyAlignment="0" applyProtection="0"/>
    <xf numFmtId="0" fontId="239" fillId="76" borderId="0" applyNumberFormat="0" applyBorder="0" applyAlignment="0" applyProtection="0"/>
    <xf numFmtId="0" fontId="142" fillId="48" borderId="0" applyNumberFormat="0" applyBorder="0" applyAlignment="0" applyProtection="0"/>
    <xf numFmtId="0" fontId="239" fillId="73" borderId="0" applyNumberFormat="0" applyBorder="0" applyAlignment="0" applyProtection="0"/>
    <xf numFmtId="0" fontId="142" fillId="52" borderId="0" applyNumberFormat="0" applyBorder="0" applyAlignment="0" applyProtection="0"/>
    <xf numFmtId="0" fontId="239" fillId="74" borderId="0" applyNumberFormat="0" applyBorder="0" applyAlignment="0" applyProtection="0"/>
    <xf numFmtId="0" fontId="142" fillId="56" borderId="0" applyNumberFormat="0" applyBorder="0" applyAlignment="0" applyProtection="0"/>
    <xf numFmtId="0" fontId="239" fillId="77" borderId="0" applyNumberFormat="0" applyBorder="0" applyAlignment="0" applyProtection="0"/>
    <xf numFmtId="0" fontId="142" fillId="60" borderId="0" applyNumberFormat="0" applyBorder="0" applyAlignment="0" applyProtection="0"/>
    <xf numFmtId="0" fontId="239" fillId="78" borderId="0" applyNumberFormat="0" applyBorder="0" applyAlignment="0" applyProtection="0"/>
    <xf numFmtId="0" fontId="142" fillId="64" borderId="0" applyNumberFormat="0" applyBorder="0" applyAlignment="0" applyProtection="0"/>
    <xf numFmtId="0" fontId="239" fillId="79" borderId="0" applyNumberFormat="0" applyBorder="0" applyAlignment="0" applyProtection="0"/>
    <xf numFmtId="278" fontId="3" fillId="0" borderId="0">
      <alignment horizontal="center"/>
    </xf>
    <xf numFmtId="0" fontId="77" fillId="0" borderId="0">
      <protection locked="0"/>
    </xf>
    <xf numFmtId="279" fontId="3" fillId="0" borderId="0">
      <alignment horizontal="center"/>
    </xf>
    <xf numFmtId="37" fontId="156" fillId="0" borderId="0"/>
    <xf numFmtId="3" fontId="157" fillId="80" borderId="0">
      <alignment horizontal="left"/>
    </xf>
    <xf numFmtId="0" fontId="239" fillId="81" borderId="0" applyNumberFormat="0" applyBorder="0" applyAlignment="0" applyProtection="0"/>
    <xf numFmtId="0" fontId="239" fillId="82" borderId="0" applyNumberFormat="0" applyBorder="0" applyAlignment="0" applyProtection="0"/>
    <xf numFmtId="0" fontId="239" fillId="83" borderId="0" applyNumberFormat="0" applyBorder="0" applyAlignment="0" applyProtection="0"/>
    <xf numFmtId="0" fontId="239" fillId="77" borderId="0" applyNumberFormat="0" applyBorder="0" applyAlignment="0" applyProtection="0"/>
    <xf numFmtId="0" fontId="239" fillId="78" borderId="0" applyNumberFormat="0" applyBorder="0" applyAlignment="0" applyProtection="0"/>
    <xf numFmtId="0" fontId="239" fillId="84" borderId="0" applyNumberFormat="0" applyBorder="0" applyAlignment="0" applyProtection="0"/>
    <xf numFmtId="0" fontId="3" fillId="0" borderId="0"/>
    <xf numFmtId="261" fontId="3" fillId="0" borderId="0"/>
    <xf numFmtId="0" fontId="3" fillId="0" borderId="0">
      <alignment horizontal="right"/>
    </xf>
    <xf numFmtId="261" fontId="3" fillId="0" borderId="0">
      <alignment horizontal="right"/>
    </xf>
    <xf numFmtId="3" fontId="5" fillId="85" borderId="70">
      <alignment horizontal="center"/>
    </xf>
    <xf numFmtId="3" fontId="52" fillId="86" borderId="71">
      <alignment horizontal="center"/>
    </xf>
    <xf numFmtId="0" fontId="158" fillId="0" borderId="0">
      <alignment horizontal="center" wrapText="1"/>
      <protection locked="0"/>
    </xf>
    <xf numFmtId="0" fontId="23" fillId="0" borderId="0">
      <alignment horizontal="center" wrapText="1"/>
      <protection locked="0"/>
    </xf>
    <xf numFmtId="3" fontId="3" fillId="0" borderId="0" applyFill="0" applyBorder="0" applyAlignment="0" applyProtection="0"/>
    <xf numFmtId="327" fontId="3" fillId="0" borderId="0" applyFont="0" applyFill="0" applyBorder="0" applyAlignment="0" applyProtection="0"/>
    <xf numFmtId="0" fontId="245" fillId="67" borderId="0" applyNumberFormat="0" applyBorder="0" applyAlignment="0" applyProtection="0"/>
    <xf numFmtId="0" fontId="159" fillId="0" borderId="0" applyFont="0" applyFill="0" applyBorder="0" applyAlignment="0" applyProtection="0">
      <alignment horizontal="right"/>
    </xf>
    <xf numFmtId="261" fontId="159" fillId="0" borderId="0" applyFont="0" applyFill="0" applyBorder="0" applyAlignment="0" applyProtection="0">
      <alignment horizontal="right"/>
    </xf>
    <xf numFmtId="171" fontId="18" fillId="0" borderId="0" applyNumberFormat="0" applyFont="0" applyAlignment="0" applyProtection="0"/>
    <xf numFmtId="171" fontId="18" fillId="0" borderId="0" applyNumberFormat="0" applyFont="0" applyAlignment="0" applyProtection="0"/>
    <xf numFmtId="0" fontId="229" fillId="0" borderId="0" applyNumberFormat="0" applyFill="0" applyBorder="0" applyAlignment="0" applyProtection="0"/>
    <xf numFmtId="0" fontId="160" fillId="0" borderId="0"/>
    <xf numFmtId="261" fontId="160" fillId="0" borderId="0"/>
    <xf numFmtId="0" fontId="161" fillId="0" borderId="6" applyNumberFormat="0" applyFill="0" applyAlignment="0" applyProtection="0"/>
    <xf numFmtId="261" fontId="161" fillId="0" borderId="6" applyNumberFormat="0" applyFill="0" applyAlignment="0" applyProtection="0"/>
    <xf numFmtId="280" fontId="162" fillId="0" borderId="0" applyFill="0" applyBorder="0" applyProtection="0"/>
    <xf numFmtId="281" fontId="153" fillId="0" borderId="0" applyFont="0" applyFill="0" applyBorder="0" applyAlignment="0" applyProtection="0"/>
    <xf numFmtId="1" fontId="163" fillId="0" borderId="0">
      <protection locked="0"/>
    </xf>
    <xf numFmtId="1" fontId="163" fillId="0" borderId="0">
      <protection locked="0"/>
    </xf>
    <xf numFmtId="0" fontId="50" fillId="0" borderId="0" applyNumberFormat="0" applyFill="0" applyBorder="0" applyAlignment="0" applyProtection="0"/>
    <xf numFmtId="261" fontId="50" fillId="0" borderId="0" applyNumberFormat="0" applyFill="0" applyBorder="0" applyAlignment="0" applyProtection="0"/>
    <xf numFmtId="0" fontId="52" fillId="0" borderId="0" applyNumberFormat="0" applyFill="0" applyBorder="0" applyAlignment="0" applyProtection="0"/>
    <xf numFmtId="261" fontId="52" fillId="0" borderId="0" applyNumberFormat="0" applyFill="0" applyBorder="0" applyAlignment="0" applyProtection="0"/>
    <xf numFmtId="0" fontId="164" fillId="0" borderId="0" applyNumberFormat="0" applyFill="0" applyBorder="0" applyAlignment="0" applyProtection="0"/>
    <xf numFmtId="0" fontId="158" fillId="0" borderId="0" applyNumberFormat="0" applyFill="0" applyBorder="0" applyAlignment="0" applyProtection="0"/>
    <xf numFmtId="0" fontId="165" fillId="0" borderId="0" applyFill="0" applyBorder="0" applyAlignment="0"/>
    <xf numFmtId="0" fontId="241" fillId="17" borderId="72" applyNumberFormat="0" applyAlignment="0" applyProtection="0"/>
    <xf numFmtId="0" fontId="62" fillId="0" borderId="0"/>
    <xf numFmtId="1" fontId="230" fillId="0" borderId="0"/>
    <xf numFmtId="0" fontId="39" fillId="0" borderId="0">
      <alignment horizontal="center"/>
    </xf>
    <xf numFmtId="0" fontId="143" fillId="87" borderId="73" applyNumberFormat="0" applyAlignment="0" applyProtection="0"/>
    <xf numFmtId="0" fontId="39" fillId="0" borderId="53">
      <alignment horizontal="center"/>
    </xf>
    <xf numFmtId="43" fontId="2" fillId="0" borderId="0" applyFont="0" applyFill="0" applyBorder="0" applyAlignment="0" applyProtection="0"/>
    <xf numFmtId="41" fontId="251" fillId="0" borderId="0" applyFont="0" applyFill="0" applyBorder="0" applyAlignment="0" applyProtection="0"/>
    <xf numFmtId="259" fontId="3" fillId="0" borderId="0" applyFont="0" applyFill="0" applyBorder="0" applyAlignment="0" applyProtection="0">
      <alignment horizontal="right"/>
    </xf>
    <xf numFmtId="0" fontId="34" fillId="0" borderId="0" applyFont="0" applyFill="0" applyBorder="0" applyAlignment="0" applyProtection="0">
      <alignment horizontal="right"/>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5" fillId="0" borderId="0" applyFont="0" applyFill="0" applyBorder="0" applyAlignment="0" applyProtection="0"/>
    <xf numFmtId="43" fontId="1" fillId="0" borderId="0" applyFont="0" applyFill="0" applyBorder="0" applyAlignment="0" applyProtection="0"/>
    <xf numFmtId="43" fontId="251" fillId="0" borderId="0" applyFont="0" applyFill="0" applyBorder="0" applyAlignment="0" applyProtection="0"/>
    <xf numFmtId="43" fontId="1" fillId="0" borderId="0" applyFont="0" applyFill="0" applyBorder="0" applyAlignment="0" applyProtection="0"/>
    <xf numFmtId="43" fontId="14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55" fontId="3" fillId="0" borderId="0" applyFont="0" applyFill="0" applyBorder="0" applyAlignment="0" applyProtection="0">
      <alignment horizontal="right"/>
    </xf>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04" fillId="0" borderId="0" applyFont="0" applyFill="0" applyBorder="0" applyAlignment="0" applyProtection="0"/>
    <xf numFmtId="43" fontId="3" fillId="0" borderId="0" applyFont="0" applyFill="0" applyBorder="0" applyAlignment="0" applyProtection="0"/>
    <xf numFmtId="43" fontId="144"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315"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ill="0" applyBorder="0" applyAlignment="0" applyProtection="0"/>
    <xf numFmtId="0" fontId="77" fillId="0" borderId="0"/>
    <xf numFmtId="261" fontId="77" fillId="0" borderId="0"/>
    <xf numFmtId="0" fontId="77" fillId="0" borderId="0"/>
    <xf numFmtId="261" fontId="77" fillId="0" borderId="0"/>
    <xf numFmtId="0" fontId="166" fillId="0" borderId="0"/>
    <xf numFmtId="261" fontId="166" fillId="0" borderId="0"/>
    <xf numFmtId="0" fontId="13" fillId="0" borderId="0"/>
    <xf numFmtId="0" fontId="77" fillId="0" borderId="0"/>
    <xf numFmtId="261" fontId="77" fillId="0" borderId="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 fillId="0" borderId="0" applyFont="0" applyFill="0" applyBorder="0" applyAlignment="0" applyProtection="0"/>
    <xf numFmtId="0" fontId="166" fillId="0" borderId="0"/>
    <xf numFmtId="261" fontId="166" fillId="0" borderId="0"/>
    <xf numFmtId="0" fontId="77" fillId="0" borderId="0"/>
    <xf numFmtId="261" fontId="77" fillId="0" borderId="0"/>
    <xf numFmtId="171" fontId="167" fillId="0" borderId="0"/>
    <xf numFmtId="37" fontId="14" fillId="0" borderId="0" applyBorder="0" applyAlignment="0">
      <alignment horizontal="center"/>
    </xf>
    <xf numFmtId="171" fontId="168" fillId="0" borderId="0" applyFill="0" applyBorder="0" applyAlignment="0" applyProtection="0">
      <alignment horizontal="left"/>
    </xf>
    <xf numFmtId="282" fontId="13" fillId="0" borderId="0" applyFill="0" applyBorder="0" applyAlignment="0" applyProtection="0">
      <alignment horizontal="left"/>
    </xf>
    <xf numFmtId="253" fontId="251" fillId="0" borderId="0" applyFont="0" applyFill="0" applyBorder="0" applyAlignment="0" applyProtection="0"/>
    <xf numFmtId="283" fontId="169" fillId="0" borderId="0" applyBorder="0"/>
    <xf numFmtId="189" fontId="3" fillId="0" borderId="0" applyFont="0" applyFill="0" applyBorder="0" applyAlignment="0"/>
    <xf numFmtId="189" fontId="169" fillId="0" borderId="0" applyBorder="0"/>
    <xf numFmtId="284" fontId="3" fillId="0" borderId="0" applyFont="0" applyFill="0" applyBorder="0" applyAlignment="0" applyProtection="0">
      <alignment horizontal="right"/>
    </xf>
    <xf numFmtId="0" fontId="34" fillId="0" borderId="0" applyFont="0" applyFill="0" applyBorder="0" applyAlignment="0" applyProtection="0">
      <alignment horizontal="right"/>
    </xf>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77" fontId="3" fillId="0" borderId="0" applyFont="0" applyFill="0" applyBorder="0" applyAlignment="0" applyProtection="0">
      <alignment horizontal="right"/>
    </xf>
    <xf numFmtId="260" fontId="222" fillId="0" borderId="0" applyFont="0" applyFill="0" applyBorder="0" applyAlignment="0" applyProtection="0"/>
    <xf numFmtId="0" fontId="34" fillId="0" borderId="0" applyFont="0" applyFill="0" applyBorder="0" applyAlignment="0" applyProtection="0">
      <alignment horizontal="right"/>
    </xf>
    <xf numFmtId="285" fontId="3" fillId="0" borderId="0" applyFont="0" applyFill="0" applyBorder="0" applyAlignment="0" applyProtection="0"/>
    <xf numFmtId="260" fontId="251"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43" fontId="2" fillId="0" borderId="0" applyFont="0" applyFill="0" applyBorder="0" applyAlignment="0" applyProtection="0"/>
    <xf numFmtId="0" fontId="3" fillId="0" borderId="0" applyFont="0" applyFill="0" applyBorder="0" applyAlignment="0" applyProtection="0"/>
    <xf numFmtId="258" fontId="3" fillId="0" borderId="0" applyFont="0" applyFill="0" applyBorder="0" applyAlignment="0" applyProtection="0"/>
    <xf numFmtId="326" fontId="3" fillId="0" borderId="0" applyFont="0" applyFill="0" applyBorder="0" applyAlignment="0" applyProtection="0"/>
    <xf numFmtId="286" fontId="153" fillId="0" borderId="0" applyFont="0" applyFill="0" applyBorder="0" applyAlignment="0" applyProtection="0"/>
    <xf numFmtId="0" fontId="170" fillId="0" borderId="0">
      <protection locked="0"/>
    </xf>
    <xf numFmtId="261" fontId="170" fillId="0" borderId="0">
      <protection locked="0"/>
    </xf>
    <xf numFmtId="14" fontId="153" fillId="0" borderId="0" applyFont="0" applyFill="0" applyBorder="0" applyAlignment="0" applyProtection="0"/>
    <xf numFmtId="0" fontId="77" fillId="0" borderId="0"/>
    <xf numFmtId="261" fontId="77" fillId="0" borderId="0"/>
    <xf numFmtId="0" fontId="3" fillId="0" borderId="0">
      <alignment horizontal="right"/>
      <protection locked="0"/>
    </xf>
    <xf numFmtId="15" fontId="227" fillId="0" borderId="0" applyFont="0" applyFill="0" applyBorder="0" applyAlignment="0" applyProtection="0">
      <protection locked="0"/>
    </xf>
    <xf numFmtId="287" fontId="3" fillId="0" borderId="0" applyFont="0" applyFill="0" applyBorder="0" applyAlignment="0" applyProtection="0"/>
    <xf numFmtId="0" fontId="34" fillId="0" borderId="0" applyFont="0" applyFill="0" applyBorder="0" applyAlignment="0" applyProtection="0"/>
    <xf numFmtId="0" fontId="3" fillId="0" borderId="0" applyNumberFormat="0" applyFont="0" applyBorder="0" applyAlignment="0"/>
    <xf numFmtId="261" fontId="3" fillId="0" borderId="0" applyNumberFormat="0" applyFont="0" applyBorder="0" applyAlignment="0"/>
    <xf numFmtId="41" fontId="3" fillId="0" borderId="0" applyFont="0" applyFill="0" applyBorder="0" applyAlignment="0" applyProtection="0"/>
    <xf numFmtId="43" fontId="3" fillId="0" borderId="0" applyFont="0" applyFill="0" applyBorder="0" applyAlignment="0" applyProtection="0"/>
    <xf numFmtId="0" fontId="170" fillId="0" borderId="0">
      <protection locked="0"/>
    </xf>
    <xf numFmtId="261" fontId="170" fillId="0" borderId="0">
      <protection locked="0"/>
    </xf>
    <xf numFmtId="0" fontId="3" fillId="0" borderId="0" applyFill="0" applyBorder="0"/>
    <xf numFmtId="261" fontId="3" fillId="0" borderId="0" applyFill="0" applyBorder="0"/>
    <xf numFmtId="0" fontId="3" fillId="0" borderId="0" applyFill="0" applyBorder="0"/>
    <xf numFmtId="0" fontId="3" fillId="0" borderId="0" applyFill="0" applyBorder="0"/>
    <xf numFmtId="0" fontId="3" fillId="0" borderId="0"/>
    <xf numFmtId="3" fontId="171" fillId="88" borderId="71">
      <alignment horizontal="center"/>
    </xf>
    <xf numFmtId="288" fontId="3" fillId="0" borderId="0"/>
    <xf numFmtId="189" fontId="23" fillId="0" borderId="0" applyFont="0" applyFill="0" applyBorder="0" applyAlignment="0" applyProtection="0"/>
    <xf numFmtId="289" fontId="3" fillId="0" borderId="13" applyNumberFormat="0" applyFont="0" applyFill="0" applyAlignment="0" applyProtection="0"/>
    <xf numFmtId="0" fontId="34" fillId="0" borderId="13" applyNumberFormat="0" applyFont="0" applyFill="0" applyAlignment="0" applyProtection="0"/>
    <xf numFmtId="165" fontId="231" fillId="0" borderId="0" applyNumberFormat="0"/>
    <xf numFmtId="0" fontId="163" fillId="0" borderId="0">
      <protection locked="0"/>
    </xf>
    <xf numFmtId="261" fontId="163" fillId="0" borderId="0">
      <protection locked="0"/>
    </xf>
    <xf numFmtId="0" fontId="163" fillId="0" borderId="0">
      <protection locked="0"/>
    </xf>
    <xf numFmtId="261" fontId="163" fillId="0" borderId="0">
      <protection locked="0"/>
    </xf>
    <xf numFmtId="0" fontId="232" fillId="0" borderId="0"/>
    <xf numFmtId="0" fontId="232" fillId="0" borderId="0"/>
    <xf numFmtId="0" fontId="232" fillId="0" borderId="0"/>
    <xf numFmtId="0" fontId="15" fillId="0" borderId="0" applyNumberFormat="0" applyFill="0" applyBorder="0" applyAlignment="0" applyProtection="0"/>
    <xf numFmtId="261" fontId="15" fillId="0" borderId="0" applyNumberFormat="0" applyFill="0" applyBorder="0" applyAlignment="0" applyProtection="0"/>
    <xf numFmtId="0" fontId="38" fillId="0" borderId="0"/>
    <xf numFmtId="0" fontId="3" fillId="0" borderId="0"/>
    <xf numFmtId="261" fontId="3" fillId="0" borderId="0"/>
    <xf numFmtId="260" fontId="144" fillId="0" borderId="0" applyFont="0" applyFill="0" applyBorder="0" applyAlignment="0" applyProtection="0"/>
    <xf numFmtId="290" fontId="13" fillId="0" borderId="0" applyFont="0" applyFill="0" applyBorder="0" applyAlignment="0" applyProtection="0"/>
    <xf numFmtId="260" fontId="144" fillId="0" borderId="0" applyFont="0" applyFill="0" applyBorder="0" applyAlignment="0" applyProtection="0"/>
    <xf numFmtId="261" fontId="172" fillId="0" borderId="0" applyFont="0" applyFill="0" applyBorder="0" applyAlignment="0" applyProtection="0"/>
    <xf numFmtId="214" fontId="3" fillId="0" borderId="0" applyFont="0" applyFill="0" applyBorder="0" applyAlignment="0" applyProtection="0"/>
    <xf numFmtId="222" fontId="173" fillId="0" borderId="0"/>
    <xf numFmtId="0" fontId="248" fillId="0" borderId="0" applyNumberFormat="0" applyFill="0" applyBorder="0" applyAlignment="0" applyProtection="0"/>
    <xf numFmtId="0" fontId="38" fillId="0" borderId="0" applyNumberFormat="0" applyFill="0" applyBorder="0" applyAlignment="0" applyProtection="0"/>
    <xf numFmtId="261" fontId="38" fillId="0" borderId="0" applyNumberFormat="0" applyFill="0" applyBorder="0" applyAlignment="0" applyProtection="0"/>
    <xf numFmtId="0" fontId="174" fillId="0" borderId="0"/>
    <xf numFmtId="261" fontId="174" fillId="0" borderId="0"/>
    <xf numFmtId="9" fontId="175" fillId="14" borderId="2" applyNumberFormat="0" applyFont="0" applyFill="0" applyBorder="0" applyAlignment="0" applyProtection="0">
      <alignment horizontal="left" vertical="center" wrapText="1"/>
      <protection hidden="1"/>
    </xf>
    <xf numFmtId="9" fontId="175" fillId="14" borderId="2" applyNumberFormat="0" applyFont="0" applyFill="0" applyBorder="0" applyAlignment="0" applyProtection="0">
      <alignment horizontal="left" vertical="center" wrapText="1"/>
      <protection hidden="1"/>
    </xf>
    <xf numFmtId="9" fontId="175" fillId="14" borderId="2" applyNumberFormat="0" applyFont="0" applyFill="0" applyBorder="0" applyAlignment="0" applyProtection="0">
      <alignment horizontal="left" vertical="center" wrapText="1"/>
      <protection hidden="1"/>
    </xf>
    <xf numFmtId="9" fontId="175" fillId="14" borderId="2" applyNumberFormat="0" applyFont="0" applyFill="0" applyBorder="0" applyAlignment="0" applyProtection="0">
      <alignment horizontal="left" vertical="center" wrapText="1"/>
      <protection hidden="1"/>
    </xf>
    <xf numFmtId="9" fontId="175" fillId="14" borderId="2" applyNumberFormat="0" applyFont="0" applyFill="0" applyBorder="0" applyAlignment="0" applyProtection="0">
      <alignment horizontal="left" vertical="center" wrapText="1"/>
      <protection hidden="1"/>
    </xf>
    <xf numFmtId="9" fontId="175" fillId="14" borderId="2" applyNumberFormat="0" applyFont="0" applyFill="0" applyBorder="0" applyAlignment="0" applyProtection="0">
      <alignment horizontal="left" vertical="center" wrapText="1"/>
      <protection hidden="1"/>
    </xf>
    <xf numFmtId="0" fontId="174" fillId="0" borderId="0"/>
    <xf numFmtId="261" fontId="174" fillId="0" borderId="0"/>
    <xf numFmtId="9" fontId="175" fillId="14" borderId="2" applyNumberFormat="0" applyFont="0" applyFill="0" applyBorder="0" applyAlignment="0" applyProtection="0">
      <alignment horizontal="left" vertical="center" wrapText="1"/>
      <protection hidden="1"/>
    </xf>
    <xf numFmtId="9" fontId="175" fillId="14" borderId="2" applyNumberFormat="0" applyFont="0" applyFill="0" applyBorder="0" applyAlignment="0" applyProtection="0">
      <alignment horizontal="left" vertical="center" wrapText="1"/>
      <protection hidden="1"/>
    </xf>
    <xf numFmtId="0" fontId="174" fillId="0" borderId="0"/>
    <xf numFmtId="261" fontId="174" fillId="0" borderId="0"/>
    <xf numFmtId="9" fontId="175" fillId="14" borderId="2" applyNumberFormat="0" applyFont="0" applyFill="0" applyBorder="0" applyAlignment="0" applyProtection="0">
      <alignment horizontal="left" vertical="center" wrapText="1"/>
      <protection hidden="1"/>
    </xf>
    <xf numFmtId="0" fontId="174" fillId="0" borderId="0"/>
    <xf numFmtId="261" fontId="174" fillId="0" borderId="0"/>
    <xf numFmtId="0" fontId="174" fillId="0" borderId="0"/>
    <xf numFmtId="261" fontId="174" fillId="0" borderId="0"/>
    <xf numFmtId="0" fontId="174" fillId="0" borderId="0"/>
    <xf numFmtId="261" fontId="174" fillId="0" borderId="0"/>
    <xf numFmtId="0" fontId="174" fillId="0" borderId="0"/>
    <xf numFmtId="261" fontId="174" fillId="0" borderId="0"/>
    <xf numFmtId="0" fontId="174" fillId="0" borderId="0"/>
    <xf numFmtId="261" fontId="174" fillId="0" borderId="0"/>
    <xf numFmtId="9" fontId="175" fillId="14" borderId="2" applyNumberFormat="0" applyFont="0" applyFill="0" applyBorder="0" applyAlignment="0" applyProtection="0">
      <alignment horizontal="left" vertical="center" wrapText="1"/>
      <protection hidden="1"/>
    </xf>
    <xf numFmtId="9" fontId="175" fillId="14" borderId="2" applyNumberFormat="0" applyFont="0" applyFill="0" applyBorder="0" applyAlignment="0" applyProtection="0">
      <alignment horizontal="left" vertical="center" wrapText="1"/>
      <protection hidden="1"/>
    </xf>
    <xf numFmtId="9" fontId="175" fillId="14" borderId="2" applyNumberFormat="0" applyFont="0" applyFill="0" applyBorder="0" applyAlignment="0" applyProtection="0">
      <alignment horizontal="left" vertical="center" wrapText="1"/>
      <protection hidden="1"/>
    </xf>
    <xf numFmtId="9" fontId="175" fillId="14" borderId="2" applyNumberFormat="0" applyFont="0" applyFill="0" applyBorder="0" applyAlignment="0" applyProtection="0">
      <alignment horizontal="left" vertical="center" wrapText="1"/>
      <protection hidden="1"/>
    </xf>
    <xf numFmtId="9" fontId="175" fillId="14" borderId="2" applyNumberFormat="0" applyFont="0" applyFill="0" applyBorder="0" applyAlignment="0" applyProtection="0">
      <alignment horizontal="left" vertical="center" wrapText="1"/>
      <protection hidden="1"/>
    </xf>
    <xf numFmtId="9" fontId="175" fillId="14" borderId="2" applyNumberFormat="0" applyFont="0" applyFill="0" applyBorder="0" applyAlignment="0" applyProtection="0">
      <alignment horizontal="left" vertical="center" wrapText="1"/>
      <protection hidden="1"/>
    </xf>
    <xf numFmtId="0" fontId="174" fillId="0" borderId="0"/>
    <xf numFmtId="261" fontId="174" fillId="0" borderId="0"/>
    <xf numFmtId="0" fontId="174" fillId="0" borderId="0"/>
    <xf numFmtId="261" fontId="174" fillId="0" borderId="0"/>
    <xf numFmtId="0" fontId="174" fillId="0" borderId="0"/>
    <xf numFmtId="261" fontId="174" fillId="0" borderId="0"/>
    <xf numFmtId="9" fontId="175" fillId="14" borderId="2" applyNumberFormat="0" applyFont="0" applyFill="0" applyBorder="0" applyAlignment="0" applyProtection="0">
      <alignment horizontal="left" vertical="center" wrapText="1"/>
      <protection hidden="1"/>
    </xf>
    <xf numFmtId="9" fontId="175" fillId="14" borderId="2" applyNumberFormat="0" applyFont="0" applyFill="0" applyBorder="0" applyAlignment="0" applyProtection="0">
      <alignment horizontal="left" vertical="center" wrapText="1"/>
      <protection hidden="1"/>
    </xf>
    <xf numFmtId="9" fontId="175" fillId="14" borderId="2" applyNumberFormat="0" applyFont="0" applyFill="0" applyBorder="0" applyAlignment="0" applyProtection="0">
      <alignment horizontal="left" vertical="center" wrapText="1"/>
      <protection hidden="1"/>
    </xf>
    <xf numFmtId="9" fontId="175" fillId="14" borderId="2" applyNumberFormat="0" applyFont="0" applyFill="0" applyBorder="0" applyAlignment="0" applyProtection="0">
      <alignment horizontal="left" vertical="center" wrapText="1"/>
      <protection hidden="1"/>
    </xf>
    <xf numFmtId="9" fontId="175" fillId="14" borderId="2" applyNumberFormat="0" applyFont="0" applyFill="0" applyBorder="0" applyAlignment="0" applyProtection="0">
      <alignment horizontal="left" vertical="center" wrapText="1"/>
      <protection hidden="1"/>
    </xf>
    <xf numFmtId="9" fontId="175" fillId="14" borderId="2" applyNumberFormat="0" applyFont="0" applyFill="0" applyBorder="0" applyAlignment="0" applyProtection="0">
      <alignment horizontal="left" vertical="center" wrapText="1"/>
      <protection hidden="1"/>
    </xf>
    <xf numFmtId="9" fontId="175" fillId="14" borderId="2" applyNumberFormat="0" applyFont="0" applyFill="0" applyBorder="0" applyAlignment="0" applyProtection="0">
      <alignment horizontal="left" vertical="center" wrapText="1"/>
      <protection hidden="1"/>
    </xf>
    <xf numFmtId="0" fontId="174" fillId="0" borderId="0"/>
    <xf numFmtId="261" fontId="174" fillId="0" borderId="0"/>
    <xf numFmtId="0" fontId="170" fillId="0" borderId="0">
      <protection locked="0"/>
    </xf>
    <xf numFmtId="261" fontId="170" fillId="0" borderId="0">
      <protection locked="0"/>
    </xf>
    <xf numFmtId="0" fontId="170" fillId="0" borderId="0">
      <protection locked="0"/>
    </xf>
    <xf numFmtId="261" fontId="170" fillId="0" borderId="0">
      <protection locked="0"/>
    </xf>
    <xf numFmtId="0" fontId="170" fillId="0" borderId="0">
      <protection locked="0"/>
    </xf>
    <xf numFmtId="261" fontId="170" fillId="0" borderId="0">
      <protection locked="0"/>
    </xf>
    <xf numFmtId="0" fontId="170" fillId="0" borderId="0">
      <protection locked="0"/>
    </xf>
    <xf numFmtId="261" fontId="170" fillId="0" borderId="0">
      <protection locked="0"/>
    </xf>
    <xf numFmtId="0" fontId="170" fillId="0" borderId="0">
      <protection locked="0"/>
    </xf>
    <xf numFmtId="261" fontId="170" fillId="0" borderId="0">
      <protection locked="0"/>
    </xf>
    <xf numFmtId="0" fontId="170" fillId="0" borderId="0">
      <protection locked="0"/>
    </xf>
    <xf numFmtId="261" fontId="170" fillId="0" borderId="0">
      <protection locked="0"/>
    </xf>
    <xf numFmtId="0" fontId="170" fillId="0" borderId="0">
      <protection locked="0"/>
    </xf>
    <xf numFmtId="261" fontId="170" fillId="0" borderId="0">
      <protection locked="0"/>
    </xf>
    <xf numFmtId="0" fontId="23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70" fillId="0" borderId="0">
      <protection locked="0"/>
    </xf>
    <xf numFmtId="261" fontId="170" fillId="0" borderId="0">
      <protection locked="0"/>
    </xf>
    <xf numFmtId="0" fontId="170" fillId="0" borderId="0">
      <protection locked="0"/>
    </xf>
    <xf numFmtId="261" fontId="170" fillId="0" borderId="0">
      <protection locked="0"/>
    </xf>
    <xf numFmtId="0" fontId="234" fillId="89" borderId="0"/>
    <xf numFmtId="0" fontId="13" fillId="0" borderId="0" applyFont="0" applyFill="0" applyBorder="0" applyAlignment="0" applyProtection="0">
      <alignment horizontal="right"/>
    </xf>
    <xf numFmtId="261" fontId="13" fillId="0" borderId="0" applyFont="0" applyFill="0" applyBorder="0" applyAlignment="0" applyProtection="0">
      <alignment horizontal="right"/>
    </xf>
    <xf numFmtId="2" fontId="36" fillId="0" borderId="0" applyFont="0" applyFill="0" applyBorder="0" applyAlignment="0" applyProtection="0"/>
    <xf numFmtId="2" fontId="36" fillId="0" borderId="0" applyFont="0" applyFill="0" applyBorder="0" applyAlignment="0" applyProtection="0"/>
    <xf numFmtId="291" fontId="170" fillId="0" borderId="0">
      <protection locked="0"/>
    </xf>
    <xf numFmtId="0" fontId="176" fillId="0" borderId="0" applyFill="0" applyBorder="0" applyProtection="0">
      <alignment horizontal="left"/>
    </xf>
    <xf numFmtId="261" fontId="176" fillId="0" borderId="0" applyFill="0" applyBorder="0" applyProtection="0">
      <alignment horizontal="left"/>
    </xf>
    <xf numFmtId="0" fontId="3" fillId="0" borderId="0" applyFill="0" applyBorder="0" applyProtection="0">
      <alignment horizontal="left"/>
    </xf>
    <xf numFmtId="3" fontId="39" fillId="0" borderId="0">
      <alignment horizontal="right" shrinkToFit="1"/>
    </xf>
    <xf numFmtId="0" fontId="159" fillId="0" borderId="0" applyFont="0" applyFill="0" applyBorder="0" applyAlignment="0" applyProtection="0">
      <alignment horizontal="right"/>
    </xf>
    <xf numFmtId="0" fontId="240" fillId="68" borderId="0" applyNumberFormat="0" applyBorder="0" applyAlignment="0" applyProtection="0"/>
    <xf numFmtId="38" fontId="13" fillId="14" borderId="0" applyNumberFormat="0" applyBorder="0" applyAlignment="0" applyProtection="0"/>
    <xf numFmtId="38" fontId="13" fillId="14" borderId="0" applyNumberFormat="0" applyFont="0" applyBorder="0" applyAlignment="0">
      <protection hidden="1"/>
    </xf>
    <xf numFmtId="41" fontId="5" fillId="0" borderId="0"/>
    <xf numFmtId="292" fontId="3" fillId="0" borderId="0" applyFont="0" applyFill="0" applyBorder="0" applyAlignment="0" applyProtection="0">
      <alignment horizontal="right"/>
    </xf>
    <xf numFmtId="0" fontId="34" fillId="0" borderId="0" applyFont="0" applyFill="0" applyBorder="0" applyAlignment="0" applyProtection="0">
      <alignment horizontal="right"/>
    </xf>
    <xf numFmtId="0" fontId="89" fillId="0" borderId="0"/>
    <xf numFmtId="261" fontId="89" fillId="0" borderId="0"/>
    <xf numFmtId="0" fontId="3" fillId="0" borderId="0" applyProtection="0">
      <alignment horizontal="right"/>
    </xf>
    <xf numFmtId="0" fontId="3" fillId="0" borderId="0" applyProtection="0">
      <alignment horizontal="right"/>
    </xf>
    <xf numFmtId="0" fontId="52" fillId="0" borderId="52" applyNumberFormat="0" applyAlignment="0" applyProtection="0">
      <alignment horizontal="left" vertical="center"/>
    </xf>
    <xf numFmtId="261" fontId="52" fillId="0" borderId="52" applyNumberFormat="0" applyAlignment="0" applyProtection="0">
      <alignment horizontal="left" vertical="center"/>
    </xf>
    <xf numFmtId="0" fontId="52" fillId="0" borderId="1">
      <alignment horizontal="left" vertical="center"/>
    </xf>
    <xf numFmtId="261" fontId="52" fillId="0" borderId="1">
      <alignment horizontal="left" vertical="center"/>
    </xf>
    <xf numFmtId="0" fontId="225" fillId="0" borderId="0" applyNumberFormat="0" applyFill="0" applyBorder="0" applyAlignment="0" applyProtection="0">
      <protection locked="0"/>
    </xf>
    <xf numFmtId="0" fontId="249" fillId="0" borderId="74" applyNumberFormat="0" applyFill="0" applyAlignment="0" applyProtection="0"/>
    <xf numFmtId="0" fontId="177" fillId="0" borderId="0" applyProtection="0">
      <alignment horizontal="left"/>
    </xf>
    <xf numFmtId="261" fontId="177" fillId="0" borderId="0" applyProtection="0">
      <alignment horizontal="left"/>
    </xf>
    <xf numFmtId="222" fontId="228" fillId="0" borderId="0" applyNumberFormat="0" applyFill="0" applyBorder="0" applyAlignment="0" applyProtection="0">
      <protection locked="0"/>
    </xf>
    <xf numFmtId="0" fontId="250" fillId="0" borderId="75" applyNumberFormat="0" applyFill="0" applyAlignment="0" applyProtection="0"/>
    <xf numFmtId="0" fontId="178" fillId="0" borderId="0" applyProtection="0">
      <alignment horizontal="left"/>
    </xf>
    <xf numFmtId="261" fontId="178" fillId="0" borderId="0" applyProtection="0">
      <alignment horizontal="left"/>
    </xf>
    <xf numFmtId="222" fontId="226" fillId="0" borderId="0" applyNumberFormat="0" applyFill="0" applyBorder="0" applyAlignment="0" applyProtection="0">
      <protection locked="0"/>
    </xf>
    <xf numFmtId="0" fontId="243" fillId="0" borderId="76" applyNumberFormat="0" applyFill="0" applyAlignment="0" applyProtection="0"/>
    <xf numFmtId="0" fontId="243" fillId="0" borderId="0" applyNumberFormat="0" applyFill="0" applyBorder="0" applyAlignment="0" applyProtection="0"/>
    <xf numFmtId="170" fontId="179" fillId="0" borderId="0" applyNumberFormat="0" applyFont="0" applyFill="0" applyBorder="0" applyAlignment="0">
      <alignment horizontal="left"/>
    </xf>
    <xf numFmtId="0" fontId="172" fillId="0" borderId="0">
      <alignment wrapText="1"/>
    </xf>
    <xf numFmtId="0" fontId="59" fillId="0" borderId="0" applyNumberFormat="0" applyFill="0" applyBorder="0" applyAlignment="0" applyProtection="0">
      <alignment vertical="top"/>
      <protection locked="0"/>
    </xf>
    <xf numFmtId="261" fontId="59" fillId="0" borderId="0" applyNumberFormat="0" applyFill="0" applyBorder="0" applyAlignment="0" applyProtection="0">
      <alignment vertical="top"/>
      <protection locked="0"/>
    </xf>
    <xf numFmtId="0" fontId="221"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261" fontId="46"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252" fillId="0" borderId="0" applyNumberFormat="0" applyFill="0" applyBorder="0" applyAlignment="0" applyProtection="0"/>
    <xf numFmtId="0" fontId="155" fillId="0" borderId="0"/>
    <xf numFmtId="261" fontId="155" fillId="0" borderId="0"/>
    <xf numFmtId="4" fontId="3" fillId="90" borderId="0"/>
    <xf numFmtId="165" fontId="180" fillId="14" borderId="0">
      <protection locked="0"/>
    </xf>
    <xf numFmtId="3" fontId="181" fillId="14" borderId="0">
      <alignment horizontal="right"/>
      <protection locked="0"/>
    </xf>
    <xf numFmtId="170" fontId="180" fillId="14" borderId="0" applyBorder="0">
      <alignment horizontal="right"/>
      <protection locked="0"/>
    </xf>
    <xf numFmtId="283" fontId="13" fillId="5" borderId="10" applyNumberFormat="0" applyAlignment="0">
      <protection locked="0"/>
    </xf>
    <xf numFmtId="0" fontId="244" fillId="71" borderId="72" applyNumberFormat="0" applyAlignment="0" applyProtection="0"/>
    <xf numFmtId="283" fontId="13" fillId="5" borderId="10" applyNumberFormat="0" applyAlignment="0">
      <protection locked="0"/>
    </xf>
    <xf numFmtId="283" fontId="13" fillId="5" borderId="10" applyNumberFormat="0" applyAlignment="0">
      <protection locked="0"/>
    </xf>
    <xf numFmtId="283" fontId="13" fillId="5" borderId="10" applyNumberFormat="0" applyAlignment="0">
      <protection locked="0"/>
    </xf>
    <xf numFmtId="283" fontId="13" fillId="5" borderId="10" applyNumberFormat="0" applyAlignment="0">
      <protection locked="0"/>
    </xf>
    <xf numFmtId="283" fontId="13" fillId="5" borderId="10" applyNumberFormat="0" applyAlignment="0">
      <protection locked="0"/>
    </xf>
    <xf numFmtId="3" fontId="182" fillId="0" borderId="20" applyNumberFormat="0" applyFont="0" applyFill="0" applyAlignment="0">
      <alignment horizontal="center" vertical="top"/>
      <protection locked="0"/>
    </xf>
    <xf numFmtId="171" fontId="156" fillId="91" borderId="0"/>
    <xf numFmtId="3" fontId="13" fillId="0" borderId="0" applyFill="0">
      <alignment horizontal="right" shrinkToFit="1"/>
      <protection locked="0"/>
    </xf>
    <xf numFmtId="3" fontId="13" fillId="0" borderId="0" applyFill="0">
      <alignment horizontal="right" shrinkToFit="1"/>
      <protection locked="0"/>
    </xf>
    <xf numFmtId="165" fontId="13" fillId="5" borderId="6" applyNumberFormat="0" applyFont="0" applyAlignment="0" applyProtection="0">
      <alignment horizontal="center"/>
      <protection locked="0"/>
    </xf>
    <xf numFmtId="293" fontId="153" fillId="0" borderId="0" applyFont="0" applyFill="0" applyBorder="0" applyAlignment="0" applyProtection="0"/>
    <xf numFmtId="38" fontId="183" fillId="0" borderId="0"/>
    <xf numFmtId="38" fontId="184" fillId="0" borderId="0"/>
    <xf numFmtId="38" fontId="185" fillId="0" borderId="0"/>
    <xf numFmtId="38" fontId="186" fillId="0" borderId="0"/>
    <xf numFmtId="0" fontId="153" fillId="0" borderId="0"/>
    <xf numFmtId="261" fontId="153" fillId="0" borderId="0"/>
    <xf numFmtId="0" fontId="153" fillId="0" borderId="0"/>
    <xf numFmtId="261" fontId="153" fillId="0" borderId="0"/>
    <xf numFmtId="0" fontId="172" fillId="0" borderId="0" applyProtection="0">
      <alignment horizontal="center"/>
    </xf>
    <xf numFmtId="261" fontId="172" fillId="0" borderId="0" applyProtection="0">
      <alignment horizontal="center"/>
    </xf>
    <xf numFmtId="1" fontId="63" fillId="0" borderId="0" applyNumberFormat="0" applyFill="0" applyBorder="0" applyAlignment="0" applyProtection="0">
      <alignment horizontal="right"/>
    </xf>
    <xf numFmtId="0" fontId="242" fillId="0" borderId="77" applyNumberFormat="0" applyFill="0" applyAlignment="0" applyProtection="0"/>
    <xf numFmtId="171" fontId="3" fillId="92" borderId="0"/>
    <xf numFmtId="328" fontId="20" fillId="20" borderId="0" applyBorder="0" applyAlignment="0">
      <alignment horizontal="right"/>
    </xf>
    <xf numFmtId="0" fontId="234" fillId="0" borderId="0"/>
    <xf numFmtId="0" fontId="235" fillId="0" borderId="0"/>
    <xf numFmtId="0" fontId="236" fillId="0" borderId="0"/>
    <xf numFmtId="294" fontId="29" fillId="0" borderId="0" applyFont="0" applyFill="0" applyBorder="0" applyAlignment="0" applyProtection="0"/>
    <xf numFmtId="41" fontId="3" fillId="0" borderId="0" applyFont="0" applyFill="0" applyBorder="0" applyAlignment="0" applyProtection="0"/>
    <xf numFmtId="43" fontId="144" fillId="0" borderId="0" applyFont="0" applyFill="0" applyBorder="0" applyAlignment="0" applyProtection="0"/>
    <xf numFmtId="315" fontId="3" fillId="0" borderId="0" applyFont="0" applyFill="0" applyBorder="0" applyAlignment="0" applyProtection="0"/>
    <xf numFmtId="315" fontId="3" fillId="0" borderId="0" applyFont="0" applyFill="0" applyBorder="0" applyAlignment="0" applyProtection="0"/>
    <xf numFmtId="315" fontId="145" fillId="0" borderId="0" applyFont="0" applyFill="0" applyBorder="0" applyAlignment="0" applyProtection="0"/>
    <xf numFmtId="43" fontId="3" fillId="0" borderId="0" applyFont="0" applyFill="0" applyBorder="0" applyAlignment="0" applyProtection="0"/>
    <xf numFmtId="37" fontId="3" fillId="0" borderId="0" applyFont="0" applyFill="0" applyBorder="0" applyAlignment="0" applyProtection="0"/>
    <xf numFmtId="295" fontId="3" fillId="0" borderId="0" applyFont="0" applyFill="0" applyBorder="0" applyAlignment="0" applyProtection="0"/>
    <xf numFmtId="296" fontId="3" fillId="0" borderId="0" applyFont="0" applyFill="0" applyBorder="0" applyAlignment="0" applyProtection="0"/>
    <xf numFmtId="0" fontId="3" fillId="0" borderId="8"/>
    <xf numFmtId="323" fontId="3" fillId="0" borderId="0" applyFont="0" applyFill="0" applyBorder="0" applyAlignment="0" applyProtection="0"/>
    <xf numFmtId="285" fontId="3" fillId="0" borderId="0" applyFont="0" applyFill="0" applyBorder="0" applyAlignment="0" applyProtection="0"/>
    <xf numFmtId="303" fontId="3" fillId="0" borderId="0" applyFont="0" applyFill="0" applyBorder="0" applyAlignment="0" applyProtection="0"/>
    <xf numFmtId="297" fontId="3" fillId="0" borderId="0" applyFill="0" applyBorder="0" applyAlignment="0" applyProtection="0"/>
    <xf numFmtId="253" fontId="3" fillId="0" borderId="0" applyFont="0" applyFill="0" applyBorder="0" applyAlignment="0" applyProtection="0"/>
    <xf numFmtId="260" fontId="3" fillId="0" borderId="0" applyFont="0" applyFill="0" applyBorder="0" applyAlignment="0" applyProtection="0"/>
    <xf numFmtId="298" fontId="3" fillId="0" borderId="0" applyFont="0" applyFill="0" applyBorder="0" applyAlignment="0" applyProtection="0"/>
    <xf numFmtId="299" fontId="3" fillId="0" borderId="0" applyFont="0" applyFill="0" applyBorder="0" applyAlignment="0" applyProtection="0"/>
    <xf numFmtId="274" fontId="3" fillId="0" borderId="0" applyFont="0" applyFill="0" applyBorder="0" applyAlignment="0" applyProtection="0"/>
    <xf numFmtId="274" fontId="3" fillId="0" borderId="0" applyFont="0" applyFill="0" applyBorder="0" applyAlignment="0" applyProtection="0"/>
    <xf numFmtId="300" fontId="3" fillId="0" borderId="0" applyFont="0" applyFill="0" applyBorder="0" applyAlignment="0" applyProtection="0"/>
    <xf numFmtId="300" fontId="3" fillId="0" borderId="0" applyFont="0" applyFill="0" applyBorder="0" applyAlignment="0" applyProtection="0"/>
    <xf numFmtId="301" fontId="3" fillId="0" borderId="0" applyFont="0" applyFill="0" applyBorder="0" applyAlignment="0" applyProtection="0"/>
    <xf numFmtId="302" fontId="3" fillId="0" borderId="0" applyFont="0" applyFill="0" applyBorder="0" applyAlignment="0" applyProtection="0"/>
    <xf numFmtId="278" fontId="3" fillId="0" borderId="0" applyFont="0" applyFill="0" applyBorder="0" applyAlignment="0" applyProtection="0"/>
    <xf numFmtId="278"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170" fillId="0" borderId="0">
      <protection locked="0"/>
    </xf>
    <xf numFmtId="261" fontId="170" fillId="0" borderId="0">
      <protection locked="0"/>
    </xf>
    <xf numFmtId="303" fontId="13" fillId="0" borderId="0" applyFont="0" applyFill="0" applyBorder="0" applyAlignment="0" applyProtection="0"/>
    <xf numFmtId="303" fontId="13" fillId="0" borderId="0" applyFont="0" applyFill="0" applyBorder="0" applyAlignment="0" applyProtection="0"/>
    <xf numFmtId="304" fontId="32" fillId="0" borderId="0"/>
    <xf numFmtId="0" fontId="34" fillId="0" borderId="0" applyFont="0" applyFill="0" applyBorder="0" applyAlignment="0" applyProtection="0">
      <alignment horizontal="right"/>
    </xf>
    <xf numFmtId="0" fontId="253" fillId="36" borderId="0" applyNumberFormat="0" applyBorder="0" applyAlignment="0" applyProtection="0"/>
    <xf numFmtId="0" fontId="246" fillId="65" borderId="0" applyNumberFormat="0" applyBorder="0" applyAlignment="0" applyProtection="0"/>
    <xf numFmtId="37" fontId="13" fillId="0" borderId="0"/>
    <xf numFmtId="305" fontId="3" fillId="0" borderId="0" applyFont="0" applyFill="0" applyBorder="0" applyAlignment="0" applyProtection="0"/>
    <xf numFmtId="0" fontId="155" fillId="0" borderId="0"/>
    <xf numFmtId="0" fontId="187" fillId="0" borderId="0"/>
    <xf numFmtId="261" fontId="187" fillId="0" borderId="0"/>
    <xf numFmtId="0" fontId="187" fillId="0" borderId="0"/>
    <xf numFmtId="261" fontId="187" fillId="0" borderId="0"/>
    <xf numFmtId="0" fontId="187" fillId="0" borderId="0"/>
    <xf numFmtId="261" fontId="187" fillId="0" borderId="0"/>
    <xf numFmtId="0" fontId="187" fillId="0" borderId="0"/>
    <xf numFmtId="261" fontId="187" fillId="0" borderId="0"/>
    <xf numFmtId="0" fontId="187" fillId="0" borderId="0"/>
    <xf numFmtId="261" fontId="187" fillId="0" borderId="0"/>
    <xf numFmtId="0" fontId="187" fillId="0" borderId="0"/>
    <xf numFmtId="261" fontId="187" fillId="0" borderId="0"/>
    <xf numFmtId="0" fontId="187" fillId="0" borderId="0"/>
    <xf numFmtId="261" fontId="187" fillId="0" borderId="0"/>
    <xf numFmtId="261" fontId="3" fillId="0" borderId="0"/>
    <xf numFmtId="0" fontId="3" fillId="0" borderId="0"/>
    <xf numFmtId="0" fontId="3" fillId="0" borderId="0"/>
    <xf numFmtId="0" fontId="3" fillId="0" borderId="0"/>
    <xf numFmtId="0" fontId="3" fillId="0" borderId="0"/>
    <xf numFmtId="261"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261" fontId="3" fillId="0" borderId="0"/>
    <xf numFmtId="261" fontId="3" fillId="0" borderId="0"/>
    <xf numFmtId="0" fontId="3" fillId="0" borderId="0"/>
    <xf numFmtId="261" fontId="3" fillId="0" borderId="0"/>
    <xf numFmtId="222" fontId="2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261" fontId="144" fillId="0" borderId="0"/>
    <xf numFmtId="0" fontId="144" fillId="0" borderId="0"/>
    <xf numFmtId="0" fontId="3" fillId="0" borderId="0"/>
    <xf numFmtId="0" fontId="1" fillId="0" borderId="0"/>
    <xf numFmtId="0" fontId="1" fillId="0" borderId="0"/>
    <xf numFmtId="0" fontId="1" fillId="0" borderId="0"/>
    <xf numFmtId="0" fontId="1" fillId="0" borderId="0"/>
    <xf numFmtId="0" fontId="251" fillId="0" borderId="0"/>
    <xf numFmtId="0" fontId="1" fillId="0" borderId="0"/>
    <xf numFmtId="0" fontId="1" fillId="0" borderId="0"/>
    <xf numFmtId="0" fontId="1" fillId="0" borderId="0"/>
    <xf numFmtId="0" fontId="1" fillId="0" borderId="0"/>
    <xf numFmtId="0" fontId="1" fillId="0" borderId="0"/>
    <xf numFmtId="0" fontId="144" fillId="0" borderId="0"/>
    <xf numFmtId="0" fontId="144" fillId="0" borderId="0"/>
    <xf numFmtId="261" fontId="144" fillId="0" borderId="0"/>
    <xf numFmtId="261" fontId="144" fillId="0" borderId="0"/>
    <xf numFmtId="0" fontId="3" fillId="0" borderId="0"/>
    <xf numFmtId="0" fontId="104"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3" fontId="188" fillId="0" borderId="0"/>
    <xf numFmtId="216" fontId="39" fillId="0" borderId="0" applyNumberFormat="0" applyFill="0" applyBorder="0" applyAlignment="0" applyProtection="0"/>
    <xf numFmtId="3" fontId="146" fillId="0" borderId="0">
      <alignment horizontal="left"/>
    </xf>
    <xf numFmtId="3" fontId="29" fillId="17" borderId="22"/>
    <xf numFmtId="0" fontId="189" fillId="0" borderId="0" applyNumberFormat="0" applyFill="0" applyBorder="0" applyAlignment="0" applyProtection="0"/>
    <xf numFmtId="261" fontId="189" fillId="0" borderId="0" applyNumberFormat="0" applyFill="0" applyBorder="0" applyAlignment="0" applyProtection="0"/>
    <xf numFmtId="0" fontId="190" fillId="0" borderId="0" applyNumberFormat="0" applyFill="0" applyBorder="0" applyAlignment="0" applyProtection="0"/>
    <xf numFmtId="261" fontId="190" fillId="0" borderId="0" applyNumberFormat="0" applyFill="0" applyBorder="0" applyAlignment="0" applyProtection="0"/>
    <xf numFmtId="0" fontId="191" fillId="0" borderId="0" applyNumberFormat="0" applyFill="0" applyBorder="0" applyAlignment="0" applyProtection="0"/>
    <xf numFmtId="261" fontId="191" fillId="0" borderId="0" applyNumberFormat="0" applyFill="0" applyBorder="0" applyAlignment="0" applyProtection="0"/>
    <xf numFmtId="0" fontId="1" fillId="40" borderId="66" applyNumberFormat="0" applyFont="0" applyAlignment="0" applyProtection="0"/>
    <xf numFmtId="0" fontId="3" fillId="93" borderId="78" applyNumberFormat="0" applyFont="0" applyAlignment="0" applyProtection="0"/>
    <xf numFmtId="306" fontId="77" fillId="0" borderId="78" applyFill="0" applyBorder="0" applyAlignment="0" applyProtection="0"/>
    <xf numFmtId="216" fontId="32" fillId="0" borderId="0"/>
    <xf numFmtId="221" fontId="32" fillId="0" borderId="0" applyFont="0" applyFill="0" applyBorder="0" applyAlignment="0" applyProtection="0">
      <alignment vertical="center"/>
    </xf>
    <xf numFmtId="221" fontId="32" fillId="0" borderId="0" applyFont="0" applyFill="0" applyBorder="0" applyAlignment="0" applyProtection="0">
      <alignment vertical="center"/>
    </xf>
    <xf numFmtId="43" fontId="18" fillId="0" borderId="0" applyFont="0" applyFill="0" applyBorder="0" applyAlignment="0" applyProtection="0"/>
    <xf numFmtId="41" fontId="18" fillId="0" borderId="0" applyFont="0" applyFill="0" applyBorder="0" applyAlignment="0" applyProtection="0"/>
    <xf numFmtId="0" fontId="247" fillId="17" borderId="79" applyNumberFormat="0" applyAlignment="0" applyProtection="0"/>
    <xf numFmtId="1" fontId="192" fillId="0" borderId="0" applyProtection="0">
      <alignment horizontal="right" vertical="center"/>
    </xf>
    <xf numFmtId="1" fontId="3" fillId="0" borderId="0" applyProtection="0">
      <alignment horizontal="right" vertical="center"/>
    </xf>
    <xf numFmtId="0" fontId="3" fillId="0" borderId="0">
      <alignment horizontal="left"/>
    </xf>
    <xf numFmtId="37" fontId="50" fillId="0" borderId="0" applyNumberFormat="0" applyFill="0" applyBorder="0" applyAlignment="0" applyProtection="0"/>
    <xf numFmtId="307" fontId="5" fillId="0" borderId="0" applyFont="0">
      <alignment horizontal="centerContinuous"/>
    </xf>
    <xf numFmtId="308" fontId="3" fillId="0" borderId="0">
      <alignment horizontal="right"/>
    </xf>
    <xf numFmtId="0" fontId="236" fillId="0" borderId="0"/>
    <xf numFmtId="14" fontId="23" fillId="0" borderId="0">
      <alignment horizontal="center" wrapText="1"/>
      <protection locked="0"/>
    </xf>
    <xf numFmtId="0" fontId="77" fillId="0" borderId="0"/>
    <xf numFmtId="261" fontId="77" fillId="0" borderId="0"/>
    <xf numFmtId="0" fontId="13" fillId="0" borderId="0"/>
    <xf numFmtId="9" fontId="2" fillId="0" borderId="0" applyFont="0" applyFill="0" applyBorder="0" applyAlignment="0" applyProtection="0"/>
    <xf numFmtId="165" fontId="3" fillId="0" borderId="0" applyFont="0" applyFill="0" applyBorder="0" applyAlignment="0" applyProtection="0"/>
    <xf numFmtId="0" fontId="29" fillId="0" borderId="0" applyFont="0" applyFill="0" applyBorder="0" applyAlignment="0" applyProtection="0"/>
    <xf numFmtId="9" fontId="18" fillId="0" borderId="0" applyFont="0" applyFill="0" applyBorder="0" applyAlignment="0" applyProtection="0"/>
    <xf numFmtId="10" fontId="18" fillId="0" borderId="0" applyFont="0" applyFill="0" applyBorder="0" applyAlignment="0" applyProtection="0"/>
    <xf numFmtId="10" fontId="3" fillId="0" borderId="0" applyFont="0" applyFill="0" applyBorder="0" applyAlignment="0" applyProtection="0"/>
    <xf numFmtId="237" fontId="3" fillId="13"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45" fillId="0" borderId="0" applyFont="0" applyFill="0" applyBorder="0" applyAlignment="0" applyProtection="0"/>
    <xf numFmtId="9" fontId="25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309" fontId="170" fillId="0" borderId="0">
      <protection locked="0"/>
    </xf>
    <xf numFmtId="0" fontId="3" fillId="0" borderId="0">
      <protection locked="0"/>
    </xf>
    <xf numFmtId="261" fontId="3" fillId="0" borderId="0">
      <protection locked="0"/>
    </xf>
    <xf numFmtId="0" fontId="3" fillId="0" borderId="0">
      <protection locked="0"/>
    </xf>
    <xf numFmtId="0" fontId="193" fillId="0" borderId="0">
      <protection locked="0"/>
    </xf>
    <xf numFmtId="261" fontId="193" fillId="0" borderId="0">
      <protection locked="0"/>
    </xf>
    <xf numFmtId="0" fontId="3" fillId="0" borderId="0">
      <protection locked="0"/>
    </xf>
    <xf numFmtId="261" fontId="3" fillId="0" borderId="0">
      <protection locked="0"/>
    </xf>
    <xf numFmtId="0" fontId="3" fillId="0" borderId="0">
      <protection locked="0"/>
    </xf>
    <xf numFmtId="0" fontId="5" fillId="0" borderId="0">
      <protection locked="0"/>
    </xf>
    <xf numFmtId="261" fontId="5" fillId="0" borderId="0">
      <protection locked="0"/>
    </xf>
    <xf numFmtId="310" fontId="170" fillId="0" borderId="0">
      <protection locked="0"/>
    </xf>
    <xf numFmtId="9" fontId="194" fillId="0" borderId="0" applyFont="0" applyFill="0" applyBorder="0" applyAlignment="0" applyProtection="0"/>
    <xf numFmtId="9" fontId="3"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3" fillId="0" borderId="0" applyFont="0" applyFill="0" applyBorder="0" applyAlignment="0" applyProtection="0"/>
    <xf numFmtId="311" fontId="3" fillId="0" borderId="0" applyFont="0" applyFill="0" applyBorder="0" applyAlignment="0" applyProtection="0"/>
    <xf numFmtId="0" fontId="170" fillId="0" borderId="0">
      <protection locked="0"/>
    </xf>
    <xf numFmtId="9" fontId="144" fillId="0" borderId="0" applyFont="0" applyFill="0" applyBorder="0" applyAlignment="0" applyProtection="0"/>
    <xf numFmtId="261" fontId="170" fillId="0" borderId="0">
      <protection locked="0"/>
    </xf>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95" fillId="0" borderId="0" applyFont="0" applyFill="0" applyBorder="0" applyAlignment="0" applyProtection="0"/>
    <xf numFmtId="312" fontId="196" fillId="0" borderId="0">
      <alignment horizontal="right"/>
    </xf>
    <xf numFmtId="313" fontId="197" fillId="0" borderId="0" applyFont="0" applyFill="0" applyBorder="0" applyAlignment="0" applyProtection="0"/>
    <xf numFmtId="189" fontId="78" fillId="0" borderId="27">
      <alignment horizontal="right"/>
    </xf>
    <xf numFmtId="0" fontId="29" fillId="0" borderId="0" applyNumberFormat="0" applyFont="0" applyFill="0" applyBorder="0" applyAlignment="0" applyProtection="0">
      <alignment horizontal="left"/>
    </xf>
    <xf numFmtId="261" fontId="29" fillId="0" borderId="0" applyNumberFormat="0" applyFont="0" applyFill="0" applyBorder="0" applyAlignment="0" applyProtection="0">
      <alignment horizontal="left"/>
    </xf>
    <xf numFmtId="15" fontId="29" fillId="0" borderId="0" applyFont="0" applyFill="0" applyBorder="0" applyAlignment="0" applyProtection="0"/>
    <xf numFmtId="4" fontId="29" fillId="0" borderId="0" applyFont="0" applyFill="0" applyBorder="0" applyAlignment="0" applyProtection="0"/>
    <xf numFmtId="0" fontId="14" fillId="0" borderId="8">
      <alignment horizontal="center"/>
    </xf>
    <xf numFmtId="261" fontId="14" fillId="0" borderId="8">
      <alignment horizontal="center"/>
    </xf>
    <xf numFmtId="3" fontId="29" fillId="0" borderId="0" applyFont="0" applyFill="0" applyBorder="0" applyAlignment="0" applyProtection="0"/>
    <xf numFmtId="0" fontId="29" fillId="94" borderId="0" applyNumberFormat="0" applyFont="0" applyBorder="0" applyAlignment="0" applyProtection="0"/>
    <xf numFmtId="261" fontId="29" fillId="94" borderId="0" applyNumberFormat="0" applyFont="0" applyBorder="0" applyAlignment="0" applyProtection="0"/>
    <xf numFmtId="170" fontId="3" fillId="0" borderId="0" applyFill="0" applyBorder="0" applyAlignment="0" applyProtection="0"/>
    <xf numFmtId="170" fontId="3" fillId="0" borderId="0" applyFill="0" applyBorder="0" applyAlignment="0" applyProtection="0"/>
    <xf numFmtId="170" fontId="3" fillId="0" borderId="0" applyFill="0" applyBorder="0" applyAlignment="0" applyProtection="0"/>
    <xf numFmtId="170" fontId="3" fillId="0" borderId="0" applyFill="0" applyBorder="0" applyAlignment="0" applyProtection="0"/>
    <xf numFmtId="3" fontId="3" fillId="0" borderId="0" applyFill="0" applyBorder="0" applyAlignment="0" applyProtection="0"/>
    <xf numFmtId="0" fontId="168" fillId="0" borderId="0"/>
    <xf numFmtId="0" fontId="13" fillId="0" borderId="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198" fillId="0" borderId="0" applyFont="0" applyFill="0" applyBorder="0" applyAlignment="0" applyProtection="0"/>
    <xf numFmtId="37" fontId="3" fillId="0" borderId="0"/>
    <xf numFmtId="38" fontId="154" fillId="0" borderId="0"/>
    <xf numFmtId="0" fontId="199" fillId="6" borderId="78" applyNumberFormat="0" applyFont="0" applyAlignment="0" applyProtection="0">
      <alignment horizontal="left"/>
    </xf>
    <xf numFmtId="261" fontId="199" fillId="6" borderId="78" applyNumberFormat="0" applyFont="0" applyAlignment="0" applyProtection="0">
      <alignment horizontal="left"/>
    </xf>
    <xf numFmtId="3" fontId="52" fillId="85" borderId="70">
      <alignment horizontal="center"/>
    </xf>
    <xf numFmtId="0" fontId="237" fillId="23" borderId="0" applyNumberFormat="0" applyFont="0" applyFill="0" applyBorder="0" applyAlignment="0" applyProtection="0"/>
    <xf numFmtId="0" fontId="237" fillId="23" borderId="0" applyNumberFormat="0" applyFont="0" applyFill="0" applyBorder="0" applyAlignment="0" applyProtection="0"/>
    <xf numFmtId="0" fontId="237" fillId="23" borderId="0" applyNumberFormat="0" applyFont="0" applyFill="0" applyBorder="0" applyAlignment="0" applyProtection="0"/>
    <xf numFmtId="0" fontId="18" fillId="0" borderId="80" applyNumberFormat="0" applyFont="0" applyFill="0" applyAlignment="0" applyProtection="0"/>
    <xf numFmtId="0" fontId="3" fillId="0" borderId="0"/>
    <xf numFmtId="261" fontId="3" fillId="0" borderId="0"/>
    <xf numFmtId="4" fontId="200" fillId="13" borderId="81" applyNumberFormat="0" applyProtection="0">
      <alignment vertical="center"/>
    </xf>
    <xf numFmtId="4" fontId="201" fillId="13" borderId="81" applyNumberFormat="0" applyProtection="0">
      <alignment vertical="center"/>
    </xf>
    <xf numFmtId="4" fontId="202" fillId="13" borderId="81" applyNumberFormat="0" applyProtection="0">
      <alignment horizontal="left" vertical="center" indent="1"/>
    </xf>
    <xf numFmtId="4" fontId="202" fillId="95" borderId="0" applyNumberFormat="0" applyProtection="0">
      <alignment horizontal="left" vertical="center" indent="1"/>
    </xf>
    <xf numFmtId="4" fontId="202" fillId="96" borderId="81" applyNumberFormat="0" applyProtection="0">
      <alignment horizontal="right" vertical="center"/>
    </xf>
    <xf numFmtId="4" fontId="202" fillId="97" borderId="81" applyNumberFormat="0" applyProtection="0">
      <alignment horizontal="right" vertical="center"/>
    </xf>
    <xf numFmtId="4" fontId="202" fillId="98" borderId="81" applyNumberFormat="0" applyProtection="0">
      <alignment horizontal="right" vertical="center"/>
    </xf>
    <xf numFmtId="4" fontId="202" fillId="10" borderId="81" applyNumberFormat="0" applyProtection="0">
      <alignment horizontal="right" vertical="center"/>
    </xf>
    <xf numFmtId="4" fontId="202" fillId="86" borderId="81" applyNumberFormat="0" applyProtection="0">
      <alignment horizontal="right" vertical="center"/>
    </xf>
    <xf numFmtId="4" fontId="202" fillId="99" borderId="81" applyNumberFormat="0" applyProtection="0">
      <alignment horizontal="right" vertical="center"/>
    </xf>
    <xf numFmtId="4" fontId="202" fillId="100" borderId="81" applyNumberFormat="0" applyProtection="0">
      <alignment horizontal="right" vertical="center"/>
    </xf>
    <xf numFmtId="4" fontId="202" fillId="101" borderId="81" applyNumberFormat="0" applyProtection="0">
      <alignment horizontal="right" vertical="center"/>
    </xf>
    <xf numFmtId="4" fontId="202" fillId="102" borderId="81" applyNumberFormat="0" applyProtection="0">
      <alignment horizontal="right" vertical="center"/>
    </xf>
    <xf numFmtId="4" fontId="200" fillId="103" borderId="82" applyNumberFormat="0" applyProtection="0">
      <alignment horizontal="left" vertical="center" indent="1"/>
    </xf>
    <xf numFmtId="4" fontId="200" fillId="4" borderId="0" applyNumberFormat="0" applyProtection="0">
      <alignment horizontal="left" vertical="center" indent="1"/>
    </xf>
    <xf numFmtId="4" fontId="200" fillId="95" borderId="0" applyNumberFormat="0" applyProtection="0">
      <alignment horizontal="left" vertical="center" indent="1"/>
    </xf>
    <xf numFmtId="4" fontId="202" fillId="4" borderId="81" applyNumberFormat="0" applyProtection="0">
      <alignment horizontal="right" vertical="center"/>
    </xf>
    <xf numFmtId="4" fontId="157" fillId="4" borderId="0" applyNumberFormat="0" applyProtection="0">
      <alignment horizontal="left" vertical="center" indent="1"/>
    </xf>
    <xf numFmtId="4" fontId="157" fillId="95" borderId="0" applyNumberFormat="0" applyProtection="0">
      <alignment horizontal="left" vertical="center" indent="1"/>
    </xf>
    <xf numFmtId="4" fontId="202" fillId="11" borderId="81" applyNumberFormat="0" applyProtection="0">
      <alignment vertical="center"/>
    </xf>
    <xf numFmtId="4" fontId="203" fillId="11" borderId="81" applyNumberFormat="0" applyProtection="0">
      <alignment vertical="center"/>
    </xf>
    <xf numFmtId="4" fontId="200" fillId="4" borderId="83" applyNumberFormat="0" applyProtection="0">
      <alignment horizontal="left" vertical="center" indent="1"/>
    </xf>
    <xf numFmtId="4" fontId="202" fillId="11" borderId="81" applyNumberFormat="0" applyProtection="0">
      <alignment horizontal="right" vertical="center"/>
    </xf>
    <xf numFmtId="4" fontId="201" fillId="11" borderId="81" applyNumberFormat="0" applyProtection="0">
      <alignment horizontal="right" vertical="center"/>
    </xf>
    <xf numFmtId="4" fontId="200" fillId="4" borderId="81" applyNumberFormat="0" applyProtection="0">
      <alignment horizontal="left" vertical="center" indent="1"/>
    </xf>
    <xf numFmtId="4" fontId="204" fillId="104" borderId="83" applyNumberFormat="0" applyProtection="0">
      <alignment horizontal="left" vertical="center" indent="1"/>
    </xf>
    <xf numFmtId="4" fontId="205" fillId="11" borderId="81" applyNumberFormat="0" applyProtection="0">
      <alignment horizontal="right" vertical="center"/>
    </xf>
    <xf numFmtId="316" fontId="216" fillId="0" borderId="0" applyFill="0" applyBorder="0" applyAlignment="0" applyProtection="0"/>
    <xf numFmtId="171" fontId="206" fillId="0" borderId="0">
      <alignment horizontal="left"/>
    </xf>
    <xf numFmtId="314" fontId="207" fillId="0" borderId="0">
      <protection locked="0"/>
    </xf>
    <xf numFmtId="32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315" fontId="144" fillId="0" borderId="0" applyFont="0" applyFill="0" applyBorder="0" applyAlignment="0" applyProtection="0"/>
    <xf numFmtId="315" fontId="144" fillId="0" borderId="0" applyFont="0" applyFill="0" applyBorder="0" applyAlignment="0" applyProtection="0"/>
    <xf numFmtId="315" fontId="14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25" fontId="3" fillId="0" borderId="0" applyFont="0" applyFill="0" applyBorder="0" applyAlignment="0" applyProtection="0"/>
    <xf numFmtId="216" fontId="153" fillId="1" borderId="0" applyNumberFormat="0" applyFont="0" applyBorder="0" applyAlignment="0" applyProtection="0"/>
    <xf numFmtId="171" fontId="208" fillId="0" borderId="0">
      <alignment horizontal="left"/>
    </xf>
    <xf numFmtId="3" fontId="209" fillId="105" borderId="0">
      <alignment horizontal="left"/>
    </xf>
    <xf numFmtId="0" fontId="187" fillId="0" borderId="0"/>
    <xf numFmtId="261" fontId="187" fillId="0" borderId="0"/>
    <xf numFmtId="0" fontId="18" fillId="0" borderId="84"/>
    <xf numFmtId="261" fontId="18" fillId="0" borderId="84"/>
    <xf numFmtId="0" fontId="77" fillId="0" borderId="0"/>
    <xf numFmtId="0" fontId="3" fillId="0" borderId="0"/>
    <xf numFmtId="0" fontId="3" fillId="0" borderId="0" applyFont="0" applyFill="0" applyBorder="0" applyAlignment="0" applyProtection="0"/>
    <xf numFmtId="3" fontId="202" fillId="105" borderId="0">
      <alignment horizontal="left"/>
    </xf>
    <xf numFmtId="3" fontId="210" fillId="0" borderId="0"/>
    <xf numFmtId="222" fontId="211" fillId="0" borderId="0"/>
    <xf numFmtId="3" fontId="212" fillId="0" borderId="0"/>
    <xf numFmtId="3" fontId="150" fillId="0" borderId="3"/>
    <xf numFmtId="258" fontId="5" fillId="0" borderId="85"/>
    <xf numFmtId="0" fontId="213" fillId="0" borderId="0" applyBorder="0" applyProtection="0">
      <alignment vertical="center"/>
    </xf>
    <xf numFmtId="261" fontId="213" fillId="0" borderId="0" applyBorder="0" applyProtection="0">
      <alignment vertical="center"/>
    </xf>
    <xf numFmtId="0" fontId="3" fillId="0" borderId="0" applyBorder="0" applyProtection="0">
      <alignment vertical="center"/>
    </xf>
    <xf numFmtId="0" fontId="3" fillId="0" borderId="0">
      <alignment horizontal="left"/>
    </xf>
    <xf numFmtId="289" fontId="3" fillId="0" borderId="6" applyBorder="0" applyProtection="0">
      <alignment horizontal="right" vertical="center"/>
    </xf>
    <xf numFmtId="0" fontId="34" fillId="0" borderId="6" applyBorder="0" applyProtection="0">
      <alignment horizontal="right" vertical="center"/>
    </xf>
    <xf numFmtId="0" fontId="214" fillId="24" borderId="0" applyBorder="0" applyProtection="0">
      <alignment horizontal="centerContinuous" vertical="center"/>
    </xf>
    <xf numFmtId="261" fontId="214" fillId="24" borderId="0" applyBorder="0" applyProtection="0">
      <alignment horizontal="centerContinuous" vertical="center"/>
    </xf>
    <xf numFmtId="0" fontId="3" fillId="24" borderId="0" applyBorder="0" applyProtection="0">
      <alignment horizontal="centerContinuous" vertical="center"/>
    </xf>
    <xf numFmtId="0" fontId="214" fillId="7" borderId="6" applyBorder="0" applyProtection="0">
      <alignment horizontal="centerContinuous" vertical="center"/>
    </xf>
    <xf numFmtId="261" fontId="214" fillId="7" borderId="6" applyBorder="0" applyProtection="0">
      <alignment horizontal="centerContinuous" vertical="center"/>
    </xf>
    <xf numFmtId="0" fontId="3" fillId="7" borderId="6" applyBorder="0" applyProtection="0">
      <alignment horizontal="centerContinuous" vertical="center"/>
    </xf>
    <xf numFmtId="0" fontId="215" fillId="0" borderId="0" applyFill="0" applyBorder="0" applyProtection="0">
      <alignment horizontal="left"/>
    </xf>
    <xf numFmtId="261" fontId="215" fillId="0" borderId="0" applyFill="0" applyBorder="0" applyProtection="0">
      <alignment horizontal="left"/>
    </xf>
    <xf numFmtId="0" fontId="3" fillId="0" borderId="0" applyFill="0" applyBorder="0" applyProtection="0">
      <alignment horizontal="left"/>
    </xf>
    <xf numFmtId="0" fontId="89" fillId="0" borderId="0">
      <alignment horizontal="centerContinuous"/>
    </xf>
    <xf numFmtId="0" fontId="176" fillId="0" borderId="4" applyFill="0" applyBorder="0" applyProtection="0">
      <alignment horizontal="left" vertical="top"/>
    </xf>
    <xf numFmtId="261" fontId="176" fillId="0" borderId="4" applyFill="0" applyBorder="0" applyProtection="0">
      <alignment horizontal="left" vertical="top"/>
    </xf>
    <xf numFmtId="0" fontId="3" fillId="0" borderId="4" applyFill="0" applyBorder="0" applyProtection="0">
      <alignment horizontal="left" vertical="top"/>
    </xf>
    <xf numFmtId="0" fontId="3" fillId="0" borderId="0"/>
    <xf numFmtId="0" fontId="40" fillId="0" borderId="0"/>
    <xf numFmtId="261" fontId="40" fillId="0" borderId="0"/>
    <xf numFmtId="316" fontId="216" fillId="0" borderId="0" applyFill="0" applyBorder="0" applyAlignment="0" applyProtection="0"/>
    <xf numFmtId="49" fontId="32" fillId="0" borderId="0" applyFont="0" applyFill="0" applyBorder="0" applyAlignment="0" applyProtection="0">
      <alignment horizontal="center" vertical="center"/>
    </xf>
    <xf numFmtId="0" fontId="130" fillId="0" borderId="0" applyNumberFormat="0" applyFill="0" applyBorder="0" applyAlignment="0" applyProtection="0"/>
    <xf numFmtId="0" fontId="224" fillId="0" borderId="0" applyNumberFormat="0" applyFill="0" applyBorder="0" applyAlignment="0" applyProtection="0"/>
    <xf numFmtId="3" fontId="217" fillId="105" borderId="0">
      <alignment horizontal="center"/>
    </xf>
    <xf numFmtId="314" fontId="163" fillId="0" borderId="0">
      <protection locked="0"/>
    </xf>
    <xf numFmtId="314" fontId="163" fillId="0" borderId="0">
      <protection locked="0"/>
    </xf>
    <xf numFmtId="3" fontId="218" fillId="6" borderId="6">
      <alignment horizontal="center" vertical="center"/>
    </xf>
    <xf numFmtId="0" fontId="5" fillId="0" borderId="0"/>
    <xf numFmtId="261" fontId="5" fillId="0" borderId="0"/>
    <xf numFmtId="3" fontId="219" fillId="105" borderId="0">
      <alignment horizontal="left"/>
    </xf>
    <xf numFmtId="0" fontId="170" fillId="0" borderId="85">
      <protection locked="0"/>
    </xf>
    <xf numFmtId="261" fontId="170" fillId="0" borderId="85">
      <protection locked="0"/>
    </xf>
    <xf numFmtId="0" fontId="220" fillId="0" borderId="86" applyNumberFormat="0" applyFill="0" applyAlignment="0" applyProtection="0"/>
    <xf numFmtId="3" fontId="220" fillId="106" borderId="0">
      <alignment horizontal="right"/>
    </xf>
    <xf numFmtId="4" fontId="170" fillId="0" borderId="0">
      <protection locked="0"/>
    </xf>
    <xf numFmtId="317" fontId="170" fillId="0" borderId="0">
      <protection locked="0"/>
    </xf>
    <xf numFmtId="318" fontId="29" fillId="0" borderId="0" applyFont="0" applyFill="0" applyBorder="0" applyAlignment="0" applyProtection="0"/>
    <xf numFmtId="222" fontId="39" fillId="0" borderId="0">
      <alignment horizontal="center"/>
    </xf>
    <xf numFmtId="170" fontId="3" fillId="0" borderId="0" applyFill="0" applyBorder="0" applyAlignment="0" applyProtection="0"/>
    <xf numFmtId="43" fontId="3" fillId="0" borderId="0" applyFont="0" applyFill="0" applyBorder="0" applyAlignment="0" applyProtection="0"/>
    <xf numFmtId="3" fontId="3" fillId="0" borderId="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0" fontId="238" fillId="0" borderId="0" applyNumberFormat="0" applyFill="0" applyBorder="0" applyAlignment="0" applyProtection="0"/>
    <xf numFmtId="0" fontId="39" fillId="6" borderId="3" applyNumberFormat="0" applyFont="0" applyAlignment="0" applyProtection="0">
      <protection locked="0"/>
    </xf>
    <xf numFmtId="261" fontId="39" fillId="6" borderId="3" applyNumberFormat="0" applyFont="0" applyAlignment="0" applyProtection="0">
      <protection locked="0"/>
    </xf>
    <xf numFmtId="319" fontId="32" fillId="0" borderId="0"/>
    <xf numFmtId="0" fontId="191" fillId="0" borderId="0">
      <alignment horizontal="right"/>
    </xf>
    <xf numFmtId="261" fontId="191" fillId="0" borderId="0">
      <alignment horizontal="right"/>
    </xf>
    <xf numFmtId="222" fontId="23" fillId="0" borderId="0" applyFont="0" applyFill="0" applyBorder="0" applyProtection="0">
      <alignment horizontal="right"/>
    </xf>
    <xf numFmtId="1" fontId="3" fillId="107" borderId="0"/>
    <xf numFmtId="320" fontId="86" fillId="0" borderId="0">
      <alignment horizontal="center"/>
    </xf>
    <xf numFmtId="320" fontId="86" fillId="0" borderId="0" applyFont="0" applyFill="0" applyBorder="0" applyAlignment="0" applyProtection="0">
      <alignment horizontal="center"/>
    </xf>
    <xf numFmtId="321" fontId="29" fillId="0" borderId="0" applyFont="0" applyFill="0" applyBorder="0" applyAlignment="0" applyProtection="0"/>
    <xf numFmtId="322" fontId="13" fillId="0" borderId="0"/>
    <xf numFmtId="321" fontId="14" fillId="0" borderId="0" applyFont="0" applyFill="0" applyBorder="0" applyAlignment="0" applyProtection="0"/>
    <xf numFmtId="321" fontId="14" fillId="0" borderId="0">
      <alignment horizontal="center"/>
    </xf>
    <xf numFmtId="0" fontId="2" fillId="0" borderId="0"/>
    <xf numFmtId="216" fontId="32" fillId="0" borderId="0"/>
    <xf numFmtId="3" fontId="188" fillId="0" borderId="0"/>
    <xf numFmtId="14" fontId="153" fillId="0" borderId="0" applyFont="0" applyFill="0" applyBorder="0" applyAlignment="0" applyProtection="0"/>
    <xf numFmtId="304" fontId="32" fillId="0" borderId="0"/>
    <xf numFmtId="0" fontId="13" fillId="0" borderId="0" applyFont="0" applyFill="0" applyBorder="0" applyAlignment="0" applyProtection="0">
      <alignment horizontal="right"/>
    </xf>
    <xf numFmtId="0" fontId="89" fillId="0" borderId="0"/>
    <xf numFmtId="0" fontId="89" fillId="0" borderId="0"/>
    <xf numFmtId="0" fontId="13" fillId="0" borderId="0" applyFont="0" applyFill="0" applyBorder="0" applyAlignment="0" applyProtection="0">
      <alignment horizontal="right"/>
    </xf>
    <xf numFmtId="304" fontId="32" fillId="0" borderId="0"/>
    <xf numFmtId="14" fontId="153" fillId="0" borderId="0" applyFont="0" applyFill="0" applyBorder="0" applyAlignment="0" applyProtection="0"/>
    <xf numFmtId="3" fontId="188" fillId="0" borderId="0"/>
    <xf numFmtId="216" fontId="32" fillId="0" borderId="0"/>
    <xf numFmtId="9" fontId="2" fillId="0" borderId="0" applyFont="0" applyFill="0" applyBorder="0" applyAlignment="0" applyProtection="0"/>
    <xf numFmtId="3" fontId="3" fillId="0" borderId="0" applyFill="0" applyBorder="0" applyAlignment="0" applyProtection="0"/>
    <xf numFmtId="43" fontId="2" fillId="0" borderId="0" applyFont="0" applyFill="0" applyBorder="0" applyAlignment="0" applyProtection="0"/>
    <xf numFmtId="0" fontId="159" fillId="0" borderId="0" applyFont="0" applyFill="0" applyBorder="0" applyAlignment="0" applyProtection="0">
      <alignment horizontal="right"/>
    </xf>
    <xf numFmtId="316" fontId="216" fillId="0" borderId="0" applyFill="0" applyBorder="0" applyAlignment="0" applyProtection="0"/>
    <xf numFmtId="0" fontId="2" fillId="0" borderId="0"/>
  </cellStyleXfs>
  <cellXfs count="1065">
    <xf numFmtId="0" fontId="0" fillId="0" borderId="0" xfId="0"/>
    <xf numFmtId="0" fontId="2" fillId="0" borderId="0" xfId="0" applyFont="1"/>
    <xf numFmtId="165" fontId="2" fillId="0" borderId="0" xfId="0" applyNumberFormat="1" applyFont="1"/>
    <xf numFmtId="9" fontId="6" fillId="0" borderId="0" xfId="0" applyNumberFormat="1" applyFont="1"/>
    <xf numFmtId="3" fontId="6" fillId="0" borderId="0" xfId="0" applyNumberFormat="1" applyFont="1"/>
    <xf numFmtId="0" fontId="6" fillId="0" borderId="0" xfId="0" applyFont="1"/>
    <xf numFmtId="0" fontId="6" fillId="0" borderId="0" xfId="0" quotePrefix="1" applyFont="1"/>
    <xf numFmtId="165" fontId="6" fillId="0" borderId="0" xfId="0" applyNumberFormat="1" applyFont="1"/>
    <xf numFmtId="169" fontId="6" fillId="0" borderId="0" xfId="0" applyNumberFormat="1" applyFont="1"/>
    <xf numFmtId="0" fontId="6" fillId="0" borderId="0" xfId="0" applyFont="1" applyAlignment="1">
      <alignment horizontal="right"/>
    </xf>
    <xf numFmtId="0" fontId="7" fillId="0" borderId="0" xfId="0" applyFont="1"/>
    <xf numFmtId="0" fontId="11" fillId="0" borderId="0" xfId="0" applyFont="1"/>
    <xf numFmtId="0" fontId="2" fillId="0" borderId="0" xfId="4" applyFont="1"/>
    <xf numFmtId="0" fontId="0" fillId="0" borderId="0" xfId="0" applyAlignment="1">
      <alignment horizontal="right"/>
    </xf>
    <xf numFmtId="3" fontId="0" fillId="0" borderId="0" xfId="0" applyNumberFormat="1"/>
    <xf numFmtId="9" fontId="0" fillId="0" borderId="0" xfId="0" applyNumberFormat="1"/>
    <xf numFmtId="2" fontId="0" fillId="0" borderId="0" xfId="0" applyNumberFormat="1"/>
    <xf numFmtId="1" fontId="0" fillId="0" borderId="0" xfId="0" applyNumberFormat="1"/>
    <xf numFmtId="165" fontId="0" fillId="0" borderId="0" xfId="0" applyNumberFormat="1"/>
    <xf numFmtId="169" fontId="0" fillId="0" borderId="0" xfId="0" applyNumberFormat="1"/>
    <xf numFmtId="0" fontId="4" fillId="0" borderId="1" xfId="6" applyFont="1" applyBorder="1"/>
    <xf numFmtId="0" fontId="2" fillId="0" borderId="0" xfId="6" applyFont="1"/>
    <xf numFmtId="3" fontId="2" fillId="4" borderId="0" xfId="6" applyNumberFormat="1" applyFont="1" applyFill="1"/>
    <xf numFmtId="3" fontId="2" fillId="4" borderId="0" xfId="7" applyNumberFormat="1" applyFont="1" applyFill="1"/>
    <xf numFmtId="170" fontId="2" fillId="4" borderId="0" xfId="6" applyNumberFormat="1" applyFont="1" applyFill="1"/>
    <xf numFmtId="1" fontId="4" fillId="0" borderId="1" xfId="6" applyNumberFormat="1" applyFont="1" applyBorder="1"/>
    <xf numFmtId="0" fontId="2" fillId="0" borderId="0" xfId="8" applyFont="1"/>
    <xf numFmtId="0" fontId="2" fillId="4" borderId="0" xfId="8" applyFont="1" applyFill="1"/>
    <xf numFmtId="164" fontId="2" fillId="4" borderId="0" xfId="7" applyNumberFormat="1" applyFont="1" applyFill="1"/>
    <xf numFmtId="0" fontId="2" fillId="4" borderId="0" xfId="6" applyFont="1" applyFill="1"/>
    <xf numFmtId="0" fontId="4" fillId="0" borderId="0" xfId="8" applyFont="1" applyAlignment="1">
      <alignment horizontal="left"/>
    </xf>
    <xf numFmtId="1" fontId="2" fillId="4" borderId="0" xfId="6" applyNumberFormat="1" applyFont="1" applyFill="1"/>
    <xf numFmtId="164" fontId="2" fillId="0" borderId="0" xfId="6" applyNumberFormat="1" applyFont="1"/>
    <xf numFmtId="0" fontId="4" fillId="0" borderId="0" xfId="6" applyFont="1"/>
    <xf numFmtId="0" fontId="0" fillId="0" borderId="0" xfId="4" applyFont="1"/>
    <xf numFmtId="3" fontId="4" fillId="4" borderId="0" xfId="6" applyNumberFormat="1" applyFont="1" applyFill="1"/>
    <xf numFmtId="0" fontId="12" fillId="0" borderId="0" xfId="4" applyFont="1"/>
    <xf numFmtId="0" fontId="3" fillId="4" borderId="0" xfId="4" applyFill="1"/>
    <xf numFmtId="0" fontId="0" fillId="4" borderId="0" xfId="4" applyFont="1" applyFill="1"/>
    <xf numFmtId="1" fontId="6" fillId="0" borderId="0" xfId="0" applyNumberFormat="1" applyFont="1" applyAlignment="1">
      <alignment horizontal="right"/>
    </xf>
    <xf numFmtId="0" fontId="12" fillId="0" borderId="0" xfId="0" applyFont="1"/>
    <xf numFmtId="0" fontId="100" fillId="0" borderId="0" xfId="0" applyFont="1"/>
    <xf numFmtId="9" fontId="2" fillId="4" borderId="0" xfId="6" applyNumberFormat="1" applyFont="1" applyFill="1"/>
    <xf numFmtId="0" fontId="0" fillId="0" borderId="0" xfId="0" applyAlignment="1">
      <alignment horizontal="left"/>
    </xf>
    <xf numFmtId="16" fontId="0" fillId="0" borderId="0" xfId="0" quotePrefix="1" applyNumberFormat="1"/>
    <xf numFmtId="17" fontId="101" fillId="26" borderId="0" xfId="0" applyNumberFormat="1" applyFont="1" applyFill="1" applyAlignment="1">
      <alignment horizontal="left"/>
    </xf>
    <xf numFmtId="0" fontId="6" fillId="27" borderId="1" xfId="0" applyFont="1" applyFill="1" applyBorder="1"/>
    <xf numFmtId="0" fontId="6" fillId="27" borderId="1" xfId="0" applyFont="1" applyFill="1" applyBorder="1" applyAlignment="1">
      <alignment horizontal="right"/>
    </xf>
    <xf numFmtId="0" fontId="6" fillId="27" borderId="0" xfId="0" applyFont="1" applyFill="1"/>
    <xf numFmtId="170" fontId="6" fillId="27" borderId="0" xfId="0" applyNumberFormat="1" applyFont="1" applyFill="1" applyAlignment="1">
      <alignment horizontal="right"/>
    </xf>
    <xf numFmtId="170" fontId="6" fillId="27" borderId="3" xfId="0" applyNumberFormat="1" applyFont="1" applyFill="1" applyBorder="1" applyAlignment="1">
      <alignment horizontal="right"/>
    </xf>
    <xf numFmtId="9" fontId="6" fillId="27" borderId="0" xfId="2" applyFont="1" applyFill="1" applyAlignment="1">
      <alignment horizontal="right"/>
    </xf>
    <xf numFmtId="16" fontId="0" fillId="0" borderId="0" xfId="0" applyNumberFormat="1"/>
    <xf numFmtId="16" fontId="0" fillId="0" borderId="0" xfId="0" quotePrefix="1" applyNumberFormat="1" applyAlignment="1">
      <alignment horizontal="right"/>
    </xf>
    <xf numFmtId="9" fontId="0" fillId="0" borderId="0" xfId="0" applyNumberFormat="1" applyAlignment="1">
      <alignment horizontal="left"/>
    </xf>
    <xf numFmtId="9" fontId="0" fillId="3" borderId="0" xfId="0" applyNumberFormat="1" applyFill="1"/>
    <xf numFmtId="1" fontId="0" fillId="3" borderId="0" xfId="0" applyNumberFormat="1" applyFill="1"/>
    <xf numFmtId="17" fontId="100" fillId="0" borderId="0" xfId="0" quotePrefix="1" applyNumberFormat="1" applyFont="1" applyAlignment="1">
      <alignment horizontal="left"/>
    </xf>
    <xf numFmtId="0" fontId="0" fillId="0" borderId="0" xfId="0" quotePrefix="1"/>
    <xf numFmtId="169" fontId="0" fillId="0" borderId="0" xfId="0" applyNumberFormat="1" applyAlignment="1">
      <alignment horizontal="right"/>
    </xf>
    <xf numFmtId="0" fontId="102" fillId="0" borderId="0" xfId="0" applyFont="1"/>
    <xf numFmtId="0" fontId="103" fillId="0" borderId="0" xfId="0" applyFont="1"/>
    <xf numFmtId="17" fontId="0" fillId="0" borderId="0" xfId="0" applyNumberFormat="1"/>
    <xf numFmtId="17" fontId="0" fillId="0" borderId="0" xfId="0" applyNumberFormat="1" applyAlignment="1">
      <alignment horizontal="left"/>
    </xf>
    <xf numFmtId="17" fontId="11" fillId="0" borderId="0" xfId="0" applyNumberFormat="1" applyFont="1" applyAlignment="1">
      <alignment horizontal="left"/>
    </xf>
    <xf numFmtId="0" fontId="0" fillId="0" borderId="0" xfId="0" quotePrefix="1" applyAlignment="1">
      <alignment horizontal="right"/>
    </xf>
    <xf numFmtId="165" fontId="0" fillId="0" borderId="0" xfId="0" applyNumberFormat="1" applyAlignment="1">
      <alignment horizontal="right"/>
    </xf>
    <xf numFmtId="10" fontId="0" fillId="0" borderId="0" xfId="0" applyNumberFormat="1"/>
    <xf numFmtId="0" fontId="6" fillId="28" borderId="0" xfId="0" applyFont="1" applyFill="1"/>
    <xf numFmtId="0" fontId="105" fillId="29" borderId="8" xfId="410" applyFont="1" applyFill="1" applyBorder="1"/>
    <xf numFmtId="0" fontId="106" fillId="29" borderId="8" xfId="410" applyFont="1" applyFill="1" applyBorder="1"/>
    <xf numFmtId="0" fontId="104" fillId="0" borderId="0" xfId="410"/>
    <xf numFmtId="0" fontId="106" fillId="29" borderId="0" xfId="410" applyFont="1" applyFill="1"/>
    <xf numFmtId="0" fontId="107" fillId="29" borderId="0" xfId="410" applyFont="1" applyFill="1"/>
    <xf numFmtId="14" fontId="108" fillId="29" borderId="0" xfId="410" applyNumberFormat="1" applyFont="1" applyFill="1" applyAlignment="1">
      <alignment horizontal="left"/>
    </xf>
    <xf numFmtId="0" fontId="109" fillId="29" borderId="0" xfId="410" applyFont="1" applyFill="1"/>
    <xf numFmtId="257" fontId="106" fillId="29" borderId="0" xfId="410" applyNumberFormat="1" applyFont="1" applyFill="1"/>
    <xf numFmtId="0" fontId="110" fillId="29" borderId="0" xfId="410" applyFont="1" applyFill="1"/>
    <xf numFmtId="0" fontId="104" fillId="29" borderId="0" xfId="410" applyFill="1"/>
    <xf numFmtId="0" fontId="111" fillId="29" borderId="0" xfId="410" applyFont="1" applyFill="1"/>
    <xf numFmtId="0" fontId="109" fillId="29" borderId="0" xfId="410" quotePrefix="1" applyFont="1" applyFill="1"/>
    <xf numFmtId="0" fontId="108" fillId="29" borderId="0" xfId="410" applyFont="1" applyFill="1"/>
    <xf numFmtId="0" fontId="112" fillId="29" borderId="0" xfId="410" applyFont="1" applyFill="1"/>
    <xf numFmtId="258" fontId="106" fillId="29" borderId="0" xfId="411" applyNumberFormat="1" applyFont="1" applyFill="1"/>
    <xf numFmtId="0" fontId="108" fillId="29" borderId="0" xfId="410" applyFont="1" applyFill="1" applyAlignment="1">
      <alignment horizontal="right"/>
    </xf>
    <xf numFmtId="37" fontId="108" fillId="29" borderId="0" xfId="410" applyNumberFormat="1" applyFont="1" applyFill="1"/>
    <xf numFmtId="210" fontId="113" fillId="30" borderId="0" xfId="410" applyNumberFormat="1" applyFont="1" applyFill="1" applyAlignment="1">
      <alignment horizontal="right"/>
    </xf>
    <xf numFmtId="3" fontId="0" fillId="3" borderId="0" xfId="0" applyNumberFormat="1" applyFill="1"/>
    <xf numFmtId="0" fontId="0" fillId="32" borderId="0" xfId="0" applyFill="1"/>
    <xf numFmtId="0" fontId="2" fillId="28" borderId="0" xfId="0" applyFont="1" applyFill="1"/>
    <xf numFmtId="0" fontId="0" fillId="0" borderId="0" xfId="0" applyAlignment="1">
      <alignment horizontal="center"/>
    </xf>
    <xf numFmtId="9" fontId="0" fillId="0" borderId="0" xfId="0" applyNumberFormat="1"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3" fontId="6" fillId="0" borderId="0" xfId="0" applyNumberFormat="1" applyFont="1" applyAlignment="1">
      <alignment horizontal="center"/>
    </xf>
    <xf numFmtId="165" fontId="6" fillId="0" borderId="0" xfId="0" applyNumberFormat="1" applyFont="1" applyAlignment="1">
      <alignment horizontal="center"/>
    </xf>
    <xf numFmtId="0" fontId="6" fillId="0" borderId="0" xfId="0" applyFont="1" applyAlignment="1">
      <alignment horizontal="center"/>
    </xf>
    <xf numFmtId="1" fontId="6" fillId="0" borderId="0" xfId="0" applyNumberFormat="1" applyFont="1" applyAlignment="1">
      <alignment horizontal="center"/>
    </xf>
    <xf numFmtId="9" fontId="6" fillId="0" borderId="0" xfId="0" applyNumberFormat="1" applyFont="1" applyAlignment="1">
      <alignment horizontal="center"/>
    </xf>
    <xf numFmtId="256" fontId="0" fillId="0" borderId="0" xfId="0" applyNumberFormat="1" applyAlignment="1">
      <alignment horizontal="center"/>
    </xf>
    <xf numFmtId="0" fontId="7" fillId="0" borderId="0" xfId="0" applyFont="1" applyAlignment="1">
      <alignment horizontal="center"/>
    </xf>
    <xf numFmtId="169" fontId="6" fillId="0" borderId="0" xfId="0" applyNumberFormat="1" applyFont="1" applyAlignment="1">
      <alignment horizontal="center"/>
    </xf>
    <xf numFmtId="0" fontId="0" fillId="3" borderId="20" xfId="0" applyFill="1" applyBorder="1" applyAlignment="1">
      <alignment horizontal="center"/>
    </xf>
    <xf numFmtId="0" fontId="0" fillId="3" borderId="0" xfId="0" applyFill="1" applyAlignment="1">
      <alignment horizontal="center"/>
    </xf>
    <xf numFmtId="169" fontId="0" fillId="3" borderId="0" xfId="0" applyNumberFormat="1" applyFill="1" applyAlignment="1">
      <alignment horizontal="center"/>
    </xf>
    <xf numFmtId="169" fontId="0" fillId="0" borderId="0" xfId="0" applyNumberFormat="1" applyAlignment="1">
      <alignment horizontal="center"/>
    </xf>
    <xf numFmtId="165" fontId="0" fillId="3" borderId="0" xfId="0" applyNumberFormat="1" applyFill="1" applyAlignment="1">
      <alignment horizontal="center"/>
    </xf>
    <xf numFmtId="9" fontId="0" fillId="3" borderId="0" xfId="0" applyNumberFormat="1" applyFill="1" applyAlignment="1">
      <alignment horizontal="center"/>
    </xf>
    <xf numFmtId="3" fontId="6" fillId="3" borderId="0" xfId="0" applyNumberFormat="1" applyFont="1" applyFill="1" applyAlignment="1">
      <alignment horizontal="center"/>
    </xf>
    <xf numFmtId="0" fontId="6" fillId="28" borderId="0" xfId="0" applyFont="1" applyFill="1" applyAlignment="1">
      <alignment horizontal="center"/>
    </xf>
    <xf numFmtId="3" fontId="0" fillId="0" borderId="0" xfId="0" applyNumberFormat="1" applyAlignment="1">
      <alignment horizontal="center"/>
    </xf>
    <xf numFmtId="3" fontId="0" fillId="3" borderId="0" xfId="0" applyNumberFormat="1" applyFill="1" applyAlignment="1">
      <alignment horizontal="center"/>
    </xf>
    <xf numFmtId="165" fontId="6" fillId="28" borderId="0" xfId="0" applyNumberFormat="1" applyFont="1" applyFill="1" applyAlignment="1">
      <alignment horizontal="right"/>
    </xf>
    <xf numFmtId="3" fontId="6" fillId="0" borderId="0" xfId="0" applyNumberFormat="1" applyFont="1" applyAlignment="1">
      <alignment horizontal="right"/>
    </xf>
    <xf numFmtId="3" fontId="6" fillId="28" borderId="0" xfId="0" applyNumberFormat="1" applyFont="1" applyFill="1" applyAlignment="1">
      <alignment horizontal="right"/>
    </xf>
    <xf numFmtId="9" fontId="6" fillId="0" borderId="0" xfId="0" applyNumberFormat="1" applyFont="1" applyAlignment="1">
      <alignment horizontal="right"/>
    </xf>
    <xf numFmtId="3" fontId="0" fillId="0" borderId="0" xfId="0" applyNumberFormat="1" applyAlignment="1">
      <alignment horizontal="right"/>
    </xf>
    <xf numFmtId="0" fontId="12" fillId="0" borderId="0" xfId="0" applyFont="1" applyAlignment="1">
      <alignment horizontal="left"/>
    </xf>
    <xf numFmtId="0" fontId="100" fillId="0" borderId="0" xfId="0" applyFont="1" applyAlignment="1">
      <alignment horizontal="left"/>
    </xf>
    <xf numFmtId="1" fontId="0" fillId="0" borderId="0" xfId="0" applyNumberFormat="1" applyAlignment="1">
      <alignment horizontal="right"/>
    </xf>
    <xf numFmtId="3" fontId="2" fillId="0" borderId="0" xfId="0" applyNumberFormat="1" applyFont="1"/>
    <xf numFmtId="3" fontId="99" fillId="0" borderId="0" xfId="0" applyNumberFormat="1" applyFont="1"/>
    <xf numFmtId="9" fontId="99" fillId="0" borderId="0" xfId="0" applyNumberFormat="1" applyFont="1" applyAlignment="1">
      <alignment horizontal="right"/>
    </xf>
    <xf numFmtId="9" fontId="2" fillId="0" borderId="0" xfId="0" applyNumberFormat="1" applyFont="1" applyAlignment="1">
      <alignment horizontal="right"/>
    </xf>
    <xf numFmtId="0" fontId="6" fillId="0" borderId="0" xfId="0" applyFont="1" applyAlignment="1">
      <alignment horizontal="left"/>
    </xf>
    <xf numFmtId="169" fontId="6" fillId="0" borderId="0" xfId="0" applyNumberFormat="1" applyFont="1" applyAlignment="1">
      <alignment horizontal="right"/>
    </xf>
    <xf numFmtId="165" fontId="6" fillId="0" borderId="0" xfId="0" applyNumberFormat="1" applyFont="1" applyAlignment="1">
      <alignment horizontal="right"/>
    </xf>
    <xf numFmtId="9" fontId="99" fillId="0" borderId="44" xfId="0" applyNumberFormat="1" applyFont="1" applyBorder="1" applyAlignment="1">
      <alignment horizontal="right"/>
    </xf>
    <xf numFmtId="9" fontId="99" fillId="0" borderId="46" xfId="0" applyNumberFormat="1" applyFont="1" applyBorder="1" applyAlignment="1">
      <alignment horizontal="right"/>
    </xf>
    <xf numFmtId="0" fontId="103" fillId="28" borderId="0" xfId="0" applyFont="1" applyFill="1"/>
    <xf numFmtId="9" fontId="99" fillId="28" borderId="45" xfId="0" applyNumberFormat="1" applyFont="1" applyFill="1" applyBorder="1" applyAlignment="1">
      <alignment horizontal="right"/>
    </xf>
    <xf numFmtId="9" fontId="6" fillId="28" borderId="0" xfId="0" applyNumberFormat="1" applyFont="1" applyFill="1" applyAlignment="1">
      <alignment horizontal="right"/>
    </xf>
    <xf numFmtId="9" fontId="2" fillId="28" borderId="0" xfId="0" applyNumberFormat="1" applyFont="1" applyFill="1" applyAlignment="1">
      <alignment horizontal="right"/>
    </xf>
    <xf numFmtId="0" fontId="6" fillId="28" borderId="0" xfId="0" applyFont="1" applyFill="1" applyAlignment="1">
      <alignment horizontal="right"/>
    </xf>
    <xf numFmtId="1" fontId="6" fillId="28" borderId="0" xfId="0" applyNumberFormat="1" applyFont="1" applyFill="1" applyAlignment="1">
      <alignment horizontal="right"/>
    </xf>
    <xf numFmtId="0" fontId="6" fillId="28" borderId="0" xfId="0" applyFont="1" applyFill="1" applyAlignment="1">
      <alignment horizontal="left"/>
    </xf>
    <xf numFmtId="169" fontId="6" fillId="28" borderId="0" xfId="0" applyNumberFormat="1" applyFont="1" applyFill="1" applyAlignment="1">
      <alignment horizontal="right"/>
    </xf>
    <xf numFmtId="0" fontId="99" fillId="28" borderId="44" xfId="0" applyFont="1" applyFill="1" applyBorder="1" applyAlignment="1">
      <alignment horizontal="right"/>
    </xf>
    <xf numFmtId="0" fontId="99" fillId="0" borderId="46" xfId="0" applyFont="1" applyBorder="1" applyAlignment="1">
      <alignment horizontal="right"/>
    </xf>
    <xf numFmtId="0" fontId="7" fillId="0" borderId="39" xfId="0" applyFont="1" applyBorder="1"/>
    <xf numFmtId="1" fontId="7" fillId="0" borderId="27" xfId="0" applyNumberFormat="1" applyFont="1" applyBorder="1" applyAlignment="1">
      <alignment horizontal="right"/>
    </xf>
    <xf numFmtId="1" fontId="7" fillId="0" borderId="40" xfId="0" applyNumberFormat="1" applyFont="1" applyBorder="1" applyAlignment="1">
      <alignment horizontal="right"/>
    </xf>
    <xf numFmtId="0" fontId="7" fillId="28" borderId="47" xfId="0" applyFont="1" applyFill="1" applyBorder="1"/>
    <xf numFmtId="1" fontId="7" fillId="28" borderId="48" xfId="0" applyNumberFormat="1" applyFont="1" applyFill="1" applyBorder="1" applyAlignment="1">
      <alignment horizontal="right"/>
    </xf>
    <xf numFmtId="0" fontId="7" fillId="0" borderId="42" xfId="0" applyFont="1" applyBorder="1" applyAlignment="1">
      <alignment horizontal="left"/>
    </xf>
    <xf numFmtId="1" fontId="7" fillId="0" borderId="8" xfId="0" applyNumberFormat="1" applyFont="1" applyBorder="1" applyAlignment="1">
      <alignment horizontal="right"/>
    </xf>
    <xf numFmtId="1" fontId="7" fillId="0" borderId="43" xfId="0" applyNumberFormat="1" applyFont="1" applyBorder="1" applyAlignment="1">
      <alignment horizontal="right"/>
    </xf>
    <xf numFmtId="9" fontId="99" fillId="28" borderId="0" xfId="0" applyNumberFormat="1" applyFont="1" applyFill="1" applyAlignment="1">
      <alignment horizontal="right"/>
    </xf>
    <xf numFmtId="9" fontId="114" fillId="0" borderId="0" xfId="0" applyNumberFormat="1" applyFont="1"/>
    <xf numFmtId="9" fontId="7" fillId="0" borderId="22" xfId="0" applyNumberFormat="1" applyFont="1" applyBorder="1"/>
    <xf numFmtId="0" fontId="6" fillId="0" borderId="0" xfId="0" quotePrefix="1" applyFont="1" applyAlignment="1">
      <alignment horizontal="left"/>
    </xf>
    <xf numFmtId="0" fontId="8" fillId="0" borderId="0" xfId="0" applyFont="1" applyAlignment="1">
      <alignment horizontal="left"/>
    </xf>
    <xf numFmtId="0" fontId="102" fillId="0" borderId="0" xfId="0" applyFont="1" applyAlignment="1">
      <alignment horizontal="left"/>
    </xf>
    <xf numFmtId="259" fontId="6" fillId="3" borderId="0" xfId="0" applyNumberFormat="1" applyFont="1" applyFill="1" applyAlignment="1">
      <alignment horizontal="right"/>
    </xf>
    <xf numFmtId="3" fontId="6" fillId="3" borderId="0" xfId="0" applyNumberFormat="1" applyFont="1" applyFill="1" applyAlignment="1">
      <alignment horizontal="right"/>
    </xf>
    <xf numFmtId="9" fontId="6" fillId="3" borderId="0" xfId="0" applyNumberFormat="1" applyFont="1" applyFill="1" applyAlignment="1">
      <alignment horizontal="right"/>
    </xf>
    <xf numFmtId="259" fontId="6" fillId="0" borderId="0" xfId="0" applyNumberFormat="1" applyFont="1" applyAlignment="1">
      <alignment horizontal="center"/>
    </xf>
    <xf numFmtId="0" fontId="115" fillId="0" borderId="0" xfId="412"/>
    <xf numFmtId="259" fontId="6" fillId="0" borderId="0" xfId="0" applyNumberFormat="1" applyFont="1" applyAlignment="1">
      <alignment horizontal="right"/>
    </xf>
    <xf numFmtId="0" fontId="116" fillId="25" borderId="0" xfId="0" applyFont="1" applyFill="1"/>
    <xf numFmtId="0" fontId="117" fillId="0" borderId="0" xfId="0" applyFont="1"/>
    <xf numFmtId="0" fontId="118" fillId="0" borderId="0" xfId="0" applyFont="1"/>
    <xf numFmtId="0" fontId="116" fillId="0" borderId="0" xfId="0" applyFont="1"/>
    <xf numFmtId="0" fontId="120" fillId="0" borderId="0" xfId="0" applyFont="1"/>
    <xf numFmtId="0" fontId="119" fillId="0" borderId="0" xfId="229" applyFont="1" applyAlignment="1">
      <alignment horizontal="right"/>
    </xf>
    <xf numFmtId="0" fontId="121" fillId="0" borderId="0" xfId="229" applyFont="1" applyAlignment="1">
      <alignment horizontal="right"/>
    </xf>
    <xf numFmtId="168" fontId="121" fillId="0" borderId="0" xfId="229" applyNumberFormat="1" applyFont="1"/>
    <xf numFmtId="165" fontId="121" fillId="0" borderId="0" xfId="229" applyNumberFormat="1" applyFont="1"/>
    <xf numFmtId="168" fontId="121" fillId="0" borderId="0" xfId="229" applyNumberFormat="1" applyFont="1" applyAlignment="1">
      <alignment horizontal="right"/>
    </xf>
    <xf numFmtId="165" fontId="117" fillId="0" borderId="0" xfId="0" applyNumberFormat="1" applyFont="1"/>
    <xf numFmtId="0" fontId="117" fillId="0" borderId="1" xfId="0" applyFont="1" applyBorder="1"/>
    <xf numFmtId="168" fontId="117" fillId="0" borderId="0" xfId="0" applyNumberFormat="1" applyFont="1" applyAlignment="1">
      <alignment horizontal="right"/>
    </xf>
    <xf numFmtId="9" fontId="117" fillId="0" borderId="0" xfId="0" applyNumberFormat="1" applyFont="1"/>
    <xf numFmtId="1" fontId="117" fillId="0" borderId="0" xfId="0" applyNumberFormat="1" applyFont="1" applyAlignment="1">
      <alignment horizontal="right"/>
    </xf>
    <xf numFmtId="255" fontId="117" fillId="0" borderId="0" xfId="0" applyNumberFormat="1" applyFont="1" applyAlignment="1">
      <alignment horizontal="right"/>
    </xf>
    <xf numFmtId="0" fontId="117" fillId="0" borderId="0" xfId="0" applyFont="1" applyAlignment="1">
      <alignment horizontal="right"/>
    </xf>
    <xf numFmtId="0" fontId="118" fillId="0" borderId="0" xfId="0" applyFont="1" applyAlignment="1">
      <alignment horizontal="center"/>
    </xf>
    <xf numFmtId="0" fontId="118" fillId="0" borderId="0" xfId="0" applyFont="1" applyAlignment="1">
      <alignment horizontal="right"/>
    </xf>
    <xf numFmtId="3" fontId="117" fillId="0" borderId="0" xfId="0" applyNumberFormat="1" applyFont="1" applyAlignment="1">
      <alignment horizontal="right"/>
    </xf>
    <xf numFmtId="0" fontId="117" fillId="28" borderId="0" xfId="0" applyFont="1" applyFill="1"/>
    <xf numFmtId="3" fontId="117" fillId="28" borderId="0" xfId="0" applyNumberFormat="1" applyFont="1" applyFill="1" applyAlignment="1">
      <alignment horizontal="right"/>
    </xf>
    <xf numFmtId="0" fontId="116" fillId="28" borderId="0" xfId="0" quotePrefix="1" applyFont="1" applyFill="1"/>
    <xf numFmtId="3" fontId="116" fillId="28" borderId="0" xfId="0" applyNumberFormat="1" applyFont="1" applyFill="1" applyAlignment="1">
      <alignment horizontal="right"/>
    </xf>
    <xf numFmtId="10" fontId="118" fillId="0" borderId="0" xfId="2" applyNumberFormat="1" applyFont="1"/>
    <xf numFmtId="0" fontId="7" fillId="0" borderId="0" xfId="0" applyFont="1" applyAlignment="1">
      <alignment horizontal="right"/>
    </xf>
    <xf numFmtId="0" fontId="0" fillId="31" borderId="0" xfId="0" applyFill="1"/>
    <xf numFmtId="165" fontId="6" fillId="31" borderId="0" xfId="0" applyNumberFormat="1" applyFont="1" applyFill="1"/>
    <xf numFmtId="0" fontId="7" fillId="31" borderId="0" xfId="0" applyFont="1" applyFill="1"/>
    <xf numFmtId="3" fontId="6" fillId="31" borderId="0" xfId="0" applyNumberFormat="1" applyFont="1" applyFill="1"/>
    <xf numFmtId="0" fontId="6" fillId="31" borderId="0" xfId="0" applyFont="1" applyFill="1"/>
    <xf numFmtId="0" fontId="6" fillId="31" borderId="0" xfId="0" applyFont="1" applyFill="1" applyAlignment="1">
      <alignment horizontal="left"/>
    </xf>
    <xf numFmtId="9" fontId="6" fillId="31" borderId="0" xfId="2" applyFont="1" applyFill="1" applyBorder="1"/>
    <xf numFmtId="170" fontId="6" fillId="0" borderId="0" xfId="0" applyNumberFormat="1" applyFont="1" applyAlignment="1">
      <alignment horizontal="right"/>
    </xf>
    <xf numFmtId="0" fontId="12" fillId="0" borderId="49" xfId="0" applyFont="1" applyBorder="1"/>
    <xf numFmtId="0" fontId="12" fillId="0" borderId="50" xfId="0" applyFont="1" applyBorder="1" applyAlignment="1">
      <alignment horizontal="right"/>
    </xf>
    <xf numFmtId="0" fontId="12" fillId="0" borderId="51" xfId="0" applyFont="1" applyBorder="1" applyAlignment="1">
      <alignment horizontal="right"/>
    </xf>
    <xf numFmtId="0" fontId="0" fillId="31" borderId="41" xfId="0" applyFill="1" applyBorder="1"/>
    <xf numFmtId="3" fontId="0" fillId="31" borderId="0" xfId="0" applyNumberFormat="1" applyFill="1"/>
    <xf numFmtId="259" fontId="0" fillId="0" borderId="0" xfId="0" applyNumberFormat="1"/>
    <xf numFmtId="0" fontId="0" fillId="31" borderId="29" xfId="0" applyFill="1" applyBorder="1" applyAlignment="1">
      <alignment horizontal="right"/>
    </xf>
    <xf numFmtId="259" fontId="0" fillId="31" borderId="0" xfId="0" applyNumberFormat="1" applyFill="1"/>
    <xf numFmtId="169" fontId="0" fillId="31" borderId="0" xfId="0" applyNumberFormat="1" applyFill="1"/>
    <xf numFmtId="3" fontId="6" fillId="31" borderId="0" xfId="0" applyNumberFormat="1" applyFont="1" applyFill="1" applyAlignment="1">
      <alignment horizontal="right"/>
    </xf>
    <xf numFmtId="0" fontId="0" fillId="31" borderId="0" xfId="0" applyFill="1" applyAlignment="1">
      <alignment horizontal="center"/>
    </xf>
    <xf numFmtId="9" fontId="6" fillId="31" borderId="0" xfId="0" applyNumberFormat="1" applyFont="1" applyFill="1"/>
    <xf numFmtId="0" fontId="12" fillId="0" borderId="37" xfId="0" applyFont="1" applyBorder="1"/>
    <xf numFmtId="0" fontId="12" fillId="0" borderId="52" xfId="0" applyFont="1" applyBorder="1" applyAlignment="1">
      <alignment horizontal="center"/>
    </xf>
    <xf numFmtId="1" fontId="12" fillId="0" borderId="38" xfId="0" applyNumberFormat="1" applyFont="1" applyBorder="1"/>
    <xf numFmtId="0" fontId="0" fillId="31" borderId="42" xfId="0" applyFill="1" applyBorder="1"/>
    <xf numFmtId="0" fontId="0" fillId="31" borderId="8" xfId="0" applyFill="1" applyBorder="1"/>
    <xf numFmtId="169" fontId="0" fillId="31" borderId="8" xfId="0" applyNumberFormat="1" applyFill="1" applyBorder="1"/>
    <xf numFmtId="0" fontId="0" fillId="31" borderId="43" xfId="0" applyFill="1" applyBorder="1" applyAlignment="1">
      <alignment horizontal="right"/>
    </xf>
    <xf numFmtId="169" fontId="0" fillId="31" borderId="3" xfId="0" applyNumberFormat="1" applyFill="1" applyBorder="1"/>
    <xf numFmtId="0" fontId="0" fillId="31" borderId="3" xfId="0" applyFill="1" applyBorder="1"/>
    <xf numFmtId="0" fontId="0" fillId="31" borderId="53" xfId="0" applyFill="1" applyBorder="1"/>
    <xf numFmtId="0" fontId="0" fillId="31" borderId="18" xfId="0" applyFill="1" applyBorder="1"/>
    <xf numFmtId="3" fontId="0" fillId="31" borderId="18" xfId="0" applyNumberFormat="1" applyFill="1" applyBorder="1"/>
    <xf numFmtId="169" fontId="0" fillId="31" borderId="18" xfId="0" applyNumberFormat="1" applyFill="1" applyBorder="1"/>
    <xf numFmtId="3" fontId="0" fillId="31" borderId="54" xfId="0" applyNumberFormat="1" applyFill="1" applyBorder="1"/>
    <xf numFmtId="0" fontId="0" fillId="0" borderId="18" xfId="0" applyBorder="1"/>
    <xf numFmtId="3" fontId="0" fillId="0" borderId="18" xfId="0" applyNumberFormat="1" applyBorder="1"/>
    <xf numFmtId="0" fontId="0" fillId="0" borderId="12" xfId="0" applyBorder="1"/>
    <xf numFmtId="0" fontId="12" fillId="0" borderId="55" xfId="0" applyFont="1" applyBorder="1" applyAlignment="1">
      <alignment horizontal="right"/>
    </xf>
    <xf numFmtId="0" fontId="0" fillId="31" borderId="56" xfId="0" applyFill="1" applyBorder="1"/>
    <xf numFmtId="0" fontId="0" fillId="31" borderId="57" xfId="0" applyFill="1" applyBorder="1" applyAlignment="1">
      <alignment horizontal="right"/>
    </xf>
    <xf numFmtId="0" fontId="0" fillId="0" borderId="41" xfId="0" applyBorder="1"/>
    <xf numFmtId="0" fontId="0" fillId="0" borderId="29" xfId="0" applyBorder="1"/>
    <xf numFmtId="0" fontId="0" fillId="31" borderId="29" xfId="0" applyFill="1" applyBorder="1"/>
    <xf numFmtId="9" fontId="0" fillId="0" borderId="29" xfId="0" applyNumberFormat="1" applyBorder="1" applyAlignment="1">
      <alignment horizontal="right"/>
    </xf>
    <xf numFmtId="0" fontId="0" fillId="0" borderId="29" xfId="0" applyBorder="1" applyAlignment="1">
      <alignment horizontal="right"/>
    </xf>
    <xf numFmtId="0" fontId="0" fillId="0" borderId="47" xfId="0" applyBorder="1"/>
    <xf numFmtId="0" fontId="0" fillId="31" borderId="58" xfId="0" applyFill="1" applyBorder="1"/>
    <xf numFmtId="17" fontId="100" fillId="0" borderId="0" xfId="0" applyNumberFormat="1" applyFont="1" applyAlignment="1">
      <alignment horizontal="left"/>
    </xf>
    <xf numFmtId="0" fontId="12" fillId="0" borderId="0" xfId="0" applyFont="1" applyAlignment="1">
      <alignment horizontal="center"/>
    </xf>
    <xf numFmtId="9" fontId="0" fillId="0" borderId="0" xfId="0" applyNumberFormat="1" applyAlignment="1">
      <alignment horizontal="right"/>
    </xf>
    <xf numFmtId="3" fontId="12" fillId="0" borderId="0" xfId="0" applyNumberFormat="1" applyFont="1" applyAlignment="1">
      <alignment horizontal="right"/>
    </xf>
    <xf numFmtId="165" fontId="12" fillId="0" borderId="0" xfId="0" applyNumberFormat="1" applyFont="1" applyAlignment="1">
      <alignment horizontal="right"/>
    </xf>
    <xf numFmtId="170" fontId="0" fillId="0" borderId="0" xfId="0" applyNumberFormat="1" applyAlignment="1">
      <alignment horizontal="right"/>
    </xf>
    <xf numFmtId="259" fontId="12" fillId="0" borderId="0" xfId="0" applyNumberFormat="1" applyFont="1" applyAlignment="1">
      <alignment horizontal="right"/>
    </xf>
    <xf numFmtId="170" fontId="12" fillId="0" borderId="0" xfId="0" applyNumberFormat="1" applyFont="1" applyAlignment="1">
      <alignment horizontal="right"/>
    </xf>
    <xf numFmtId="165" fontId="12" fillId="0" borderId="0" xfId="0" applyNumberFormat="1" applyFont="1"/>
    <xf numFmtId="255" fontId="0" fillId="0" borderId="0" xfId="0" applyNumberFormat="1"/>
    <xf numFmtId="2" fontId="0" fillId="31" borderId="0" xfId="0" applyNumberFormat="1" applyFill="1"/>
    <xf numFmtId="0" fontId="0" fillId="31" borderId="0" xfId="0" applyFill="1" applyAlignment="1">
      <alignment horizontal="right"/>
    </xf>
    <xf numFmtId="170" fontId="0" fillId="0" borderId="0" xfId="0" applyNumberFormat="1"/>
    <xf numFmtId="0" fontId="0" fillId="0" borderId="52" xfId="0" applyBorder="1"/>
    <xf numFmtId="0" fontId="12" fillId="0" borderId="52" xfId="0" applyFont="1" applyBorder="1"/>
    <xf numFmtId="170" fontId="12" fillId="0" borderId="38" xfId="0" applyNumberFormat="1" applyFont="1" applyBorder="1" applyAlignment="1">
      <alignment horizontal="right"/>
    </xf>
    <xf numFmtId="0" fontId="125" fillId="0" borderId="0" xfId="0" applyFont="1"/>
    <xf numFmtId="0" fontId="125" fillId="31" borderId="0" xfId="0" applyFont="1" applyFill="1"/>
    <xf numFmtId="0" fontId="126" fillId="31" borderId="0" xfId="0" applyFont="1" applyFill="1"/>
    <xf numFmtId="0" fontId="6" fillId="31" borderId="0" xfId="0" quotePrefix="1" applyFont="1" applyFill="1" applyAlignment="1">
      <alignment horizontal="left"/>
    </xf>
    <xf numFmtId="0" fontId="6" fillId="31" borderId="0" xfId="0" applyFont="1" applyFill="1" applyAlignment="1">
      <alignment horizontal="right"/>
    </xf>
    <xf numFmtId="0" fontId="8" fillId="31" borderId="0" xfId="0" applyFont="1" applyFill="1" applyAlignment="1">
      <alignment horizontal="left"/>
    </xf>
    <xf numFmtId="3" fontId="8" fillId="31" borderId="0" xfId="0" applyNumberFormat="1" applyFont="1" applyFill="1" applyAlignment="1">
      <alignment horizontal="right"/>
    </xf>
    <xf numFmtId="165" fontId="6" fillId="31" borderId="0" xfId="0" applyNumberFormat="1" applyFont="1" applyFill="1" applyAlignment="1">
      <alignment horizontal="right"/>
    </xf>
    <xf numFmtId="169" fontId="6" fillId="31" borderId="0" xfId="0" applyNumberFormat="1" applyFont="1" applyFill="1" applyAlignment="1">
      <alignment horizontal="right"/>
    </xf>
    <xf numFmtId="165" fontId="117" fillId="0" borderId="3" xfId="0" applyNumberFormat="1" applyFont="1" applyBorder="1"/>
    <xf numFmtId="165" fontId="117" fillId="0" borderId="0" xfId="2" applyNumberFormat="1" applyFont="1"/>
    <xf numFmtId="1" fontId="125" fillId="0" borderId="0" xfId="0" applyNumberFormat="1" applyFont="1"/>
    <xf numFmtId="0" fontId="125" fillId="30" borderId="0" xfId="0" applyFont="1" applyFill="1"/>
    <xf numFmtId="0" fontId="126" fillId="0" borderId="0" xfId="0" applyFont="1" applyAlignment="1">
      <alignment horizontal="right"/>
    </xf>
    <xf numFmtId="0" fontId="126" fillId="0" borderId="0" xfId="0" applyFont="1"/>
    <xf numFmtId="1" fontId="118" fillId="0" borderId="0" xfId="0" applyNumberFormat="1" applyFont="1"/>
    <xf numFmtId="9" fontId="118" fillId="0" borderId="0" xfId="0" applyNumberFormat="1" applyFont="1"/>
    <xf numFmtId="165" fontId="118" fillId="0" borderId="0" xfId="0" applyNumberFormat="1" applyFont="1"/>
    <xf numFmtId="169" fontId="118" fillId="0" borderId="0" xfId="0" applyNumberFormat="1" applyFont="1"/>
    <xf numFmtId="0" fontId="128" fillId="0" borderId="0" xfId="0" applyFont="1"/>
    <xf numFmtId="0" fontId="127" fillId="0" borderId="0" xfId="0" applyFont="1"/>
    <xf numFmtId="0" fontId="255" fillId="0" borderId="0" xfId="0" applyFont="1" applyAlignment="1">
      <alignment horizontal="right"/>
    </xf>
    <xf numFmtId="1" fontId="118" fillId="3" borderId="0" xfId="0" applyNumberFormat="1" applyFont="1" applyFill="1"/>
    <xf numFmtId="1" fontId="256" fillId="0" borderId="0" xfId="0" applyNumberFormat="1" applyFont="1"/>
    <xf numFmtId="165" fontId="255" fillId="0" borderId="0" xfId="0" applyNumberFormat="1" applyFont="1"/>
    <xf numFmtId="1" fontId="255" fillId="0" borderId="0" xfId="0" applyNumberFormat="1" applyFont="1"/>
    <xf numFmtId="0" fontId="128" fillId="0" borderId="0" xfId="0" quotePrefix="1" applyFont="1"/>
    <xf numFmtId="2" fontId="118" fillId="0" borderId="0" xfId="0" applyNumberFormat="1" applyFont="1"/>
    <xf numFmtId="2" fontId="256" fillId="0" borderId="0" xfId="0" applyNumberFormat="1" applyFont="1"/>
    <xf numFmtId="0" fontId="118" fillId="3" borderId="0" xfId="0" applyFont="1" applyFill="1"/>
    <xf numFmtId="0" fontId="256" fillId="0" borderId="0" xfId="0" applyFont="1"/>
    <xf numFmtId="169" fontId="118" fillId="3" borderId="0" xfId="0" applyNumberFormat="1" applyFont="1" applyFill="1"/>
    <xf numFmtId="169" fontId="256" fillId="0" borderId="0" xfId="0" applyNumberFormat="1" applyFont="1"/>
    <xf numFmtId="169" fontId="128" fillId="0" borderId="0" xfId="0" applyNumberFormat="1" applyFont="1"/>
    <xf numFmtId="0" fontId="257" fillId="0" borderId="0" xfId="0" applyFont="1"/>
    <xf numFmtId="169" fontId="257" fillId="0" borderId="0" xfId="0" applyNumberFormat="1" applyFont="1"/>
    <xf numFmtId="165" fontId="120" fillId="0" borderId="0" xfId="0" applyNumberFormat="1" applyFont="1"/>
    <xf numFmtId="9" fontId="120" fillId="0" borderId="0" xfId="0" applyNumberFormat="1" applyFont="1"/>
    <xf numFmtId="9" fontId="255" fillId="0" borderId="0" xfId="0" applyNumberFormat="1" applyFont="1"/>
    <xf numFmtId="165" fontId="118" fillId="0" borderId="0" xfId="2" applyNumberFormat="1" applyFont="1"/>
    <xf numFmtId="0" fontId="118" fillId="0" borderId="0" xfId="0" quotePrefix="1" applyFont="1"/>
    <xf numFmtId="1" fontId="128" fillId="0" borderId="0" xfId="0" applyNumberFormat="1" applyFont="1"/>
    <xf numFmtId="1" fontId="128" fillId="3" borderId="0" xfId="0" applyNumberFormat="1" applyFont="1" applyFill="1"/>
    <xf numFmtId="9" fontId="256" fillId="0" borderId="0" xfId="2" applyFont="1" applyFill="1" applyBorder="1"/>
    <xf numFmtId="165" fontId="118" fillId="3" borderId="0" xfId="0" applyNumberFormat="1" applyFont="1" applyFill="1"/>
    <xf numFmtId="165" fontId="256" fillId="0" borderId="0" xfId="2" applyNumberFormat="1" applyFont="1" applyFill="1" applyBorder="1"/>
    <xf numFmtId="1" fontId="120" fillId="0" borderId="0" xfId="0" applyNumberFormat="1" applyFont="1"/>
    <xf numFmtId="0" fontId="120" fillId="3" borderId="0" xfId="0" applyFont="1" applyFill="1"/>
    <xf numFmtId="1" fontId="120" fillId="3" borderId="0" xfId="0" applyNumberFormat="1" applyFont="1" applyFill="1"/>
    <xf numFmtId="165" fontId="120" fillId="0" borderId="0" xfId="2" applyNumberFormat="1" applyFont="1"/>
    <xf numFmtId="1" fontId="127" fillId="0" borderId="0" xfId="0" applyNumberFormat="1" applyFont="1"/>
    <xf numFmtId="0" fontId="258" fillId="0" borderId="0" xfId="0" applyFont="1"/>
    <xf numFmtId="165" fontId="257" fillId="0" borderId="0" xfId="0" applyNumberFormat="1" applyFont="1"/>
    <xf numFmtId="1" fontId="257" fillId="0" borderId="0" xfId="0" applyNumberFormat="1" applyFont="1"/>
    <xf numFmtId="165" fontId="256" fillId="0" borderId="0" xfId="0" applyNumberFormat="1" applyFont="1"/>
    <xf numFmtId="165" fontId="256" fillId="0" borderId="0" xfId="2" applyNumberFormat="1" applyFont="1" applyFill="1" applyBorder="1" applyAlignment="1">
      <alignment horizontal="right"/>
    </xf>
    <xf numFmtId="9" fontId="118" fillId="0" borderId="0" xfId="2" applyFont="1"/>
    <xf numFmtId="169" fontId="120" fillId="0" borderId="0" xfId="0" applyNumberFormat="1" applyFont="1"/>
    <xf numFmtId="2" fontId="120" fillId="0" borderId="0" xfId="0" applyNumberFormat="1" applyFont="1"/>
    <xf numFmtId="3" fontId="118" fillId="0" borderId="0" xfId="0" applyNumberFormat="1" applyFont="1"/>
    <xf numFmtId="3" fontId="120" fillId="0" borderId="0" xfId="0" applyNumberFormat="1" applyFont="1"/>
    <xf numFmtId="3" fontId="118" fillId="0" borderId="0" xfId="0" applyNumberFormat="1" applyFont="1" applyAlignment="1">
      <alignment horizontal="center"/>
    </xf>
    <xf numFmtId="0" fontId="120" fillId="0" borderId="0" xfId="0" applyFont="1" applyAlignment="1">
      <alignment horizontal="center"/>
    </xf>
    <xf numFmtId="9" fontId="118" fillId="0" borderId="0" xfId="0" applyNumberFormat="1" applyFont="1" applyAlignment="1">
      <alignment horizontal="center"/>
    </xf>
    <xf numFmtId="165" fontId="118" fillId="0" borderId="0" xfId="0" applyNumberFormat="1" applyFont="1" applyAlignment="1">
      <alignment horizontal="center"/>
    </xf>
    <xf numFmtId="165" fontId="118" fillId="0" borderId="0" xfId="2" applyNumberFormat="1" applyFont="1" applyAlignment="1">
      <alignment horizontal="center"/>
    </xf>
    <xf numFmtId="9" fontId="118" fillId="0" borderId="0" xfId="2" applyFont="1" applyAlignment="1">
      <alignment horizontal="center"/>
    </xf>
    <xf numFmtId="0" fontId="118" fillId="108" borderId="0" xfId="0" applyFont="1" applyFill="1"/>
    <xf numFmtId="0" fontId="118" fillId="108" borderId="0" xfId="0" applyFont="1" applyFill="1" applyAlignment="1">
      <alignment horizontal="right"/>
    </xf>
    <xf numFmtId="168" fontId="129" fillId="31" borderId="0" xfId="229" applyNumberFormat="1" applyFont="1" applyFill="1"/>
    <xf numFmtId="165" fontId="129" fillId="31" borderId="0" xfId="2" applyNumberFormat="1" applyFont="1" applyFill="1" applyBorder="1"/>
    <xf numFmtId="165" fontId="129" fillId="31" borderId="0" xfId="229" applyNumberFormat="1" applyFont="1" applyFill="1"/>
    <xf numFmtId="168" fontId="129" fillId="0" borderId="0" xfId="229" applyNumberFormat="1" applyFont="1"/>
    <xf numFmtId="165" fontId="129" fillId="0" borderId="0" xfId="2" applyNumberFormat="1" applyFont="1" applyFill="1" applyBorder="1"/>
    <xf numFmtId="165" fontId="129" fillId="0" borderId="0" xfId="229" applyNumberFormat="1" applyFont="1"/>
    <xf numFmtId="165" fontId="255" fillId="0" borderId="0" xfId="2" applyNumberFormat="1" applyFont="1" applyFill="1" applyBorder="1"/>
    <xf numFmtId="0" fontId="118" fillId="0" borderId="3" xfId="0" applyFont="1" applyBorder="1"/>
    <xf numFmtId="1" fontId="118" fillId="0" borderId="3" xfId="0" applyNumberFormat="1" applyFont="1" applyBorder="1"/>
    <xf numFmtId="0" fontId="120" fillId="0" borderId="0" xfId="0" quotePrefix="1" applyFont="1"/>
    <xf numFmtId="0" fontId="128" fillId="0" borderId="0" xfId="4" applyFont="1"/>
    <xf numFmtId="170" fontId="128" fillId="3" borderId="0" xfId="4" applyNumberFormat="1" applyFont="1" applyFill="1"/>
    <xf numFmtId="3" fontId="128" fillId="0" borderId="0" xfId="4" applyNumberFormat="1" applyFont="1"/>
    <xf numFmtId="3" fontId="127" fillId="0" borderId="0" xfId="4" applyNumberFormat="1" applyFont="1"/>
    <xf numFmtId="0" fontId="260" fillId="0" borderId="0" xfId="4" applyFont="1"/>
    <xf numFmtId="9" fontId="128" fillId="0" borderId="0" xfId="4" applyNumberFormat="1" applyFont="1"/>
    <xf numFmtId="3" fontId="128" fillId="2" borderId="0" xfId="4" applyNumberFormat="1" applyFont="1" applyFill="1"/>
    <xf numFmtId="43" fontId="128" fillId="0" borderId="0" xfId="4" applyNumberFormat="1" applyFont="1"/>
    <xf numFmtId="166" fontId="128" fillId="3" borderId="0" xfId="4" applyNumberFormat="1" applyFont="1" applyFill="1"/>
    <xf numFmtId="166" fontId="128" fillId="0" borderId="0" xfId="4" applyNumberFormat="1" applyFont="1"/>
    <xf numFmtId="164" fontId="128" fillId="0" borderId="0" xfId="4" applyNumberFormat="1" applyFont="1"/>
    <xf numFmtId="9" fontId="128" fillId="0" borderId="0" xfId="229" applyNumberFormat="1" applyFont="1"/>
    <xf numFmtId="170" fontId="128" fillId="0" borderId="0" xfId="4" applyNumberFormat="1" applyFont="1"/>
    <xf numFmtId="165" fontId="128" fillId="0" borderId="0" xfId="4" applyNumberFormat="1" applyFont="1"/>
    <xf numFmtId="1" fontId="128" fillId="0" borderId="0" xfId="4" applyNumberFormat="1" applyFont="1"/>
    <xf numFmtId="169" fontId="127" fillId="0" borderId="0" xfId="4" applyNumberFormat="1" applyFont="1"/>
    <xf numFmtId="165" fontId="128" fillId="0" borderId="0" xfId="5" applyNumberFormat="1" applyFont="1"/>
    <xf numFmtId="165" fontId="128" fillId="0" borderId="0" xfId="5" applyNumberFormat="1" applyFont="1" applyFill="1"/>
    <xf numFmtId="170" fontId="127" fillId="0" borderId="0" xfId="4" applyNumberFormat="1" applyFont="1"/>
    <xf numFmtId="0" fontId="120" fillId="0" borderId="37" xfId="0" applyFont="1" applyBorder="1"/>
    <xf numFmtId="1" fontId="120" fillId="0" borderId="38" xfId="0" applyNumberFormat="1" applyFont="1" applyBorder="1"/>
    <xf numFmtId="9" fontId="118" fillId="3" borderId="0" xfId="0" applyNumberFormat="1" applyFont="1" applyFill="1"/>
    <xf numFmtId="3" fontId="118" fillId="3" borderId="0" xfId="0" applyNumberFormat="1" applyFont="1" applyFill="1"/>
    <xf numFmtId="3" fontId="261" fillId="0" borderId="0" xfId="0" applyNumberFormat="1" applyFont="1"/>
    <xf numFmtId="2" fontId="118" fillId="3" borderId="0" xfId="0" applyNumberFormat="1" applyFont="1" applyFill="1"/>
    <xf numFmtId="0" fontId="120" fillId="0" borderId="36" xfId="0" applyFont="1" applyBorder="1"/>
    <xf numFmtId="0" fontId="120" fillId="0" borderId="1" xfId="0" applyFont="1" applyBorder="1"/>
    <xf numFmtId="3" fontId="120" fillId="0" borderId="1" xfId="0" applyNumberFormat="1" applyFont="1" applyBorder="1"/>
    <xf numFmtId="165" fontId="120" fillId="0" borderId="1" xfId="0" applyNumberFormat="1" applyFont="1" applyBorder="1"/>
    <xf numFmtId="169" fontId="128" fillId="3" borderId="0" xfId="3" applyNumberFormat="1" applyFont="1" applyFill="1"/>
    <xf numFmtId="169" fontId="128" fillId="0" borderId="0" xfId="3" applyNumberFormat="1" applyFont="1"/>
    <xf numFmtId="165" fontId="128" fillId="3" borderId="0" xfId="3" applyNumberFormat="1" applyFont="1" applyFill="1"/>
    <xf numFmtId="164" fontId="128" fillId="3" borderId="0" xfId="3" applyNumberFormat="1" applyFont="1" applyFill="1"/>
    <xf numFmtId="0" fontId="118" fillId="109" borderId="0" xfId="0" applyFont="1" applyFill="1"/>
    <xf numFmtId="0" fontId="118" fillId="109" borderId="0" xfId="0" applyFont="1" applyFill="1" applyAlignment="1">
      <alignment horizontal="right"/>
    </xf>
    <xf numFmtId="3" fontId="7" fillId="0" borderId="0" xfId="0" applyNumberFormat="1" applyFont="1" applyAlignment="1">
      <alignment horizontal="right"/>
    </xf>
    <xf numFmtId="9" fontId="123" fillId="0" borderId="0" xfId="0" applyNumberFormat="1" applyFont="1" applyAlignment="1">
      <alignment horizontal="right"/>
    </xf>
    <xf numFmtId="9" fontId="123" fillId="0" borderId="0" xfId="0" applyNumberFormat="1" applyFont="1"/>
    <xf numFmtId="3" fontId="0" fillId="31" borderId="0" xfId="0" applyNumberFormat="1" applyFill="1" applyAlignment="1">
      <alignment horizontal="right"/>
    </xf>
    <xf numFmtId="0" fontId="12" fillId="31" borderId="0" xfId="0" applyFont="1" applyFill="1"/>
    <xf numFmtId="0" fontId="12" fillId="31" borderId="0" xfId="0" applyFont="1" applyFill="1" applyAlignment="1">
      <alignment horizontal="center"/>
    </xf>
    <xf numFmtId="3" fontId="12" fillId="31" borderId="0" xfId="0" applyNumberFormat="1" applyFont="1" applyFill="1" applyAlignment="1">
      <alignment horizontal="right"/>
    </xf>
    <xf numFmtId="165" fontId="0" fillId="31" borderId="0" xfId="0" applyNumberFormat="1" applyFill="1" applyAlignment="1">
      <alignment horizontal="right"/>
    </xf>
    <xf numFmtId="165" fontId="123" fillId="31" borderId="0" xfId="0" applyNumberFormat="1" applyFont="1" applyFill="1" applyAlignment="1">
      <alignment horizontal="right"/>
    </xf>
    <xf numFmtId="9" fontId="123" fillId="31" borderId="0" xfId="0" applyNumberFormat="1" applyFont="1" applyFill="1" applyAlignment="1">
      <alignment horizontal="right"/>
    </xf>
    <xf numFmtId="3" fontId="123" fillId="31" borderId="0" xfId="0" applyNumberFormat="1" applyFont="1" applyFill="1" applyAlignment="1">
      <alignment horizontal="right"/>
    </xf>
    <xf numFmtId="3" fontId="12" fillId="31" borderId="0" xfId="0" applyNumberFormat="1" applyFont="1" applyFill="1"/>
    <xf numFmtId="0" fontId="0" fillId="31" borderId="0" xfId="0" quotePrefix="1" applyFill="1"/>
    <xf numFmtId="1" fontId="123" fillId="31" borderId="0" xfId="0" applyNumberFormat="1" applyFont="1" applyFill="1"/>
    <xf numFmtId="0" fontId="124" fillId="31" borderId="0" xfId="0" applyFont="1" applyFill="1"/>
    <xf numFmtId="255" fontId="12" fillId="31" borderId="0" xfId="0" applyNumberFormat="1" applyFont="1" applyFill="1" applyAlignment="1">
      <alignment horizontal="right"/>
    </xf>
    <xf numFmtId="165" fontId="123" fillId="0" borderId="0" xfId="0" applyNumberFormat="1" applyFont="1"/>
    <xf numFmtId="3" fontId="123" fillId="0" borderId="0" xfId="0" applyNumberFormat="1" applyFont="1" applyAlignment="1">
      <alignment horizontal="right"/>
    </xf>
    <xf numFmtId="0" fontId="124" fillId="0" borderId="0" xfId="0" applyFont="1"/>
    <xf numFmtId="3" fontId="12" fillId="0" borderId="0" xfId="0" applyNumberFormat="1" applyFont="1" applyAlignment="1">
      <alignment horizontal="center"/>
    </xf>
    <xf numFmtId="9" fontId="12" fillId="0" borderId="52" xfId="0" applyNumberFormat="1" applyFont="1" applyBorder="1" applyAlignment="1">
      <alignment horizontal="right"/>
    </xf>
    <xf numFmtId="165" fontId="12" fillId="31" borderId="0" xfId="0" applyNumberFormat="1" applyFont="1" applyFill="1" applyAlignment="1">
      <alignment horizontal="right"/>
    </xf>
    <xf numFmtId="0" fontId="124" fillId="31" borderId="0" xfId="0" applyFont="1" applyFill="1" applyAlignment="1">
      <alignment horizontal="center"/>
    </xf>
    <xf numFmtId="170" fontId="124" fillId="31" borderId="0" xfId="0" applyNumberFormat="1" applyFont="1" applyFill="1" applyAlignment="1">
      <alignment horizontal="right"/>
    </xf>
    <xf numFmtId="0" fontId="12" fillId="31" borderId="0" xfId="0" applyFont="1" applyFill="1" applyAlignment="1">
      <alignment horizontal="right"/>
    </xf>
    <xf numFmtId="165" fontId="0" fillId="31" borderId="0" xfId="0" applyNumberFormat="1" applyFill="1"/>
    <xf numFmtId="3" fontId="0" fillId="0" borderId="20" xfId="0" applyNumberFormat="1" applyBorder="1"/>
    <xf numFmtId="0" fontId="0" fillId="3" borderId="0" xfId="0" applyFill="1"/>
    <xf numFmtId="0" fontId="118" fillId="31" borderId="0" xfId="0" applyFont="1" applyFill="1"/>
    <xf numFmtId="0" fontId="118" fillId="31" borderId="0" xfId="0" applyFont="1" applyFill="1" applyAlignment="1">
      <alignment horizontal="center"/>
    </xf>
    <xf numFmtId="3" fontId="118" fillId="31" borderId="0" xfId="0" applyNumberFormat="1" applyFont="1" applyFill="1"/>
    <xf numFmtId="3" fontId="118" fillId="0" borderId="0" xfId="0" applyNumberFormat="1" applyFont="1" applyAlignment="1">
      <alignment horizontal="right"/>
    </xf>
    <xf numFmtId="259" fontId="118" fillId="31" borderId="0" xfId="0" applyNumberFormat="1" applyFont="1" applyFill="1" applyAlignment="1">
      <alignment horizontal="right"/>
    </xf>
    <xf numFmtId="3" fontId="118" fillId="31" borderId="0" xfId="0" applyNumberFormat="1" applyFont="1" applyFill="1" applyAlignment="1">
      <alignment horizontal="center"/>
    </xf>
    <xf numFmtId="3" fontId="118" fillId="31" borderId="0" xfId="0" applyNumberFormat="1" applyFont="1" applyFill="1" applyAlignment="1">
      <alignment horizontal="right"/>
    </xf>
    <xf numFmtId="0" fontId="120" fillId="31" borderId="37" xfId="0" applyFont="1" applyFill="1" applyBorder="1"/>
    <xf numFmtId="3" fontId="120" fillId="31" borderId="38" xfId="0" applyNumberFormat="1" applyFont="1" applyFill="1" applyBorder="1" applyAlignment="1">
      <alignment horizontal="right"/>
    </xf>
    <xf numFmtId="0" fontId="0" fillId="0" borderId="0" xfId="0" applyAlignment="1">
      <alignment vertical="center"/>
    </xf>
    <xf numFmtId="9" fontId="256" fillId="0" borderId="0" xfId="0" applyNumberFormat="1" applyFont="1"/>
    <xf numFmtId="168" fontId="259" fillId="31" borderId="0" xfId="229" applyNumberFormat="1" applyFont="1" applyFill="1"/>
    <xf numFmtId="165" fontId="259" fillId="31" borderId="0" xfId="2" applyNumberFormat="1" applyFont="1" applyFill="1" applyBorder="1"/>
    <xf numFmtId="168" fontId="259" fillId="0" borderId="0" xfId="229" applyNumberFormat="1" applyFont="1"/>
    <xf numFmtId="165" fontId="259" fillId="0" borderId="0" xfId="2" applyNumberFormat="1" applyFont="1" applyFill="1" applyBorder="1"/>
    <xf numFmtId="168" fontId="259" fillId="31" borderId="41" xfId="229" applyNumberFormat="1" applyFont="1" applyFill="1" applyBorder="1"/>
    <xf numFmtId="168" fontId="259" fillId="31" borderId="29" xfId="229" applyNumberFormat="1" applyFont="1" applyFill="1" applyBorder="1"/>
    <xf numFmtId="168" fontId="129" fillId="0" borderId="41" xfId="229" applyNumberFormat="1" applyFont="1" applyBorder="1"/>
    <xf numFmtId="168" fontId="129" fillId="0" borderId="29" xfId="229" applyNumberFormat="1" applyFont="1" applyBorder="1"/>
    <xf numFmtId="168" fontId="129" fillId="31" borderId="41" xfId="229" applyNumberFormat="1" applyFont="1" applyFill="1" applyBorder="1"/>
    <xf numFmtId="168" fontId="129" fillId="31" borderId="29" xfId="229" applyNumberFormat="1" applyFont="1" applyFill="1" applyBorder="1"/>
    <xf numFmtId="168" fontId="259" fillId="0" borderId="41" xfId="229" applyNumberFormat="1" applyFont="1" applyBorder="1"/>
    <xf numFmtId="168" fontId="259" fillId="0" borderId="29" xfId="229" applyNumberFormat="1" applyFont="1" applyBorder="1"/>
    <xf numFmtId="165" fontId="129" fillId="31" borderId="41" xfId="229" applyNumberFormat="1" applyFont="1" applyFill="1" applyBorder="1"/>
    <xf numFmtId="165" fontId="129" fillId="31" borderId="29" xfId="229" applyNumberFormat="1" applyFont="1" applyFill="1" applyBorder="1"/>
    <xf numFmtId="168" fontId="129" fillId="31" borderId="47" xfId="229" applyNumberFormat="1" applyFont="1" applyFill="1" applyBorder="1"/>
    <xf numFmtId="168" fontId="129" fillId="31" borderId="48" xfId="229" applyNumberFormat="1" applyFont="1" applyFill="1" applyBorder="1"/>
    <xf numFmtId="0" fontId="125" fillId="0" borderId="41" xfId="0" applyFont="1" applyBorder="1"/>
    <xf numFmtId="0" fontId="125" fillId="0" borderId="29" xfId="0" applyFont="1" applyBorder="1"/>
    <xf numFmtId="0" fontId="262" fillId="31" borderId="0" xfId="0" applyFont="1" applyFill="1"/>
    <xf numFmtId="0" fontId="125" fillId="31" borderId="41" xfId="0" applyFont="1" applyFill="1" applyBorder="1"/>
    <xf numFmtId="0" fontId="125" fillId="31" borderId="29" xfId="0" applyFont="1" applyFill="1" applyBorder="1"/>
    <xf numFmtId="1" fontId="125" fillId="0" borderId="41" xfId="0" applyNumberFormat="1" applyFont="1" applyBorder="1"/>
    <xf numFmtId="1" fontId="125" fillId="31" borderId="0" xfId="0" applyNumberFormat="1" applyFont="1" applyFill="1"/>
    <xf numFmtId="1" fontId="125" fillId="31" borderId="41" xfId="0" applyNumberFormat="1" applyFont="1" applyFill="1" applyBorder="1"/>
    <xf numFmtId="0" fontId="262" fillId="0" borderId="0" xfId="0" applyFont="1"/>
    <xf numFmtId="1" fontId="125" fillId="0" borderId="42" xfId="0" applyNumberFormat="1" applyFont="1" applyBorder="1"/>
    <xf numFmtId="0" fontId="125" fillId="0" borderId="43" xfId="0" applyFont="1" applyBorder="1"/>
    <xf numFmtId="4" fontId="128" fillId="0" borderId="0" xfId="4" applyNumberFormat="1" applyFont="1"/>
    <xf numFmtId="0" fontId="263" fillId="110" borderId="0" xfId="0" applyFont="1" applyFill="1"/>
    <xf numFmtId="0" fontId="118" fillId="110" borderId="0" xfId="0" applyFont="1" applyFill="1"/>
    <xf numFmtId="0" fontId="118" fillId="110" borderId="0" xfId="0" applyFont="1" applyFill="1" applyAlignment="1">
      <alignment horizontal="right"/>
    </xf>
    <xf numFmtId="9" fontId="118" fillId="110" borderId="0" xfId="0" applyNumberFormat="1" applyFont="1" applyFill="1"/>
    <xf numFmtId="1" fontId="118" fillId="110" borderId="0" xfId="0" applyNumberFormat="1" applyFont="1" applyFill="1"/>
    <xf numFmtId="165" fontId="118" fillId="110" borderId="0" xfId="0" applyNumberFormat="1" applyFont="1" applyFill="1"/>
    <xf numFmtId="2" fontId="118" fillId="110" borderId="0" xfId="0" applyNumberFormat="1" applyFont="1" applyFill="1"/>
    <xf numFmtId="169" fontId="128" fillId="110" borderId="0" xfId="0" applyNumberFormat="1" applyFont="1" applyFill="1"/>
    <xf numFmtId="169" fontId="118" fillId="110" borderId="0" xfId="0" applyNumberFormat="1" applyFont="1" applyFill="1"/>
    <xf numFmtId="1" fontId="128" fillId="110" borderId="0" xfId="0" applyNumberFormat="1" applyFont="1" applyFill="1"/>
    <xf numFmtId="1" fontId="256" fillId="110" borderId="0" xfId="0" applyNumberFormat="1" applyFont="1" applyFill="1"/>
    <xf numFmtId="165" fontId="256" fillId="110" borderId="0" xfId="2" applyNumberFormat="1" applyFont="1" applyFill="1" applyBorder="1"/>
    <xf numFmtId="1" fontId="120" fillId="110" borderId="0" xfId="0" applyNumberFormat="1" applyFont="1" applyFill="1"/>
    <xf numFmtId="1" fontId="127" fillId="110" borderId="0" xfId="0" applyNumberFormat="1" applyFont="1" applyFill="1"/>
    <xf numFmtId="165" fontId="120" fillId="110" borderId="0" xfId="0" applyNumberFormat="1" applyFont="1" applyFill="1"/>
    <xf numFmtId="165" fontId="257" fillId="110" borderId="0" xfId="0" applyNumberFormat="1" applyFont="1" applyFill="1"/>
    <xf numFmtId="1" fontId="257" fillId="110" borderId="0" xfId="0" applyNumberFormat="1" applyFont="1" applyFill="1"/>
    <xf numFmtId="169" fontId="120" fillId="110" borderId="0" xfId="0" applyNumberFormat="1" applyFont="1" applyFill="1"/>
    <xf numFmtId="9" fontId="120" fillId="110" borderId="0" xfId="0" applyNumberFormat="1" applyFont="1" applyFill="1"/>
    <xf numFmtId="1" fontId="118" fillId="110" borderId="3" xfId="0" applyNumberFormat="1" applyFont="1" applyFill="1" applyBorder="1"/>
    <xf numFmtId="165" fontId="129" fillId="30" borderId="0" xfId="229" applyNumberFormat="1" applyFont="1" applyFill="1"/>
    <xf numFmtId="9" fontId="129" fillId="31" borderId="3" xfId="229" applyNumberFormat="1" applyFont="1" applyFill="1" applyBorder="1"/>
    <xf numFmtId="9" fontId="129" fillId="31" borderId="0" xfId="229" applyNumberFormat="1" applyFont="1" applyFill="1"/>
    <xf numFmtId="9" fontId="129" fillId="30" borderId="0" xfId="229" applyNumberFormat="1" applyFont="1" applyFill="1"/>
    <xf numFmtId="9" fontId="129" fillId="0" borderId="0" xfId="229" applyNumberFormat="1" applyFont="1"/>
    <xf numFmtId="0" fontId="264" fillId="0" borderId="0" xfId="0" applyFont="1"/>
    <xf numFmtId="1" fontId="264" fillId="0" borderId="0" xfId="0" applyNumberFormat="1" applyFont="1"/>
    <xf numFmtId="0" fontId="120" fillId="30" borderId="3" xfId="0" applyFont="1" applyFill="1" applyBorder="1"/>
    <xf numFmtId="0" fontId="118" fillId="30" borderId="0" xfId="0" applyFont="1" applyFill="1"/>
    <xf numFmtId="165" fontId="118" fillId="30" borderId="0" xfId="0" applyNumberFormat="1" applyFont="1" applyFill="1" applyAlignment="1">
      <alignment horizontal="center"/>
    </xf>
    <xf numFmtId="0" fontId="118" fillId="30" borderId="0" xfId="0" applyFont="1" applyFill="1" applyAlignment="1">
      <alignment horizontal="center"/>
    </xf>
    <xf numFmtId="9" fontId="118" fillId="30" borderId="0" xfId="0" applyNumberFormat="1" applyFont="1" applyFill="1" applyAlignment="1">
      <alignment horizontal="center"/>
    </xf>
    <xf numFmtId="165" fontId="118" fillId="31" borderId="0" xfId="0" applyNumberFormat="1" applyFont="1" applyFill="1" applyAlignment="1">
      <alignment horizontal="center"/>
    </xf>
    <xf numFmtId="1" fontId="118" fillId="31" borderId="0" xfId="0" applyNumberFormat="1" applyFont="1" applyFill="1" applyAlignment="1">
      <alignment horizontal="center"/>
    </xf>
    <xf numFmtId="170" fontId="118" fillId="0" borderId="0" xfId="0" applyNumberFormat="1" applyFont="1"/>
    <xf numFmtId="0" fontId="120" fillId="0" borderId="0" xfId="0" applyFont="1" applyAlignment="1">
      <alignment horizontal="right"/>
    </xf>
    <xf numFmtId="0" fontId="118" fillId="31" borderId="0" xfId="0" applyFont="1" applyFill="1" applyAlignment="1">
      <alignment horizontal="right"/>
    </xf>
    <xf numFmtId="9" fontId="118" fillId="31" borderId="0" xfId="0" applyNumberFormat="1" applyFont="1" applyFill="1" applyAlignment="1">
      <alignment horizontal="right"/>
    </xf>
    <xf numFmtId="9" fontId="118" fillId="0" borderId="0" xfId="0" applyNumberFormat="1" applyFont="1" applyAlignment="1">
      <alignment horizontal="right"/>
    </xf>
    <xf numFmtId="0" fontId="120" fillId="31" borderId="0" xfId="0" applyFont="1" applyFill="1"/>
    <xf numFmtId="3" fontId="120" fillId="31" borderId="0" xfId="0" applyNumberFormat="1" applyFont="1" applyFill="1" applyAlignment="1">
      <alignment horizontal="right"/>
    </xf>
    <xf numFmtId="9" fontId="120" fillId="31" borderId="0" xfId="0" applyNumberFormat="1" applyFont="1" applyFill="1" applyAlignment="1">
      <alignment horizontal="right"/>
    </xf>
    <xf numFmtId="3" fontId="120" fillId="31" borderId="3" xfId="0" applyNumberFormat="1" applyFont="1" applyFill="1" applyBorder="1" applyAlignment="1">
      <alignment horizontal="right"/>
    </xf>
    <xf numFmtId="0" fontId="118" fillId="30" borderId="0" xfId="0" applyFont="1" applyFill="1" applyAlignment="1">
      <alignment horizontal="right"/>
    </xf>
    <xf numFmtId="165" fontId="118" fillId="30" borderId="0" xfId="0" applyNumberFormat="1" applyFont="1" applyFill="1" applyAlignment="1">
      <alignment horizontal="right"/>
    </xf>
    <xf numFmtId="165" fontId="118" fillId="31" borderId="0" xfId="0" applyNumberFormat="1" applyFont="1" applyFill="1" applyAlignment="1">
      <alignment horizontal="right"/>
    </xf>
    <xf numFmtId="165" fontId="120" fillId="31" borderId="0" xfId="0" applyNumberFormat="1" applyFont="1" applyFill="1" applyAlignment="1">
      <alignment horizontal="right"/>
    </xf>
    <xf numFmtId="3" fontId="128" fillId="0" borderId="0" xfId="0" applyNumberFormat="1" applyFont="1" applyAlignment="1">
      <alignment horizontal="right"/>
    </xf>
    <xf numFmtId="3" fontId="264" fillId="0" borderId="0" xfId="0" applyNumberFormat="1" applyFont="1" applyAlignment="1">
      <alignment horizontal="right"/>
    </xf>
    <xf numFmtId="0" fontId="118" fillId="0" borderId="8" xfId="0" quotePrefix="1" applyFont="1" applyBorder="1"/>
    <xf numFmtId="3" fontId="118" fillId="0" borderId="8" xfId="0" applyNumberFormat="1" applyFont="1" applyBorder="1" applyAlignment="1">
      <alignment horizontal="right"/>
    </xf>
    <xf numFmtId="9" fontId="118" fillId="0" borderId="8" xfId="0" applyNumberFormat="1" applyFont="1" applyBorder="1" applyAlignment="1">
      <alignment horizontal="right"/>
    </xf>
    <xf numFmtId="3" fontId="118" fillId="30" borderId="0" xfId="0" applyNumberFormat="1" applyFont="1" applyFill="1" applyAlignment="1">
      <alignment horizontal="right"/>
    </xf>
    <xf numFmtId="9" fontId="118" fillId="30" borderId="0" xfId="0" applyNumberFormat="1" applyFont="1" applyFill="1" applyAlignment="1">
      <alignment horizontal="right"/>
    </xf>
    <xf numFmtId="9" fontId="264" fillId="30" borderId="0" xfId="0" applyNumberFormat="1" applyFont="1" applyFill="1" applyAlignment="1">
      <alignment horizontal="right"/>
    </xf>
    <xf numFmtId="3" fontId="128" fillId="31" borderId="0" xfId="0" applyNumberFormat="1" applyFont="1" applyFill="1" applyAlignment="1">
      <alignment horizontal="right"/>
    </xf>
    <xf numFmtId="3" fontId="120" fillId="0" borderId="0" xfId="0" applyNumberFormat="1" applyFont="1" applyAlignment="1">
      <alignment horizontal="right"/>
    </xf>
    <xf numFmtId="9" fontId="120" fillId="0" borderId="0" xfId="0" applyNumberFormat="1" applyFont="1" applyAlignment="1">
      <alignment horizontal="right"/>
    </xf>
    <xf numFmtId="0" fontId="118" fillId="31" borderId="0" xfId="0" quotePrefix="1" applyFont="1" applyFill="1"/>
    <xf numFmtId="3" fontId="265" fillId="31" borderId="0" xfId="0" applyNumberFormat="1" applyFont="1" applyFill="1" applyAlignment="1">
      <alignment horizontal="right"/>
    </xf>
    <xf numFmtId="3" fontId="265" fillId="0" borderId="0" xfId="0" applyNumberFormat="1" applyFont="1" applyAlignment="1">
      <alignment horizontal="right"/>
    </xf>
    <xf numFmtId="0" fontId="120" fillId="31" borderId="0" xfId="0" quotePrefix="1" applyFont="1" applyFill="1"/>
    <xf numFmtId="165" fontId="118" fillId="0" borderId="0" xfId="0" applyNumberFormat="1" applyFont="1" applyAlignment="1">
      <alignment horizontal="right"/>
    </xf>
    <xf numFmtId="170" fontId="118" fillId="0" borderId="0" xfId="0" applyNumberFormat="1" applyFont="1" applyAlignment="1">
      <alignment horizontal="right"/>
    </xf>
    <xf numFmtId="9" fontId="128" fillId="0" borderId="0" xfId="6" applyNumberFormat="1" applyFont="1"/>
    <xf numFmtId="3" fontId="118" fillId="0" borderId="0" xfId="2" applyNumberFormat="1" applyFont="1" applyAlignment="1">
      <alignment horizontal="center"/>
    </xf>
    <xf numFmtId="0" fontId="120" fillId="0" borderId="18" xfId="0" applyFont="1" applyBorder="1" applyAlignment="1">
      <alignment horizontal="center"/>
    </xf>
    <xf numFmtId="165" fontId="118" fillId="0" borderId="18" xfId="2" applyNumberFormat="1" applyFont="1" applyBorder="1" applyAlignment="1">
      <alignment horizontal="center"/>
    </xf>
    <xf numFmtId="165" fontId="118" fillId="0" borderId="12" xfId="2" applyNumberFormat="1" applyFont="1" applyBorder="1" applyAlignment="1">
      <alignment horizontal="center"/>
    </xf>
    <xf numFmtId="0" fontId="120" fillId="0" borderId="53" xfId="0" applyFont="1" applyBorder="1" applyAlignment="1">
      <alignment horizontal="center"/>
    </xf>
    <xf numFmtId="1" fontId="118" fillId="111" borderId="0" xfId="0" applyNumberFormat="1" applyFont="1" applyFill="1"/>
    <xf numFmtId="165" fontId="118" fillId="111" borderId="0" xfId="2" applyNumberFormat="1" applyFont="1" applyFill="1" applyAlignment="1">
      <alignment horizontal="center"/>
    </xf>
    <xf numFmtId="165" fontId="118" fillId="111" borderId="18" xfId="2" applyNumberFormat="1" applyFont="1" applyFill="1" applyBorder="1" applyAlignment="1">
      <alignment horizontal="center"/>
    </xf>
    <xf numFmtId="0" fontId="118" fillId="111" borderId="0" xfId="0" applyFont="1" applyFill="1"/>
    <xf numFmtId="3" fontId="118" fillId="111" borderId="0" xfId="2" applyNumberFormat="1" applyFont="1" applyFill="1" applyAlignment="1">
      <alignment horizontal="center"/>
    </xf>
    <xf numFmtId="3" fontId="118" fillId="111" borderId="18" xfId="2" applyNumberFormat="1" applyFont="1" applyFill="1" applyBorder="1" applyAlignment="1">
      <alignment horizontal="center"/>
    </xf>
    <xf numFmtId="0" fontId="118" fillId="112" borderId="0" xfId="0" applyFont="1" applyFill="1"/>
    <xf numFmtId="0" fontId="120" fillId="112" borderId="53" xfId="0" applyFont="1" applyFill="1" applyBorder="1" applyAlignment="1">
      <alignment horizontal="center"/>
    </xf>
    <xf numFmtId="0" fontId="120" fillId="112" borderId="0" xfId="0" applyFont="1" applyFill="1" applyAlignment="1">
      <alignment horizontal="center"/>
    </xf>
    <xf numFmtId="0" fontId="120" fillId="112" borderId="0" xfId="0" applyFont="1" applyFill="1"/>
    <xf numFmtId="0" fontId="120" fillId="112" borderId="18" xfId="0" applyFont="1" applyFill="1" applyBorder="1" applyAlignment="1">
      <alignment horizontal="center"/>
    </xf>
    <xf numFmtId="1" fontId="118" fillId="112" borderId="0" xfId="0" applyNumberFormat="1" applyFont="1" applyFill="1"/>
    <xf numFmtId="3" fontId="118" fillId="112" borderId="0" xfId="2" applyNumberFormat="1" applyFont="1" applyFill="1" applyAlignment="1">
      <alignment horizontal="center"/>
    </xf>
    <xf numFmtId="3" fontId="0" fillId="112" borderId="18" xfId="0" applyNumberFormat="1" applyFill="1" applyBorder="1" applyAlignment="1">
      <alignment horizontal="center"/>
    </xf>
    <xf numFmtId="3" fontId="118" fillId="112" borderId="18" xfId="2" applyNumberFormat="1" applyFont="1" applyFill="1" applyBorder="1" applyAlignment="1">
      <alignment horizontal="center"/>
    </xf>
    <xf numFmtId="0" fontId="0" fillId="112" borderId="0" xfId="0" applyFill="1" applyAlignment="1">
      <alignment horizontal="center"/>
    </xf>
    <xf numFmtId="0" fontId="118" fillId="111" borderId="18" xfId="0" applyFont="1" applyFill="1" applyBorder="1" applyAlignment="1">
      <alignment horizontal="center"/>
    </xf>
    <xf numFmtId="0" fontId="118" fillId="111" borderId="0" xfId="0" applyFont="1" applyFill="1" applyAlignment="1">
      <alignment horizontal="center"/>
    </xf>
    <xf numFmtId="3" fontId="120" fillId="0" borderId="0" xfId="0" applyNumberFormat="1" applyFont="1" applyAlignment="1">
      <alignment horizontal="center"/>
    </xf>
    <xf numFmtId="166" fontId="118" fillId="0" borderId="0" xfId="1" applyNumberFormat="1" applyFont="1" applyFill="1"/>
    <xf numFmtId="0" fontId="127" fillId="0" borderId="1" xfId="3" applyFont="1" applyBorder="1"/>
    <xf numFmtId="0" fontId="127" fillId="0" borderId="0" xfId="3" applyFont="1"/>
    <xf numFmtId="0" fontId="128" fillId="0" borderId="0" xfId="3" applyFont="1"/>
    <xf numFmtId="164" fontId="128" fillId="0" borderId="0" xfId="3" applyNumberFormat="1" applyFont="1"/>
    <xf numFmtId="164" fontId="127" fillId="0" borderId="0" xfId="3" applyNumberFormat="1" applyFont="1"/>
    <xf numFmtId="164" fontId="127" fillId="2" borderId="0" xfId="3" applyNumberFormat="1" applyFont="1" applyFill="1"/>
    <xf numFmtId="165" fontId="127" fillId="0" borderId="0" xfId="3" applyNumberFormat="1" applyFont="1"/>
    <xf numFmtId="9" fontId="127" fillId="0" borderId="0" xfId="3" applyNumberFormat="1" applyFont="1"/>
    <xf numFmtId="9" fontId="128" fillId="0" borderId="0" xfId="3" applyNumberFormat="1" applyFont="1"/>
    <xf numFmtId="0" fontId="266" fillId="0" borderId="0" xfId="3" quotePrefix="1" applyFont="1" applyAlignment="1">
      <alignment horizontal="right"/>
    </xf>
    <xf numFmtId="164" fontId="267" fillId="0" borderId="0" xfId="3" applyNumberFormat="1" applyFont="1"/>
    <xf numFmtId="9" fontId="267" fillId="0" borderId="0" xfId="3" applyNumberFormat="1" applyFont="1"/>
    <xf numFmtId="9" fontId="256" fillId="0" borderId="0" xfId="3" applyNumberFormat="1" applyFont="1" applyAlignment="1">
      <alignment horizontal="right"/>
    </xf>
    <xf numFmtId="164" fontId="255" fillId="0" borderId="0" xfId="3" applyNumberFormat="1" applyFont="1"/>
    <xf numFmtId="165" fontId="256" fillId="0" borderId="0" xfId="3" applyNumberFormat="1" applyFont="1"/>
    <xf numFmtId="165" fontId="128" fillId="0" borderId="0" xfId="3" applyNumberFormat="1" applyFont="1"/>
    <xf numFmtId="165" fontId="128" fillId="0" borderId="0" xfId="0" applyNumberFormat="1" applyFont="1"/>
    <xf numFmtId="0" fontId="267" fillId="0" borderId="0" xfId="3" applyFont="1"/>
    <xf numFmtId="164" fontId="128" fillId="2" borderId="0" xfId="3" applyNumberFormat="1" applyFont="1" applyFill="1"/>
    <xf numFmtId="165" fontId="128" fillId="0" borderId="0" xfId="2" applyNumberFormat="1" applyFont="1"/>
    <xf numFmtId="166" fontId="128" fillId="0" borderId="2" xfId="1" applyNumberFormat="1" applyFont="1" applyBorder="1"/>
    <xf numFmtId="43" fontId="128" fillId="0" borderId="3" xfId="1" applyFont="1" applyBorder="1"/>
    <xf numFmtId="166" fontId="128" fillId="0" borderId="4" xfId="3" applyNumberFormat="1" applyFont="1" applyBorder="1"/>
    <xf numFmtId="43" fontId="128" fillId="0" borderId="0" xfId="3" applyNumberFormat="1" applyFont="1"/>
    <xf numFmtId="43" fontId="128" fillId="0" borderId="5" xfId="1" applyFont="1" applyBorder="1"/>
    <xf numFmtId="43" fontId="128" fillId="0" borderId="0" xfId="1" applyFont="1" applyBorder="1"/>
    <xf numFmtId="9" fontId="128" fillId="0" borderId="0" xfId="1" applyNumberFormat="1" applyFont="1" applyBorder="1"/>
    <xf numFmtId="0" fontId="268" fillId="0" borderId="0" xfId="3" applyFont="1"/>
    <xf numFmtId="165" fontId="268" fillId="0" borderId="0" xfId="3" applyNumberFormat="1" applyFont="1"/>
    <xf numFmtId="43" fontId="128" fillId="0" borderId="0" xfId="1" applyFont="1"/>
    <xf numFmtId="166" fontId="127" fillId="0" borderId="0" xfId="3" applyNumberFormat="1" applyFont="1"/>
    <xf numFmtId="166" fontId="128" fillId="0" borderId="0" xfId="3" applyNumberFormat="1" applyFont="1"/>
    <xf numFmtId="43" fontId="128" fillId="0" borderId="0" xfId="0" applyNumberFormat="1" applyFont="1"/>
    <xf numFmtId="164" fontId="128" fillId="0" borderId="0" xfId="1" applyNumberFormat="1" applyFont="1" applyFill="1"/>
    <xf numFmtId="164" fontId="128" fillId="2" borderId="0" xfId="1" applyNumberFormat="1" applyFont="1" applyFill="1"/>
    <xf numFmtId="164" fontId="128" fillId="0" borderId="0" xfId="1" applyNumberFormat="1" applyFont="1"/>
    <xf numFmtId="166" fontId="128" fillId="0" borderId="0" xfId="1" applyNumberFormat="1" applyFont="1"/>
    <xf numFmtId="9" fontId="128" fillId="0" borderId="0" xfId="1" applyNumberFormat="1" applyFont="1"/>
    <xf numFmtId="9" fontId="128" fillId="2" borderId="0" xfId="3" applyNumberFormat="1" applyFont="1" applyFill="1"/>
    <xf numFmtId="164" fontId="127" fillId="2" borderId="0" xfId="1" applyNumberFormat="1" applyFont="1" applyFill="1"/>
    <xf numFmtId="0" fontId="128" fillId="0" borderId="0" xfId="3" quotePrefix="1" applyFont="1"/>
    <xf numFmtId="164" fontId="256" fillId="0" borderId="0" xfId="3" applyNumberFormat="1" applyFont="1"/>
    <xf numFmtId="164" fontId="128" fillId="3" borderId="0" xfId="1" applyNumberFormat="1" applyFont="1" applyFill="1"/>
    <xf numFmtId="165" fontId="128" fillId="0" borderId="0" xfId="2" applyNumberFormat="1" applyFont="1" applyFill="1"/>
    <xf numFmtId="165" fontId="128" fillId="2" borderId="0" xfId="2" applyNumberFormat="1" applyFont="1" applyFill="1"/>
    <xf numFmtId="2" fontId="264" fillId="0" borderId="0" xfId="3" applyNumberFormat="1" applyFont="1"/>
    <xf numFmtId="164" fontId="128" fillId="2" borderId="0" xfId="1" applyNumberFormat="1" applyFont="1" applyFill="1" applyBorder="1"/>
    <xf numFmtId="0" fontId="128" fillId="33" borderId="0" xfId="0" applyFont="1" applyFill="1"/>
    <xf numFmtId="165" fontId="128" fillId="2" borderId="0" xfId="3" applyNumberFormat="1" applyFont="1" applyFill="1"/>
    <xf numFmtId="164" fontId="128" fillId="0" borderId="3" xfId="3" applyNumberFormat="1" applyFont="1" applyBorder="1"/>
    <xf numFmtId="164" fontId="128" fillId="0" borderId="0" xfId="1" applyNumberFormat="1" applyFont="1" applyFill="1" applyBorder="1"/>
    <xf numFmtId="1" fontId="128" fillId="0" borderId="0" xfId="3" applyNumberFormat="1" applyFont="1"/>
    <xf numFmtId="165" fontId="128" fillId="0" borderId="0" xfId="1" applyNumberFormat="1" applyFont="1" applyFill="1"/>
    <xf numFmtId="43" fontId="128" fillId="2" borderId="0" xfId="1" applyFont="1" applyFill="1"/>
    <xf numFmtId="43" fontId="128" fillId="0" borderId="0" xfId="1" applyFont="1" applyFill="1"/>
    <xf numFmtId="168" fontId="128" fillId="0" borderId="0" xfId="3" applyNumberFormat="1" applyFont="1"/>
    <xf numFmtId="168" fontId="127" fillId="0" borderId="0" xfId="3" applyNumberFormat="1" applyFont="1"/>
    <xf numFmtId="164" fontId="127" fillId="3" borderId="0" xfId="3" applyNumberFormat="1" applyFont="1" applyFill="1"/>
    <xf numFmtId="164" fontId="127" fillId="0" borderId="0" xfId="1" applyNumberFormat="1" applyFont="1" applyFill="1"/>
    <xf numFmtId="2" fontId="127" fillId="0" borderId="0" xfId="3" applyNumberFormat="1" applyFont="1"/>
    <xf numFmtId="0" fontId="127" fillId="0" borderId="3" xfId="3" applyFont="1" applyBorder="1"/>
    <xf numFmtId="164" fontId="127" fillId="0" borderId="3" xfId="3" applyNumberFormat="1" applyFont="1" applyBorder="1"/>
    <xf numFmtId="0" fontId="269" fillId="0" borderId="0" xfId="0" applyFont="1"/>
    <xf numFmtId="0" fontId="216" fillId="0" borderId="0" xfId="0" applyFont="1"/>
    <xf numFmtId="0" fontId="269" fillId="0" borderId="87" xfId="0" applyFont="1" applyBorder="1"/>
    <xf numFmtId="0" fontId="270" fillId="0" borderId="0" xfId="0" applyFont="1"/>
    <xf numFmtId="0" fontId="270" fillId="0" borderId="0" xfId="0" applyFont="1" applyAlignment="1">
      <alignment horizontal="center"/>
    </xf>
    <xf numFmtId="0" fontId="270" fillId="3" borderId="0" xfId="0" applyFont="1" applyFill="1"/>
    <xf numFmtId="1" fontId="270" fillId="0" borderId="0" xfId="0" applyNumberFormat="1" applyFont="1"/>
    <xf numFmtId="169" fontId="270" fillId="0" borderId="0" xfId="0" applyNumberFormat="1" applyFont="1"/>
    <xf numFmtId="9" fontId="270" fillId="0" borderId="0" xfId="0" applyNumberFormat="1" applyFont="1"/>
    <xf numFmtId="9" fontId="270" fillId="3" borderId="0" xfId="0" applyNumberFormat="1" applyFont="1" applyFill="1"/>
    <xf numFmtId="3" fontId="270" fillId="0" borderId="0" xfId="0" applyNumberFormat="1" applyFont="1"/>
    <xf numFmtId="255" fontId="270" fillId="0" borderId="0" xfId="0" applyNumberFormat="1" applyFont="1"/>
    <xf numFmtId="170" fontId="270" fillId="0" borderId="0" xfId="0" applyNumberFormat="1" applyFont="1"/>
    <xf numFmtId="0" fontId="272" fillId="0" borderId="0" xfId="0" applyFont="1"/>
    <xf numFmtId="3" fontId="272" fillId="0" borderId="0" xfId="0" applyNumberFormat="1" applyFont="1"/>
    <xf numFmtId="4" fontId="270" fillId="3" borderId="0" xfId="0" applyNumberFormat="1" applyFont="1" applyFill="1"/>
    <xf numFmtId="9" fontId="117" fillId="0" borderId="0" xfId="0" applyNumberFormat="1" applyFont="1" applyAlignment="1">
      <alignment horizontal="right"/>
    </xf>
    <xf numFmtId="9" fontId="116" fillId="0" borderId="0" xfId="0" applyNumberFormat="1" applyFont="1" applyAlignment="1">
      <alignment horizontal="right"/>
    </xf>
    <xf numFmtId="3" fontId="272" fillId="0" borderId="3" xfId="0" applyNumberFormat="1" applyFont="1" applyBorder="1"/>
    <xf numFmtId="0" fontId="269" fillId="0" borderId="36" xfId="0" applyFont="1" applyBorder="1"/>
    <xf numFmtId="9" fontId="269" fillId="3" borderId="88" xfId="0" applyNumberFormat="1" applyFont="1" applyFill="1" applyBorder="1"/>
    <xf numFmtId="9" fontId="271" fillId="0" borderId="0" xfId="0" applyNumberFormat="1" applyFont="1"/>
    <xf numFmtId="0" fontId="269" fillId="113" borderId="0" xfId="0" applyFont="1" applyFill="1"/>
    <xf numFmtId="0" fontId="270" fillId="113" borderId="0" xfId="0" applyFont="1" applyFill="1"/>
    <xf numFmtId="0" fontId="0" fillId="0" borderId="1" xfId="0" applyBorder="1" applyAlignment="1">
      <alignment horizontal="center"/>
    </xf>
    <xf numFmtId="0" fontId="270" fillId="0" borderId="1" xfId="0" applyFont="1" applyBorder="1"/>
    <xf numFmtId="0" fontId="269" fillId="0" borderId="1" xfId="0" applyFont="1" applyBorder="1"/>
    <xf numFmtId="255" fontId="269" fillId="0" borderId="1" xfId="0" applyNumberFormat="1" applyFont="1" applyBorder="1"/>
    <xf numFmtId="255" fontId="269" fillId="0" borderId="88" xfId="0" applyNumberFormat="1" applyFont="1" applyBorder="1"/>
    <xf numFmtId="9" fontId="0" fillId="0" borderId="0" xfId="2" applyFont="1"/>
    <xf numFmtId="0" fontId="273" fillId="0" borderId="0" xfId="0" applyFont="1"/>
    <xf numFmtId="0" fontId="274" fillId="0" borderId="87" xfId="0" applyFont="1" applyBorder="1"/>
    <xf numFmtId="0" fontId="275" fillId="0" borderId="0" xfId="0" applyFont="1"/>
    <xf numFmtId="0" fontId="275" fillId="0" borderId="0" xfId="0" applyFont="1" applyAlignment="1">
      <alignment horizontal="right"/>
    </xf>
    <xf numFmtId="165" fontId="273" fillId="0" borderId="0" xfId="2" applyNumberFormat="1" applyFont="1"/>
    <xf numFmtId="1" fontId="275" fillId="0" borderId="0" xfId="0" applyNumberFormat="1" applyFont="1"/>
    <xf numFmtId="0" fontId="276" fillId="0" borderId="87" xfId="0" applyFont="1" applyBorder="1"/>
    <xf numFmtId="9" fontId="275" fillId="0" borderId="0" xfId="0" applyNumberFormat="1" applyFont="1"/>
    <xf numFmtId="165" fontId="275" fillId="0" borderId="0" xfId="0" applyNumberFormat="1" applyFont="1"/>
    <xf numFmtId="1" fontId="0" fillId="0" borderId="10" xfId="0" applyNumberFormat="1" applyBorder="1"/>
    <xf numFmtId="0" fontId="272" fillId="113" borderId="0" xfId="0" applyFont="1" applyFill="1"/>
    <xf numFmtId="3" fontId="271" fillId="0" borderId="0" xfId="0" applyNumberFormat="1" applyFont="1"/>
    <xf numFmtId="0" fontId="216" fillId="0" borderId="36" xfId="0" applyFont="1" applyBorder="1"/>
    <xf numFmtId="0" fontId="216" fillId="0" borderId="1" xfId="0" applyFont="1" applyBorder="1"/>
    <xf numFmtId="165" fontId="216" fillId="0" borderId="1" xfId="0" applyNumberFormat="1" applyFont="1" applyBorder="1"/>
    <xf numFmtId="165" fontId="216" fillId="0" borderId="88" xfId="0" applyNumberFormat="1" applyFont="1" applyBorder="1"/>
    <xf numFmtId="255" fontId="272" fillId="0" borderId="0" xfId="0" applyNumberFormat="1" applyFont="1"/>
    <xf numFmtId="3" fontId="216" fillId="0" borderId="0" xfId="0" applyNumberFormat="1" applyFont="1"/>
    <xf numFmtId="0" fontId="277" fillId="0" borderId="0" xfId="0" applyFont="1"/>
    <xf numFmtId="3" fontId="278" fillId="0" borderId="0" xfId="0" applyNumberFormat="1" applyFont="1"/>
    <xf numFmtId="3" fontId="277" fillId="3" borderId="0" xfId="0" applyNumberFormat="1" applyFont="1" applyFill="1"/>
    <xf numFmtId="0" fontId="279" fillId="0" borderId="0" xfId="0" applyFont="1" applyAlignment="1">
      <alignment horizontal="center"/>
    </xf>
    <xf numFmtId="9" fontId="270" fillId="3" borderId="0" xfId="2" applyFont="1" applyFill="1"/>
    <xf numFmtId="0" fontId="269" fillId="113" borderId="0" xfId="0" applyFont="1" applyFill="1" applyAlignment="1">
      <alignment vertical="center"/>
    </xf>
    <xf numFmtId="3" fontId="270" fillId="3" borderId="0" xfId="0" applyNumberFormat="1" applyFont="1" applyFill="1"/>
    <xf numFmtId="9" fontId="270" fillId="0" borderId="0" xfId="2" applyFont="1" applyFill="1"/>
    <xf numFmtId="0" fontId="280" fillId="0" borderId="0" xfId="0" applyFont="1"/>
    <xf numFmtId="0" fontId="140" fillId="0" borderId="0" xfId="0" applyFont="1"/>
    <xf numFmtId="0" fontId="118" fillId="114" borderId="0" xfId="0" applyFont="1" applyFill="1"/>
    <xf numFmtId="0" fontId="118" fillId="114" borderId="0" xfId="0" applyFont="1" applyFill="1" applyAlignment="1">
      <alignment horizontal="right"/>
    </xf>
    <xf numFmtId="9" fontId="118" fillId="114" borderId="0" xfId="0" applyNumberFormat="1" applyFont="1" applyFill="1"/>
    <xf numFmtId="3" fontId="256" fillId="114" borderId="0" xfId="0" applyNumberFormat="1" applyFont="1" applyFill="1"/>
    <xf numFmtId="1" fontId="118" fillId="114" borderId="0" xfId="0" applyNumberFormat="1" applyFont="1" applyFill="1"/>
    <xf numFmtId="1" fontId="256" fillId="114" borderId="0" xfId="0" applyNumberFormat="1" applyFont="1" applyFill="1"/>
    <xf numFmtId="1" fontId="118" fillId="114" borderId="3" xfId="0" applyNumberFormat="1" applyFont="1" applyFill="1" applyBorder="1"/>
    <xf numFmtId="165" fontId="118" fillId="114" borderId="0" xfId="0" applyNumberFormat="1" applyFont="1" applyFill="1"/>
    <xf numFmtId="2" fontId="118" fillId="114" borderId="0" xfId="0" applyNumberFormat="1" applyFont="1" applyFill="1"/>
    <xf numFmtId="169" fontId="128" fillId="114" borderId="0" xfId="0" applyNumberFormat="1" applyFont="1" applyFill="1"/>
    <xf numFmtId="169" fontId="118" fillId="114" borderId="0" xfId="0" applyNumberFormat="1" applyFont="1" applyFill="1"/>
    <xf numFmtId="0" fontId="256" fillId="114" borderId="0" xfId="0" applyFont="1" applyFill="1"/>
    <xf numFmtId="1" fontId="128" fillId="114" borderId="0" xfId="0" applyNumberFormat="1" applyFont="1" applyFill="1"/>
    <xf numFmtId="165" fontId="256" fillId="114" borderId="0" xfId="2" applyNumberFormat="1" applyFont="1" applyFill="1" applyBorder="1"/>
    <xf numFmtId="1" fontId="120" fillId="114" borderId="0" xfId="0" applyNumberFormat="1" applyFont="1" applyFill="1"/>
    <xf numFmtId="0" fontId="255" fillId="114" borderId="0" xfId="0" applyFont="1" applyFill="1"/>
    <xf numFmtId="165" fontId="120" fillId="114" borderId="0" xfId="0" applyNumberFormat="1" applyFont="1" applyFill="1"/>
    <xf numFmtId="165" fontId="257" fillId="114" borderId="0" xfId="0" applyNumberFormat="1" applyFont="1" applyFill="1"/>
    <xf numFmtId="1" fontId="257" fillId="114" borderId="0" xfId="0" applyNumberFormat="1" applyFont="1" applyFill="1"/>
    <xf numFmtId="169" fontId="120" fillId="114" borderId="0" xfId="0" applyNumberFormat="1" applyFont="1" applyFill="1"/>
    <xf numFmtId="169" fontId="256" fillId="114" borderId="0" xfId="0" applyNumberFormat="1" applyFont="1" applyFill="1"/>
    <xf numFmtId="9" fontId="120" fillId="114" borderId="0" xfId="0" applyNumberFormat="1" applyFont="1" applyFill="1"/>
    <xf numFmtId="165" fontId="256" fillId="114" borderId="0" xfId="0" applyNumberFormat="1" applyFont="1" applyFill="1"/>
    <xf numFmtId="9" fontId="118" fillId="114" borderId="87" xfId="0" applyNumberFormat="1" applyFont="1" applyFill="1" applyBorder="1"/>
    <xf numFmtId="0" fontId="281" fillId="0" borderId="0" xfId="229" applyFont="1" applyAlignment="1">
      <alignment horizontal="right"/>
    </xf>
    <xf numFmtId="168" fontId="282" fillId="0" borderId="0" xfId="229" applyNumberFormat="1" applyFont="1"/>
    <xf numFmtId="0" fontId="118" fillId="25" borderId="0" xfId="0" applyFont="1" applyFill="1"/>
    <xf numFmtId="167" fontId="128" fillId="0" borderId="0" xfId="3" applyNumberFormat="1" applyFont="1"/>
    <xf numFmtId="0" fontId="118" fillId="115" borderId="0" xfId="0" applyFont="1" applyFill="1"/>
    <xf numFmtId="9" fontId="118" fillId="115" borderId="0" xfId="0" applyNumberFormat="1" applyFont="1" applyFill="1"/>
    <xf numFmtId="3" fontId="256" fillId="115" borderId="0" xfId="0" applyNumberFormat="1" applyFont="1" applyFill="1"/>
    <xf numFmtId="1" fontId="118" fillId="115" borderId="0" xfId="0" applyNumberFormat="1" applyFont="1" applyFill="1"/>
    <xf numFmtId="1" fontId="256" fillId="115" borderId="0" xfId="0" applyNumberFormat="1" applyFont="1" applyFill="1"/>
    <xf numFmtId="1" fontId="118" fillId="115" borderId="3" xfId="0" applyNumberFormat="1" applyFont="1" applyFill="1" applyBorder="1"/>
    <xf numFmtId="165" fontId="118" fillId="115" borderId="0" xfId="0" applyNumberFormat="1" applyFont="1" applyFill="1"/>
    <xf numFmtId="2" fontId="118" fillId="115" borderId="0" xfId="0" applyNumberFormat="1" applyFont="1" applyFill="1"/>
    <xf numFmtId="169" fontId="128" fillId="115" borderId="0" xfId="0" applyNumberFormat="1" applyFont="1" applyFill="1"/>
    <xf numFmtId="169" fontId="118" fillId="115" borderId="0" xfId="0" applyNumberFormat="1" applyFont="1" applyFill="1"/>
    <xf numFmtId="0" fontId="256" fillId="115" borderId="0" xfId="0" applyFont="1" applyFill="1"/>
    <xf numFmtId="1" fontId="118" fillId="115" borderId="87" xfId="0" applyNumberFormat="1" applyFont="1" applyFill="1" applyBorder="1"/>
    <xf numFmtId="0" fontId="256" fillId="115" borderId="87" xfId="0" applyFont="1" applyFill="1" applyBorder="1"/>
    <xf numFmtId="1" fontId="128" fillId="115" borderId="0" xfId="0" applyNumberFormat="1" applyFont="1" applyFill="1"/>
    <xf numFmtId="165" fontId="256" fillId="115" borderId="0" xfId="2" applyNumberFormat="1" applyFont="1" applyFill="1" applyBorder="1"/>
    <xf numFmtId="1" fontId="120" fillId="115" borderId="0" xfId="0" applyNumberFormat="1" applyFont="1" applyFill="1"/>
    <xf numFmtId="0" fontId="255" fillId="115" borderId="0" xfId="0" applyFont="1" applyFill="1"/>
    <xf numFmtId="165" fontId="120" fillId="115" borderId="0" xfId="0" applyNumberFormat="1" applyFont="1" applyFill="1"/>
    <xf numFmtId="165" fontId="257" fillId="115" borderId="0" xfId="0" applyNumberFormat="1" applyFont="1" applyFill="1"/>
    <xf numFmtId="1" fontId="257" fillId="115" borderId="0" xfId="0" applyNumberFormat="1" applyFont="1" applyFill="1"/>
    <xf numFmtId="165" fontId="118" fillId="115" borderId="87" xfId="0" applyNumberFormat="1" applyFont="1" applyFill="1" applyBorder="1"/>
    <xf numFmtId="169" fontId="120" fillId="115" borderId="0" xfId="0" applyNumberFormat="1" applyFont="1" applyFill="1"/>
    <xf numFmtId="169" fontId="256" fillId="115" borderId="0" xfId="0" applyNumberFormat="1" applyFont="1" applyFill="1"/>
    <xf numFmtId="9" fontId="120" fillId="115" borderId="0" xfId="0" applyNumberFormat="1" applyFont="1" applyFill="1"/>
    <xf numFmtId="9" fontId="256" fillId="115" borderId="0" xfId="0" applyNumberFormat="1" applyFont="1" applyFill="1"/>
    <xf numFmtId="9" fontId="118" fillId="115" borderId="87" xfId="0" applyNumberFormat="1" applyFont="1" applyFill="1" applyBorder="1"/>
    <xf numFmtId="0" fontId="126" fillId="115" borderId="0" xfId="0" applyFont="1" applyFill="1" applyAlignment="1">
      <alignment horizontal="right"/>
    </xf>
    <xf numFmtId="0" fontId="126" fillId="115" borderId="39" xfId="0" applyFont="1" applyFill="1" applyBorder="1" applyAlignment="1">
      <alignment horizontal="right"/>
    </xf>
    <xf numFmtId="0" fontId="126" fillId="115" borderId="40" xfId="0" applyFont="1" applyFill="1" applyBorder="1" applyAlignment="1">
      <alignment horizontal="right"/>
    </xf>
    <xf numFmtId="0" fontId="259" fillId="115" borderId="47" xfId="229" applyFont="1" applyFill="1" applyBorder="1" applyAlignment="1">
      <alignment horizontal="right"/>
    </xf>
    <xf numFmtId="0" fontId="259" fillId="115" borderId="48" xfId="229" applyFont="1" applyFill="1" applyBorder="1" applyAlignment="1">
      <alignment horizontal="right"/>
    </xf>
    <xf numFmtId="9" fontId="120" fillId="31" borderId="3" xfId="0" applyNumberFormat="1" applyFont="1" applyFill="1" applyBorder="1" applyAlignment="1">
      <alignment horizontal="right"/>
    </xf>
    <xf numFmtId="0" fontId="118" fillId="31" borderId="3" xfId="0" applyFont="1" applyFill="1" applyBorder="1" applyAlignment="1">
      <alignment horizontal="right"/>
    </xf>
    <xf numFmtId="0" fontId="120" fillId="115" borderId="0" xfId="0" applyFont="1" applyFill="1" applyAlignment="1">
      <alignment horizontal="right"/>
    </xf>
    <xf numFmtId="0" fontId="120" fillId="25" borderId="0" xfId="0" applyFont="1" applyFill="1"/>
    <xf numFmtId="1" fontId="118" fillId="0" borderId="10" xfId="0" applyNumberFormat="1" applyFont="1" applyBorder="1"/>
    <xf numFmtId="0" fontId="120" fillId="0" borderId="3" xfId="0" applyFont="1" applyBorder="1"/>
    <xf numFmtId="1" fontId="120" fillId="115" borderId="3" xfId="0" applyNumberFormat="1" applyFont="1" applyFill="1" applyBorder="1"/>
    <xf numFmtId="0" fontId="117" fillId="0" borderId="87" xfId="0" applyFont="1" applyBorder="1"/>
    <xf numFmtId="1" fontId="117" fillId="0" borderId="0" xfId="0" applyNumberFormat="1" applyFont="1" applyAlignment="1">
      <alignment horizontal="left"/>
    </xf>
    <xf numFmtId="168" fontId="129" fillId="116" borderId="0" xfId="229" applyNumberFormat="1" applyFont="1" applyFill="1"/>
    <xf numFmtId="3" fontId="118" fillId="115" borderId="0" xfId="0" applyNumberFormat="1" applyFont="1" applyFill="1"/>
    <xf numFmtId="0" fontId="0" fillId="115" borderId="0" xfId="0" applyFill="1"/>
    <xf numFmtId="1" fontId="127" fillId="115" borderId="0" xfId="0" applyNumberFormat="1" applyFont="1" applyFill="1"/>
    <xf numFmtId="0" fontId="127" fillId="0" borderId="1" xfId="6" applyFont="1" applyBorder="1"/>
    <xf numFmtId="0" fontId="128" fillId="117" borderId="0" xfId="6" applyFont="1" applyFill="1"/>
    <xf numFmtId="3" fontId="128" fillId="118" borderId="0" xfId="7" applyNumberFormat="1" applyFont="1" applyFill="1" applyBorder="1"/>
    <xf numFmtId="0" fontId="127" fillId="117" borderId="3" xfId="457" applyFont="1" applyFill="1" applyBorder="1"/>
    <xf numFmtId="164" fontId="127" fillId="118" borderId="3" xfId="7" applyNumberFormat="1" applyFont="1" applyFill="1" applyBorder="1"/>
    <xf numFmtId="0" fontId="127" fillId="117" borderId="0" xfId="457" applyFont="1" applyFill="1"/>
    <xf numFmtId="0" fontId="128" fillId="117" borderId="3" xfId="6" applyFont="1" applyFill="1" applyBorder="1"/>
    <xf numFmtId="164" fontId="128" fillId="118" borderId="3" xfId="7" applyNumberFormat="1" applyFont="1" applyFill="1" applyBorder="1"/>
    <xf numFmtId="164" fontId="128" fillId="118" borderId="0" xfId="7" applyNumberFormat="1" applyFont="1" applyFill="1" applyBorder="1"/>
    <xf numFmtId="0" fontId="127" fillId="117" borderId="3" xfId="6" applyFont="1" applyFill="1" applyBorder="1"/>
    <xf numFmtId="164" fontId="264" fillId="118" borderId="0" xfId="7" applyNumberFormat="1" applyFont="1" applyFill="1" applyBorder="1"/>
    <xf numFmtId="0" fontId="118" fillId="30" borderId="0" xfId="0" quotePrefix="1" applyFont="1" applyFill="1"/>
    <xf numFmtId="3" fontId="120" fillId="30" borderId="0" xfId="0" applyNumberFormat="1" applyFont="1" applyFill="1" applyAlignment="1">
      <alignment horizontal="right"/>
    </xf>
    <xf numFmtId="0" fontId="120" fillId="30" borderId="0" xfId="0" applyFont="1" applyFill="1"/>
    <xf numFmtId="3" fontId="265" fillId="30" borderId="0" xfId="0" applyNumberFormat="1" applyFont="1" applyFill="1" applyAlignment="1">
      <alignment horizontal="right"/>
    </xf>
    <xf numFmtId="9" fontId="120" fillId="30" borderId="0" xfId="0" applyNumberFormat="1" applyFont="1" applyFill="1" applyAlignment="1">
      <alignment horizontal="right"/>
    </xf>
    <xf numFmtId="0" fontId="120" fillId="30" borderId="0" xfId="0" applyFont="1" applyFill="1" applyAlignment="1">
      <alignment horizontal="right"/>
    </xf>
    <xf numFmtId="3" fontId="264" fillId="31" borderId="0" xfId="0" applyNumberFormat="1" applyFont="1" applyFill="1" applyAlignment="1">
      <alignment horizontal="right"/>
    </xf>
    <xf numFmtId="0" fontId="125" fillId="0" borderId="0" xfId="412" applyFont="1" applyAlignment="1">
      <alignment horizontal="right"/>
    </xf>
    <xf numFmtId="0" fontId="125" fillId="31" borderId="0" xfId="412" applyFont="1" applyFill="1"/>
    <xf numFmtId="3" fontId="125" fillId="31" borderId="0" xfId="412" applyNumberFormat="1" applyFont="1" applyFill="1"/>
    <xf numFmtId="0" fontId="125" fillId="0" borderId="0" xfId="412" applyFont="1"/>
    <xf numFmtId="169" fontId="125" fillId="31" borderId="0" xfId="412" applyNumberFormat="1" applyFont="1" applyFill="1"/>
    <xf numFmtId="3" fontId="125" fillId="0" borderId="0" xfId="412" applyNumberFormat="1" applyFont="1"/>
    <xf numFmtId="169" fontId="125" fillId="0" borderId="0" xfId="412" applyNumberFormat="1" applyFont="1"/>
    <xf numFmtId="165" fontId="125" fillId="0" borderId="0" xfId="412" applyNumberFormat="1" applyFont="1"/>
    <xf numFmtId="165" fontId="125" fillId="31" borderId="0" xfId="412" applyNumberFormat="1" applyFont="1" applyFill="1"/>
    <xf numFmtId="0" fontId="262" fillId="0" borderId="0" xfId="412" applyFont="1"/>
    <xf numFmtId="0" fontId="283" fillId="0" borderId="0" xfId="412" applyFont="1"/>
    <xf numFmtId="0" fontId="115" fillId="31" borderId="0" xfId="412" applyFill="1"/>
    <xf numFmtId="0" fontId="125" fillId="31" borderId="0" xfId="412" quotePrefix="1" applyFont="1" applyFill="1"/>
    <xf numFmtId="0" fontId="125" fillId="0" borderId="0" xfId="412" quotePrefix="1" applyFont="1"/>
    <xf numFmtId="165" fontId="125" fillId="0" borderId="0" xfId="2" applyNumberFormat="1" applyFont="1" applyFill="1"/>
    <xf numFmtId="2" fontId="125" fillId="31" borderId="0" xfId="412" applyNumberFormat="1" applyFont="1" applyFill="1"/>
    <xf numFmtId="2" fontId="125" fillId="0" borderId="0" xfId="412" applyNumberFormat="1" applyFont="1"/>
    <xf numFmtId="255" fontId="125" fillId="0" borderId="0" xfId="412" applyNumberFormat="1" applyFont="1"/>
    <xf numFmtId="0" fontId="118" fillId="28" borderId="0" xfId="0" applyFont="1" applyFill="1"/>
    <xf numFmtId="0" fontId="120" fillId="28" borderId="0" xfId="0" applyFont="1" applyFill="1" applyAlignment="1">
      <alignment horizontal="right"/>
    </xf>
    <xf numFmtId="9" fontId="118" fillId="28" borderId="0" xfId="0" applyNumberFormat="1" applyFont="1" applyFill="1"/>
    <xf numFmtId="1" fontId="256" fillId="28" borderId="0" xfId="0" applyNumberFormat="1" applyFont="1" applyFill="1"/>
    <xf numFmtId="1" fontId="118" fillId="28" borderId="0" xfId="0" applyNumberFormat="1" applyFont="1" applyFill="1"/>
    <xf numFmtId="1" fontId="118" fillId="28" borderId="3" xfId="0" applyNumberFormat="1" applyFont="1" applyFill="1" applyBorder="1"/>
    <xf numFmtId="165" fontId="118" fillId="28" borderId="0" xfId="0" applyNumberFormat="1" applyFont="1" applyFill="1"/>
    <xf numFmtId="2" fontId="118" fillId="28" borderId="0" xfId="0" applyNumberFormat="1" applyFont="1" applyFill="1"/>
    <xf numFmtId="165" fontId="256" fillId="28" borderId="0" xfId="2" applyNumberFormat="1" applyFont="1" applyFill="1" applyBorder="1"/>
    <xf numFmtId="1" fontId="118" fillId="28" borderId="87" xfId="0" applyNumberFormat="1" applyFont="1" applyFill="1" applyBorder="1"/>
    <xf numFmtId="169" fontId="128" fillId="28" borderId="0" xfId="0" applyNumberFormat="1" applyFont="1" applyFill="1"/>
    <xf numFmtId="169" fontId="118" fillId="28" borderId="0" xfId="0" applyNumberFormat="1" applyFont="1" applyFill="1"/>
    <xf numFmtId="1" fontId="128" fillId="28" borderId="0" xfId="0" applyNumberFormat="1" applyFont="1" applyFill="1"/>
    <xf numFmtId="1" fontId="120" fillId="28" borderId="0" xfId="0" applyNumberFormat="1" applyFont="1" applyFill="1"/>
    <xf numFmtId="0" fontId="0" fillId="28" borderId="0" xfId="0" applyFill="1"/>
    <xf numFmtId="1" fontId="127" fillId="28" borderId="0" xfId="0" applyNumberFormat="1" applyFont="1" applyFill="1"/>
    <xf numFmtId="165" fontId="255" fillId="28" borderId="0" xfId="0" applyNumberFormat="1" applyFont="1" applyFill="1"/>
    <xf numFmtId="165" fontId="257" fillId="28" borderId="0" xfId="0" applyNumberFormat="1" applyFont="1" applyFill="1"/>
    <xf numFmtId="1" fontId="257" fillId="28" borderId="0" xfId="0" applyNumberFormat="1" applyFont="1" applyFill="1"/>
    <xf numFmtId="0" fontId="255" fillId="28" borderId="0" xfId="0" applyFont="1" applyFill="1"/>
    <xf numFmtId="169" fontId="120" fillId="28" borderId="0" xfId="0" applyNumberFormat="1" applyFont="1" applyFill="1"/>
    <xf numFmtId="169" fontId="256" fillId="28" borderId="0" xfId="0" applyNumberFormat="1" applyFont="1" applyFill="1"/>
    <xf numFmtId="9" fontId="120" fillId="28" borderId="0" xfId="0" applyNumberFormat="1" applyFont="1" applyFill="1"/>
    <xf numFmtId="0" fontId="120" fillId="28" borderId="0" xfId="0" applyFont="1" applyFill="1"/>
    <xf numFmtId="165" fontId="120" fillId="28" borderId="0" xfId="0" applyNumberFormat="1" applyFont="1" applyFill="1"/>
    <xf numFmtId="1" fontId="284" fillId="0" borderId="0" xfId="0" applyNumberFormat="1" applyFont="1"/>
    <xf numFmtId="169" fontId="284" fillId="0" borderId="0" xfId="0" applyNumberFormat="1" applyFont="1"/>
    <xf numFmtId="165" fontId="286" fillId="0" borderId="0" xfId="0" applyNumberFormat="1" applyFont="1"/>
    <xf numFmtId="3" fontId="288" fillId="0" borderId="0" xfId="0" applyNumberFormat="1" applyFont="1"/>
    <xf numFmtId="10" fontId="118" fillId="0" borderId="0" xfId="0" applyNumberFormat="1" applyFont="1"/>
    <xf numFmtId="10" fontId="118" fillId="3" borderId="0" xfId="0" applyNumberFormat="1" applyFont="1" applyFill="1"/>
    <xf numFmtId="3" fontId="289" fillId="0" borderId="0" xfId="0" applyNumberFormat="1" applyFont="1"/>
    <xf numFmtId="1" fontId="288" fillId="0" borderId="0" xfId="0" applyNumberFormat="1" applyFont="1"/>
    <xf numFmtId="0" fontId="118" fillId="113" borderId="0" xfId="0" applyFont="1" applyFill="1"/>
    <xf numFmtId="0" fontId="120" fillId="113" borderId="0" xfId="0" applyFont="1" applyFill="1" applyAlignment="1">
      <alignment horizontal="right"/>
    </xf>
    <xf numFmtId="9" fontId="118" fillId="113" borderId="0" xfId="0" applyNumberFormat="1" applyFont="1" applyFill="1"/>
    <xf numFmtId="1" fontId="256" fillId="113" borderId="0" xfId="0" applyNumberFormat="1" applyFont="1" applyFill="1"/>
    <xf numFmtId="1" fontId="118" fillId="113" borderId="0" xfId="0" applyNumberFormat="1" applyFont="1" applyFill="1"/>
    <xf numFmtId="1" fontId="118" fillId="113" borderId="3" xfId="0" applyNumberFormat="1" applyFont="1" applyFill="1" applyBorder="1"/>
    <xf numFmtId="165" fontId="118" fillId="113" borderId="0" xfId="0" applyNumberFormat="1" applyFont="1" applyFill="1"/>
    <xf numFmtId="2" fontId="118" fillId="113" borderId="0" xfId="0" applyNumberFormat="1" applyFont="1" applyFill="1"/>
    <xf numFmtId="165" fontId="256" fillId="113" borderId="0" xfId="2" applyNumberFormat="1" applyFont="1" applyFill="1" applyBorder="1"/>
    <xf numFmtId="169" fontId="128" fillId="113" borderId="0" xfId="0" applyNumberFormat="1" applyFont="1" applyFill="1"/>
    <xf numFmtId="169" fontId="118" fillId="113" borderId="0" xfId="0" applyNumberFormat="1" applyFont="1" applyFill="1"/>
    <xf numFmtId="1" fontId="128" fillId="113" borderId="0" xfId="0" applyNumberFormat="1" applyFont="1" applyFill="1"/>
    <xf numFmtId="1" fontId="120" fillId="113" borderId="0" xfId="0" applyNumberFormat="1" applyFont="1" applyFill="1"/>
    <xf numFmtId="0" fontId="0" fillId="113" borderId="0" xfId="0" applyFill="1"/>
    <xf numFmtId="1" fontId="127" fillId="113" borderId="0" xfId="0" applyNumberFormat="1" applyFont="1" applyFill="1"/>
    <xf numFmtId="165" fontId="255" fillId="113" borderId="0" xfId="0" applyNumberFormat="1" applyFont="1" applyFill="1"/>
    <xf numFmtId="165" fontId="120" fillId="113" borderId="0" xfId="0" applyNumberFormat="1" applyFont="1" applyFill="1"/>
    <xf numFmtId="165" fontId="257" fillId="113" borderId="0" xfId="0" applyNumberFormat="1" applyFont="1" applyFill="1"/>
    <xf numFmtId="1" fontId="257" fillId="113" borderId="0" xfId="0" applyNumberFormat="1" applyFont="1" applyFill="1"/>
    <xf numFmtId="0" fontId="255" fillId="113" borderId="0" xfId="0" applyFont="1" applyFill="1"/>
    <xf numFmtId="169" fontId="120" fillId="113" borderId="0" xfId="0" applyNumberFormat="1" applyFont="1" applyFill="1"/>
    <xf numFmtId="169" fontId="256" fillId="113" borderId="0" xfId="0" applyNumberFormat="1" applyFont="1" applyFill="1"/>
    <xf numFmtId="9" fontId="120" fillId="113" borderId="0" xfId="0" applyNumberFormat="1" applyFont="1" applyFill="1"/>
    <xf numFmtId="9" fontId="285" fillId="0" borderId="0" xfId="0" applyNumberFormat="1" applyFont="1" applyAlignment="1">
      <alignment horizontal="right"/>
    </xf>
    <xf numFmtId="165" fontId="120" fillId="0" borderId="0" xfId="0" applyNumberFormat="1" applyFont="1" applyAlignment="1">
      <alignment horizontal="right"/>
    </xf>
    <xf numFmtId="165" fontId="287" fillId="0" borderId="0" xfId="0" applyNumberFormat="1" applyFont="1" applyAlignment="1">
      <alignment horizontal="right"/>
    </xf>
    <xf numFmtId="165" fontId="257" fillId="0" borderId="0" xfId="0" applyNumberFormat="1" applyFont="1" applyAlignment="1">
      <alignment horizontal="right"/>
    </xf>
    <xf numFmtId="0" fontId="0" fillId="113" borderId="0" xfId="0" applyFill="1" applyAlignment="1">
      <alignment horizontal="right"/>
    </xf>
    <xf numFmtId="0" fontId="118" fillId="113" borderId="0" xfId="0" applyFont="1" applyFill="1" applyAlignment="1">
      <alignment horizontal="right"/>
    </xf>
    <xf numFmtId="9" fontId="118" fillId="113" borderId="0" xfId="0" applyNumberFormat="1" applyFont="1" applyFill="1" applyAlignment="1">
      <alignment horizontal="right"/>
    </xf>
    <xf numFmtId="9" fontId="256" fillId="113" borderId="0" xfId="0" applyNumberFormat="1" applyFont="1" applyFill="1" applyAlignment="1">
      <alignment horizontal="right"/>
    </xf>
    <xf numFmtId="165" fontId="120" fillId="113" borderId="0" xfId="0" applyNumberFormat="1" applyFont="1" applyFill="1" applyAlignment="1">
      <alignment horizontal="right"/>
    </xf>
    <xf numFmtId="165" fontId="118" fillId="113" borderId="0" xfId="0" applyNumberFormat="1" applyFont="1" applyFill="1" applyAlignment="1">
      <alignment horizontal="right"/>
    </xf>
    <xf numFmtId="3" fontId="120" fillId="3" borderId="0" xfId="0" applyNumberFormat="1" applyFont="1" applyFill="1"/>
    <xf numFmtId="3" fontId="120" fillId="0" borderId="3" xfId="0" applyNumberFormat="1" applyFont="1" applyBorder="1"/>
    <xf numFmtId="9" fontId="256" fillId="113" borderId="3" xfId="0" applyNumberFormat="1" applyFont="1" applyFill="1" applyBorder="1" applyAlignment="1">
      <alignment horizontal="right"/>
    </xf>
    <xf numFmtId="165" fontId="255" fillId="113" borderId="0" xfId="0" applyNumberFormat="1" applyFont="1" applyFill="1" applyAlignment="1">
      <alignment horizontal="right"/>
    </xf>
    <xf numFmtId="9" fontId="255" fillId="113" borderId="3" xfId="0" applyNumberFormat="1" applyFont="1" applyFill="1" applyBorder="1" applyAlignment="1">
      <alignment horizontal="right"/>
    </xf>
    <xf numFmtId="164" fontId="288" fillId="0" borderId="0" xfId="3" applyNumberFormat="1" applyFont="1"/>
    <xf numFmtId="329" fontId="128" fillId="0" borderId="0" xfId="3" applyNumberFormat="1" applyFont="1"/>
    <xf numFmtId="329" fontId="128" fillId="3" borderId="0" xfId="3" applyNumberFormat="1" applyFont="1" applyFill="1"/>
    <xf numFmtId="3" fontId="2" fillId="0" borderId="0" xfId="6" applyNumberFormat="1" applyFont="1"/>
    <xf numFmtId="0" fontId="128" fillId="0" borderId="0" xfId="6" applyFont="1"/>
    <xf numFmtId="329" fontId="2" fillId="0" borderId="0" xfId="6" applyNumberFormat="1" applyFont="1"/>
    <xf numFmtId="4" fontId="128" fillId="0" borderId="0" xfId="3" applyNumberFormat="1" applyFont="1"/>
    <xf numFmtId="0" fontId="290" fillId="119" borderId="0" xfId="0" applyFont="1" applyFill="1"/>
    <xf numFmtId="3" fontId="290" fillId="119" borderId="0" xfId="0" applyNumberFormat="1" applyFont="1" applyFill="1"/>
    <xf numFmtId="166" fontId="288" fillId="0" borderId="0" xfId="4" applyNumberFormat="1" applyFont="1"/>
    <xf numFmtId="0" fontId="290" fillId="0" borderId="0" xfId="0" applyFont="1"/>
    <xf numFmtId="164" fontId="127" fillId="110" borderId="0" xfId="3" applyNumberFormat="1" applyFont="1" applyFill="1"/>
    <xf numFmtId="2" fontId="128" fillId="0" borderId="0" xfId="3" applyNumberFormat="1" applyFont="1"/>
    <xf numFmtId="1" fontId="264" fillId="0" borderId="0" xfId="3" applyNumberFormat="1" applyFont="1"/>
    <xf numFmtId="9" fontId="2" fillId="0" borderId="0" xfId="2" applyFont="1"/>
    <xf numFmtId="0" fontId="128" fillId="0" borderId="2" xfId="3" applyFont="1" applyBorder="1"/>
    <xf numFmtId="43" fontId="128" fillId="0" borderId="89" xfId="1" applyFont="1" applyBorder="1"/>
    <xf numFmtId="0" fontId="128" fillId="0" borderId="4" xfId="3" applyFont="1" applyBorder="1"/>
    <xf numFmtId="43" fontId="128" fillId="0" borderId="22" xfId="3" applyNumberFormat="1" applyFont="1" applyBorder="1"/>
    <xf numFmtId="0" fontId="128" fillId="0" borderId="5" xfId="3" applyFont="1" applyBorder="1"/>
    <xf numFmtId="43" fontId="128" fillId="0" borderId="87" xfId="1" applyFont="1" applyBorder="1"/>
    <xf numFmtId="43" fontId="128" fillId="0" borderId="90" xfId="1" applyFont="1" applyBorder="1"/>
    <xf numFmtId="329" fontId="128" fillId="0" borderId="0" xfId="4" applyNumberFormat="1" applyFont="1"/>
    <xf numFmtId="1" fontId="118" fillId="113" borderId="87" xfId="0" applyNumberFormat="1" applyFont="1" applyFill="1" applyBorder="1"/>
    <xf numFmtId="168" fontId="129" fillId="113" borderId="0" xfId="229" applyNumberFormat="1" applyFont="1" applyFill="1"/>
    <xf numFmtId="1" fontId="120" fillId="113" borderId="3" xfId="0" applyNumberFormat="1" applyFont="1" applyFill="1" applyBorder="1"/>
    <xf numFmtId="1" fontId="118" fillId="116" borderId="0" xfId="0" applyNumberFormat="1" applyFont="1" applyFill="1"/>
    <xf numFmtId="0" fontId="126" fillId="0" borderId="87" xfId="412" applyFont="1" applyBorder="1"/>
    <xf numFmtId="0" fontId="126" fillId="0" borderId="87" xfId="412" applyFont="1" applyBorder="1" applyAlignment="1">
      <alignment horizontal="right"/>
    </xf>
    <xf numFmtId="0" fontId="125" fillId="0" borderId="87" xfId="412" applyFont="1" applyBorder="1"/>
    <xf numFmtId="3" fontId="125" fillId="0" borderId="87" xfId="412" applyNumberFormat="1" applyFont="1" applyBorder="1"/>
    <xf numFmtId="0" fontId="125" fillId="31" borderId="87" xfId="412" applyFont="1" applyFill="1" applyBorder="1"/>
    <xf numFmtId="169" fontId="125" fillId="31" borderId="87" xfId="412" applyNumberFormat="1" applyFont="1" applyFill="1" applyBorder="1" applyAlignment="1">
      <alignment horizontal="right"/>
    </xf>
    <xf numFmtId="3" fontId="125" fillId="31" borderId="87" xfId="412" applyNumberFormat="1" applyFont="1" applyFill="1" applyBorder="1"/>
    <xf numFmtId="165" fontId="125" fillId="31" borderId="87" xfId="412" applyNumberFormat="1" applyFont="1" applyFill="1" applyBorder="1"/>
    <xf numFmtId="0" fontId="128" fillId="0" borderId="87" xfId="4" applyFont="1" applyBorder="1"/>
    <xf numFmtId="3" fontId="128" fillId="0" borderId="87" xfId="4" applyNumberFormat="1" applyFont="1" applyBorder="1"/>
    <xf numFmtId="0" fontId="118" fillId="0" borderId="87" xfId="0" applyFont="1" applyBorder="1"/>
    <xf numFmtId="3" fontId="118" fillId="0" borderId="87" xfId="0" applyNumberFormat="1" applyFont="1" applyBorder="1"/>
    <xf numFmtId="13" fontId="118" fillId="0" borderId="87" xfId="0" applyNumberFormat="1" applyFont="1" applyBorder="1" applyAlignment="1">
      <alignment horizontal="right"/>
    </xf>
    <xf numFmtId="0" fontId="128" fillId="0" borderId="87" xfId="3" applyFont="1" applyBorder="1"/>
    <xf numFmtId="0" fontId="127" fillId="0" borderId="87" xfId="3" applyFont="1" applyBorder="1"/>
    <xf numFmtId="164" fontId="128" fillId="0" borderId="87" xfId="3" applyNumberFormat="1" applyFont="1" applyBorder="1"/>
    <xf numFmtId="0" fontId="128" fillId="0" borderId="87" xfId="0" applyFont="1" applyBorder="1"/>
    <xf numFmtId="164" fontId="128" fillId="0" borderId="87" xfId="1" applyNumberFormat="1" applyFont="1" applyFill="1" applyBorder="1"/>
    <xf numFmtId="164" fontId="128" fillId="0" borderId="87" xfId="1" applyNumberFormat="1" applyFont="1" applyBorder="1"/>
    <xf numFmtId="0" fontId="291" fillId="119" borderId="87" xfId="0" applyFont="1" applyFill="1" applyBorder="1"/>
    <xf numFmtId="0" fontId="120" fillId="25" borderId="87" xfId="0" applyFont="1" applyFill="1" applyBorder="1"/>
    <xf numFmtId="3" fontId="288" fillId="0" borderId="87" xfId="0" applyNumberFormat="1" applyFont="1" applyBorder="1"/>
    <xf numFmtId="165" fontId="118" fillId="0" borderId="87" xfId="0" applyNumberFormat="1" applyFont="1" applyBorder="1"/>
    <xf numFmtId="1" fontId="118" fillId="3" borderId="87" xfId="0" applyNumberFormat="1" applyFont="1" applyFill="1" applyBorder="1"/>
    <xf numFmtId="0" fontId="118" fillId="0" borderId="87" xfId="0" quotePrefix="1" applyFont="1" applyBorder="1"/>
    <xf numFmtId="1" fontId="118" fillId="0" borderId="87" xfId="0" applyNumberFormat="1" applyFont="1" applyBorder="1"/>
    <xf numFmtId="3" fontId="261" fillId="0" borderId="87" xfId="0" applyNumberFormat="1" applyFont="1" applyBorder="1"/>
    <xf numFmtId="0" fontId="120" fillId="0" borderId="87" xfId="0" applyFont="1" applyBorder="1"/>
    <xf numFmtId="1" fontId="118" fillId="110" borderId="87" xfId="0" applyNumberFormat="1" applyFont="1" applyFill="1" applyBorder="1"/>
    <xf numFmtId="1" fontId="118" fillId="114" borderId="87" xfId="0" applyNumberFormat="1" applyFont="1" applyFill="1" applyBorder="1"/>
    <xf numFmtId="9" fontId="118" fillId="0" borderId="87" xfId="0" applyNumberFormat="1" applyFont="1" applyBorder="1"/>
    <xf numFmtId="9" fontId="118" fillId="0" borderId="87" xfId="0" applyNumberFormat="1" applyFont="1" applyBorder="1" applyAlignment="1">
      <alignment horizontal="right"/>
    </xf>
    <xf numFmtId="9" fontId="118" fillId="110" borderId="87" xfId="0" applyNumberFormat="1" applyFont="1" applyFill="1" applyBorder="1"/>
    <xf numFmtId="1" fontId="128" fillId="0" borderId="87" xfId="0" applyNumberFormat="1" applyFont="1" applyBorder="1"/>
    <xf numFmtId="1" fontId="128" fillId="3" borderId="87" xfId="0" applyNumberFormat="1" applyFont="1" applyFill="1" applyBorder="1"/>
    <xf numFmtId="1" fontId="128" fillId="110" borderId="87" xfId="0" applyNumberFormat="1" applyFont="1" applyFill="1" applyBorder="1"/>
    <xf numFmtId="9" fontId="256" fillId="0" borderId="87" xfId="2" applyFont="1" applyFill="1" applyBorder="1"/>
    <xf numFmtId="0" fontId="256" fillId="114" borderId="87" xfId="0" applyFont="1" applyFill="1" applyBorder="1"/>
    <xf numFmtId="165" fontId="118" fillId="110" borderId="87" xfId="0" applyNumberFormat="1" applyFont="1" applyFill="1" applyBorder="1"/>
    <xf numFmtId="165" fontId="118" fillId="114" borderId="87" xfId="0" applyNumberFormat="1" applyFont="1" applyFill="1" applyBorder="1"/>
    <xf numFmtId="0" fontId="126" fillId="0" borderId="87" xfId="0" applyFont="1" applyBorder="1"/>
    <xf numFmtId="168" fontId="259" fillId="0" borderId="87" xfId="229" applyNumberFormat="1" applyFont="1" applyBorder="1" applyAlignment="1">
      <alignment horizontal="right"/>
    </xf>
    <xf numFmtId="0" fontId="259" fillId="0" borderId="87" xfId="229" applyFont="1" applyBorder="1" applyAlignment="1">
      <alignment horizontal="right"/>
    </xf>
    <xf numFmtId="0" fontId="259" fillId="115" borderId="87" xfId="229" applyFont="1" applyFill="1" applyBorder="1" applyAlignment="1">
      <alignment horizontal="right"/>
    </xf>
    <xf numFmtId="0" fontId="125" fillId="31" borderId="87" xfId="0" applyFont="1" applyFill="1" applyBorder="1"/>
    <xf numFmtId="168" fontId="129" fillId="31" borderId="87" xfId="229" applyNumberFormat="1" applyFont="1" applyFill="1" applyBorder="1"/>
    <xf numFmtId="9" fontId="129" fillId="31" borderId="87" xfId="229" applyNumberFormat="1" applyFont="1" applyFill="1" applyBorder="1"/>
    <xf numFmtId="165" fontId="129" fillId="31" borderId="87" xfId="229" applyNumberFormat="1" applyFont="1" applyFill="1" applyBorder="1"/>
    <xf numFmtId="0" fontId="125" fillId="0" borderId="87" xfId="0" applyFont="1" applyBorder="1"/>
    <xf numFmtId="1" fontId="125" fillId="0" borderId="87" xfId="0" applyNumberFormat="1" applyFont="1" applyBorder="1"/>
    <xf numFmtId="168" fontId="121" fillId="0" borderId="87" xfId="229" applyNumberFormat="1" applyFont="1" applyBorder="1" applyAlignment="1">
      <alignment horizontal="right"/>
    </xf>
    <xf numFmtId="165" fontId="117" fillId="0" borderId="87" xfId="0" applyNumberFormat="1" applyFont="1" applyBorder="1"/>
    <xf numFmtId="165" fontId="286" fillId="0" borderId="87" xfId="0" applyNumberFormat="1" applyFont="1" applyBorder="1"/>
    <xf numFmtId="168" fontId="117" fillId="0" borderId="87" xfId="0" applyNumberFormat="1" applyFont="1" applyBorder="1" applyAlignment="1">
      <alignment horizontal="right"/>
    </xf>
    <xf numFmtId="1" fontId="117" fillId="0" borderId="87" xfId="0" applyNumberFormat="1" applyFont="1" applyBorder="1" applyAlignment="1">
      <alignment horizontal="right"/>
    </xf>
    <xf numFmtId="0" fontId="117" fillId="0" borderId="87" xfId="0" applyFont="1" applyBorder="1" applyAlignment="1">
      <alignment horizontal="right"/>
    </xf>
    <xf numFmtId="0" fontId="120" fillId="30" borderId="87" xfId="0" applyFont="1" applyFill="1" applyBorder="1" applyAlignment="1">
      <alignment wrapText="1"/>
    </xf>
    <xf numFmtId="0" fontId="120" fillId="30" borderId="87" xfId="0" applyFont="1" applyFill="1" applyBorder="1" applyAlignment="1">
      <alignment horizontal="center" wrapText="1"/>
    </xf>
    <xf numFmtId="0" fontId="120" fillId="0" borderId="87" xfId="0" applyFont="1" applyBorder="1" applyAlignment="1">
      <alignment horizontal="right"/>
    </xf>
    <xf numFmtId="3" fontId="118" fillId="0" borderId="87" xfId="0" applyNumberFormat="1" applyFont="1" applyBorder="1" applyAlignment="1">
      <alignment horizontal="right"/>
    </xf>
    <xf numFmtId="0" fontId="118" fillId="30" borderId="87" xfId="0" applyFont="1" applyFill="1" applyBorder="1"/>
    <xf numFmtId="165" fontId="118" fillId="30" borderId="87" xfId="0" applyNumberFormat="1" applyFont="1" applyFill="1" applyBorder="1" applyAlignment="1">
      <alignment horizontal="right"/>
    </xf>
    <xf numFmtId="0" fontId="118" fillId="30" borderId="87" xfId="0" applyFont="1" applyFill="1" applyBorder="1" applyAlignment="1">
      <alignment horizontal="right"/>
    </xf>
    <xf numFmtId="0" fontId="118" fillId="0" borderId="87" xfId="0" applyFont="1" applyBorder="1" applyAlignment="1">
      <alignment horizontal="right"/>
    </xf>
    <xf numFmtId="9" fontId="118" fillId="30" borderId="87" xfId="0" applyNumberFormat="1" applyFont="1" applyFill="1" applyBorder="1" applyAlignment="1">
      <alignment horizontal="right"/>
    </xf>
    <xf numFmtId="0" fontId="118" fillId="31" borderId="87" xfId="0" quotePrefix="1" applyFont="1" applyFill="1" applyBorder="1"/>
    <xf numFmtId="0" fontId="118" fillId="31" borderId="87" xfId="0" applyFont="1" applyFill="1" applyBorder="1" applyAlignment="1">
      <alignment horizontal="right"/>
    </xf>
    <xf numFmtId="3" fontId="118" fillId="31" borderId="87" xfId="0" applyNumberFormat="1" applyFont="1" applyFill="1" applyBorder="1" applyAlignment="1">
      <alignment horizontal="right"/>
    </xf>
    <xf numFmtId="3" fontId="264" fillId="31" borderId="87" xfId="0" applyNumberFormat="1" applyFont="1" applyFill="1" applyBorder="1" applyAlignment="1">
      <alignment horizontal="right"/>
    </xf>
    <xf numFmtId="0" fontId="118" fillId="30" borderId="87" xfId="0" quotePrefix="1" applyFont="1" applyFill="1" applyBorder="1"/>
    <xf numFmtId="3" fontId="120" fillId="30" borderId="87" xfId="0" applyNumberFormat="1" applyFont="1" applyFill="1" applyBorder="1" applyAlignment="1">
      <alignment horizontal="right"/>
    </xf>
    <xf numFmtId="3" fontId="118" fillId="30" borderId="87" xfId="0" applyNumberFormat="1" applyFont="1" applyFill="1" applyBorder="1" applyAlignment="1">
      <alignment horizontal="right"/>
    </xf>
    <xf numFmtId="9" fontId="120" fillId="30" borderId="87" xfId="0" applyNumberFormat="1" applyFont="1" applyFill="1" applyBorder="1" applyAlignment="1">
      <alignment horizontal="right"/>
    </xf>
    <xf numFmtId="0" fontId="118" fillId="31" borderId="87" xfId="0" applyFont="1" applyFill="1" applyBorder="1"/>
    <xf numFmtId="0" fontId="0" fillId="0" borderId="87" xfId="0" applyBorder="1"/>
    <xf numFmtId="0" fontId="0" fillId="0" borderId="87" xfId="0" applyBorder="1" applyAlignment="1">
      <alignment horizontal="center"/>
    </xf>
    <xf numFmtId="0" fontId="0" fillId="0" borderId="87" xfId="0" applyBorder="1" applyAlignment="1">
      <alignment horizontal="right"/>
    </xf>
    <xf numFmtId="0" fontId="7" fillId="0" borderId="87" xfId="0" applyFont="1" applyBorder="1"/>
    <xf numFmtId="0" fontId="7" fillId="0" borderId="87" xfId="0" applyFont="1" applyBorder="1" applyAlignment="1">
      <alignment horizontal="center"/>
    </xf>
    <xf numFmtId="0" fontId="6" fillId="0" borderId="87" xfId="0" applyFont="1" applyBorder="1" applyAlignment="1">
      <alignment horizontal="left"/>
    </xf>
    <xf numFmtId="0" fontId="6" fillId="0" borderId="87" xfId="0" applyFont="1" applyBorder="1" applyAlignment="1">
      <alignment horizontal="center"/>
    </xf>
    <xf numFmtId="0" fontId="6" fillId="0" borderId="87" xfId="0" applyFont="1" applyBorder="1"/>
    <xf numFmtId="3" fontId="6" fillId="0" borderId="87" xfId="0" applyNumberFormat="1" applyFont="1" applyBorder="1" applyAlignment="1">
      <alignment horizontal="center"/>
    </xf>
    <xf numFmtId="3" fontId="6" fillId="0" borderId="87" xfId="0" applyNumberFormat="1" applyFont="1" applyBorder="1"/>
    <xf numFmtId="165" fontId="6" fillId="0" borderId="87" xfId="0" applyNumberFormat="1" applyFont="1" applyBorder="1" applyAlignment="1">
      <alignment horizontal="center"/>
    </xf>
    <xf numFmtId="165" fontId="6" fillId="0" borderId="87" xfId="0" applyNumberFormat="1" applyFont="1" applyBorder="1"/>
    <xf numFmtId="0" fontId="0" fillId="3" borderId="87" xfId="0" applyFill="1" applyBorder="1" applyAlignment="1">
      <alignment horizontal="center"/>
    </xf>
    <xf numFmtId="0" fontId="7" fillId="0" borderId="87" xfId="0" applyFont="1" applyBorder="1" applyAlignment="1">
      <alignment horizontal="right"/>
    </xf>
    <xf numFmtId="0" fontId="6" fillId="0" borderId="87" xfId="0" applyFont="1" applyBorder="1" applyAlignment="1">
      <alignment horizontal="right"/>
    </xf>
    <xf numFmtId="0" fontId="12" fillId="0" borderId="87" xfId="0" applyFont="1" applyBorder="1"/>
    <xf numFmtId="0" fontId="12" fillId="0" borderId="87" xfId="0" applyFont="1" applyBorder="1" applyAlignment="1">
      <alignment horizontal="right"/>
    </xf>
    <xf numFmtId="3" fontId="0" fillId="0" borderId="87" xfId="0" applyNumberFormat="1" applyBorder="1"/>
    <xf numFmtId="0" fontId="12" fillId="0" borderId="87" xfId="0" applyFont="1" applyBorder="1" applyAlignment="1">
      <alignment horizontal="left"/>
    </xf>
    <xf numFmtId="3" fontId="6" fillId="0" borderId="87" xfId="0" applyNumberFormat="1" applyFont="1" applyBorder="1" applyAlignment="1">
      <alignment horizontal="right"/>
    </xf>
    <xf numFmtId="9" fontId="6" fillId="0" borderId="87" xfId="0" applyNumberFormat="1" applyFont="1" applyBorder="1" applyAlignment="1">
      <alignment horizontal="right"/>
    </xf>
    <xf numFmtId="0" fontId="0" fillId="31" borderId="87" xfId="0" applyFill="1" applyBorder="1"/>
    <xf numFmtId="3" fontId="0" fillId="31" borderId="87" xfId="0" applyNumberFormat="1" applyFill="1" applyBorder="1"/>
    <xf numFmtId="0" fontId="118" fillId="0" borderId="87" xfId="0" applyFont="1" applyBorder="1" applyAlignment="1">
      <alignment horizontal="center"/>
    </xf>
    <xf numFmtId="255" fontId="0" fillId="31" borderId="87" xfId="0" applyNumberFormat="1" applyFill="1" applyBorder="1"/>
    <xf numFmtId="0" fontId="0" fillId="31" borderId="87" xfId="0" applyFill="1" applyBorder="1" applyAlignment="1">
      <alignment horizontal="right"/>
    </xf>
    <xf numFmtId="0" fontId="118" fillId="31" borderId="87" xfId="0" applyFont="1" applyFill="1" applyBorder="1" applyAlignment="1">
      <alignment horizontal="center"/>
    </xf>
    <xf numFmtId="3" fontId="118" fillId="31" borderId="87" xfId="0" applyNumberFormat="1" applyFont="1" applyFill="1" applyBorder="1"/>
    <xf numFmtId="0" fontId="12" fillId="0" borderId="87" xfId="0" applyFont="1" applyBorder="1" applyAlignment="1">
      <alignment horizontal="center"/>
    </xf>
    <xf numFmtId="165" fontId="0" fillId="0" borderId="87" xfId="0" applyNumberFormat="1" applyBorder="1" applyAlignment="1">
      <alignment horizontal="right"/>
    </xf>
    <xf numFmtId="1" fontId="0" fillId="0" borderId="87" xfId="0" applyNumberFormat="1" applyBorder="1" applyAlignment="1">
      <alignment horizontal="right"/>
    </xf>
    <xf numFmtId="0" fontId="4" fillId="0" borderId="87" xfId="0" applyFont="1" applyBorder="1"/>
    <xf numFmtId="0" fontId="4" fillId="0" borderId="87" xfId="0" applyFont="1" applyBorder="1" applyAlignment="1">
      <alignment horizontal="right"/>
    </xf>
    <xf numFmtId="0" fontId="2" fillId="0" borderId="87" xfId="0" applyFont="1" applyBorder="1"/>
    <xf numFmtId="1" fontId="6" fillId="0" borderId="87" xfId="0" applyNumberFormat="1" applyFont="1" applyBorder="1" applyAlignment="1">
      <alignment horizontal="right"/>
    </xf>
    <xf numFmtId="1" fontId="7" fillId="28" borderId="87" xfId="0" applyNumberFormat="1" applyFont="1" applyFill="1" applyBorder="1" applyAlignment="1">
      <alignment horizontal="right"/>
    </xf>
    <xf numFmtId="9" fontId="7" fillId="0" borderId="87" xfId="0" applyNumberFormat="1" applyFont="1" applyBorder="1"/>
    <xf numFmtId="0" fontId="7" fillId="0" borderId="87" xfId="0" applyFont="1" applyBorder="1" applyAlignment="1">
      <alignment horizontal="left"/>
    </xf>
    <xf numFmtId="0" fontId="0" fillId="0" borderId="87" xfId="0" applyBorder="1" applyAlignment="1">
      <alignment horizontal="left"/>
    </xf>
    <xf numFmtId="0" fontId="4" fillId="0" borderId="87" xfId="0" applyFont="1" applyBorder="1" applyAlignment="1">
      <alignment horizontal="left"/>
    </xf>
    <xf numFmtId="3" fontId="0" fillId="0" borderId="87" xfId="0" applyNumberFormat="1" applyBorder="1" applyAlignment="1">
      <alignment horizontal="right"/>
    </xf>
    <xf numFmtId="9" fontId="0" fillId="0" borderId="87" xfId="0" applyNumberFormat="1" applyBorder="1"/>
    <xf numFmtId="0" fontId="6" fillId="31" borderId="87" xfId="0" applyFont="1" applyFill="1" applyBorder="1" applyAlignment="1">
      <alignment horizontal="left"/>
    </xf>
    <xf numFmtId="3" fontId="6" fillId="31" borderId="87" xfId="0" applyNumberFormat="1" applyFont="1" applyFill="1" applyBorder="1"/>
    <xf numFmtId="0" fontId="6" fillId="31" borderId="87" xfId="0" applyFont="1" applyFill="1" applyBorder="1"/>
    <xf numFmtId="9" fontId="6" fillId="31" borderId="87" xfId="2" applyFont="1" applyFill="1" applyBorder="1"/>
    <xf numFmtId="165" fontId="6" fillId="31" borderId="87" xfId="0" applyNumberFormat="1" applyFont="1" applyFill="1" applyBorder="1"/>
    <xf numFmtId="3" fontId="0" fillId="31" borderId="87" xfId="0" applyNumberFormat="1" applyFill="1" applyBorder="1" applyAlignment="1">
      <alignment horizontal="right"/>
    </xf>
    <xf numFmtId="3" fontId="0" fillId="3" borderId="87" xfId="0" applyNumberFormat="1" applyFill="1" applyBorder="1" applyAlignment="1">
      <alignment horizontal="right"/>
    </xf>
    <xf numFmtId="9" fontId="0" fillId="0" borderId="87" xfId="0" applyNumberFormat="1" applyBorder="1" applyAlignment="1">
      <alignment horizontal="right"/>
    </xf>
    <xf numFmtId="0" fontId="118" fillId="120" borderId="0" xfId="0" applyFont="1" applyFill="1"/>
    <xf numFmtId="3" fontId="128" fillId="3" borderId="0" xfId="0" applyNumberFormat="1" applyFont="1" applyFill="1"/>
    <xf numFmtId="3" fontId="118" fillId="0" borderId="3" xfId="0" applyNumberFormat="1" applyFont="1" applyBorder="1"/>
    <xf numFmtId="0" fontId="291" fillId="0" borderId="0" xfId="0" applyFont="1"/>
    <xf numFmtId="9" fontId="118" fillId="0" borderId="10" xfId="0" applyNumberFormat="1" applyFont="1" applyBorder="1"/>
    <xf numFmtId="165" fontId="120" fillId="3" borderId="0" xfId="0" applyNumberFormat="1" applyFont="1" applyFill="1"/>
    <xf numFmtId="1" fontId="120" fillId="120" borderId="0" xfId="0" applyNumberFormat="1" applyFont="1" applyFill="1"/>
    <xf numFmtId="168" fontId="128" fillId="0" borderId="0" xfId="0" applyNumberFormat="1" applyFont="1" applyAlignment="1">
      <alignment horizontal="right"/>
    </xf>
    <xf numFmtId="165" fontId="120" fillId="0" borderId="87" xfId="0" applyNumberFormat="1" applyFont="1" applyBorder="1" applyAlignment="1">
      <alignment horizontal="right"/>
    </xf>
    <xf numFmtId="165" fontId="118" fillId="0" borderId="87" xfId="0" applyNumberFormat="1" applyFont="1" applyBorder="1" applyAlignment="1">
      <alignment horizontal="right"/>
    </xf>
    <xf numFmtId="165" fontId="288" fillId="0" borderId="0" xfId="0" applyNumberFormat="1" applyFont="1" applyAlignment="1">
      <alignment horizontal="right"/>
    </xf>
    <xf numFmtId="165" fontId="288" fillId="0" borderId="87" xfId="0" applyNumberFormat="1" applyFont="1" applyBorder="1" applyAlignment="1">
      <alignment horizontal="right"/>
    </xf>
    <xf numFmtId="165" fontId="120" fillId="31" borderId="3" xfId="0" applyNumberFormat="1" applyFont="1" applyFill="1" applyBorder="1" applyAlignment="1">
      <alignment horizontal="right"/>
    </xf>
    <xf numFmtId="165" fontId="289" fillId="31" borderId="3" xfId="0" applyNumberFormat="1" applyFont="1" applyFill="1" applyBorder="1" applyAlignment="1">
      <alignment horizontal="right"/>
    </xf>
    <xf numFmtId="9" fontId="120" fillId="113" borderId="0" xfId="0" applyNumberFormat="1" applyFont="1" applyFill="1" applyAlignment="1">
      <alignment horizontal="right"/>
    </xf>
    <xf numFmtId="169" fontId="118" fillId="30" borderId="0" xfId="0" applyNumberFormat="1" applyFont="1" applyFill="1"/>
    <xf numFmtId="1" fontId="118" fillId="33" borderId="0" xfId="0" applyNumberFormat="1" applyFont="1" applyFill="1"/>
    <xf numFmtId="329" fontId="118" fillId="0" borderId="0" xfId="0" applyNumberFormat="1" applyFont="1"/>
    <xf numFmtId="165" fontId="120" fillId="0" borderId="10" xfId="2" applyNumberFormat="1" applyFont="1" applyBorder="1" applyAlignment="1">
      <alignment horizontal="right"/>
    </xf>
    <xf numFmtId="165" fontId="120" fillId="33" borderId="0" xfId="0" applyNumberFormat="1" applyFont="1" applyFill="1" applyAlignment="1">
      <alignment horizontal="right"/>
    </xf>
    <xf numFmtId="9" fontId="120" fillId="33" borderId="0" xfId="0" applyNumberFormat="1" applyFont="1" applyFill="1" applyAlignment="1">
      <alignment horizontal="right"/>
    </xf>
    <xf numFmtId="9" fontId="129" fillId="0" borderId="10" xfId="229" applyNumberFormat="1" applyFont="1" applyBorder="1"/>
    <xf numFmtId="0" fontId="126" fillId="0" borderId="2" xfId="0" applyFont="1" applyBorder="1" applyAlignment="1">
      <alignment horizontal="right"/>
    </xf>
    <xf numFmtId="0" fontId="126" fillId="0" borderId="89" xfId="0" applyFont="1" applyBorder="1" applyAlignment="1">
      <alignment horizontal="right"/>
    </xf>
    <xf numFmtId="168" fontId="259" fillId="0" borderId="5" xfId="229" applyNumberFormat="1" applyFont="1" applyBorder="1" applyAlignment="1">
      <alignment horizontal="right"/>
    </xf>
    <xf numFmtId="0" fontId="259" fillId="0" borderId="90" xfId="229" applyFont="1" applyBorder="1" applyAlignment="1">
      <alignment horizontal="right"/>
    </xf>
    <xf numFmtId="168" fontId="129" fillId="31" borderId="4" xfId="229" applyNumberFormat="1" applyFont="1" applyFill="1" applyBorder="1"/>
    <xf numFmtId="9" fontId="129" fillId="31" borderId="89" xfId="229" applyNumberFormat="1" applyFont="1" applyFill="1" applyBorder="1"/>
    <xf numFmtId="168" fontId="129" fillId="0" borderId="4" xfId="229" applyNumberFormat="1" applyFont="1" applyBorder="1"/>
    <xf numFmtId="9" fontId="129" fillId="0" borderId="22" xfId="229" applyNumberFormat="1" applyFont="1" applyBorder="1"/>
    <xf numFmtId="9" fontId="129" fillId="31" borderId="22" xfId="229" applyNumberFormat="1" applyFont="1" applyFill="1" applyBorder="1"/>
    <xf numFmtId="165" fontId="129" fillId="31" borderId="4" xfId="229" applyNumberFormat="1" applyFont="1" applyFill="1" applyBorder="1"/>
    <xf numFmtId="165" fontId="129" fillId="30" borderId="4" xfId="229" applyNumberFormat="1" applyFont="1" applyFill="1" applyBorder="1"/>
    <xf numFmtId="9" fontId="129" fillId="30" borderId="22" xfId="229" applyNumberFormat="1" applyFont="1" applyFill="1" applyBorder="1"/>
    <xf numFmtId="168" fontId="129" fillId="31" borderId="5" xfId="229" applyNumberFormat="1" applyFont="1" applyFill="1" applyBorder="1"/>
    <xf numFmtId="9" fontId="129" fillId="31" borderId="90" xfId="229" applyNumberFormat="1" applyFont="1" applyFill="1" applyBorder="1"/>
    <xf numFmtId="168" fontId="259" fillId="25" borderId="0" xfId="229" applyNumberFormat="1" applyFont="1" applyFill="1"/>
    <xf numFmtId="165" fontId="288" fillId="0" borderId="0" xfId="0" applyNumberFormat="1" applyFont="1"/>
    <xf numFmtId="0" fontId="288" fillId="0" borderId="0" xfId="0" applyFont="1"/>
    <xf numFmtId="0" fontId="118" fillId="121" borderId="0" xfId="0" applyFont="1" applyFill="1"/>
    <xf numFmtId="3" fontId="118" fillId="113" borderId="0" xfId="0" applyNumberFormat="1" applyFont="1" applyFill="1"/>
    <xf numFmtId="0" fontId="128" fillId="31" borderId="0" xfId="0" applyFont="1" applyFill="1"/>
    <xf numFmtId="0" fontId="127" fillId="31" borderId="0" xfId="0" applyFont="1" applyFill="1" applyAlignment="1">
      <alignment horizontal="right"/>
    </xf>
    <xf numFmtId="0" fontId="127" fillId="31" borderId="0" xfId="0" applyFont="1" applyFill="1"/>
    <xf numFmtId="3" fontId="118" fillId="113" borderId="3" xfId="0" applyNumberFormat="1" applyFont="1" applyFill="1" applyBorder="1"/>
    <xf numFmtId="165" fontId="288" fillId="113" borderId="0" xfId="2" applyNumberFormat="1" applyFont="1" applyFill="1" applyBorder="1"/>
    <xf numFmtId="3" fontId="118" fillId="113" borderId="87" xfId="0" applyNumberFormat="1" applyFont="1" applyFill="1" applyBorder="1"/>
    <xf numFmtId="0" fontId="290" fillId="119" borderId="0" xfId="0" applyFont="1" applyFill="1" applyAlignment="1">
      <alignment horizontal="right"/>
    </xf>
    <xf numFmtId="0" fontId="128" fillId="25" borderId="0" xfId="0" applyFont="1" applyFill="1"/>
    <xf numFmtId="0" fontId="291" fillId="119" borderId="0" xfId="0" applyFont="1" applyFill="1" applyAlignment="1">
      <alignment horizontal="right"/>
    </xf>
    <xf numFmtId="164" fontId="128" fillId="25" borderId="0" xfId="0" applyNumberFormat="1" applyFont="1" applyFill="1"/>
    <xf numFmtId="0" fontId="291" fillId="119" borderId="0" xfId="3" applyFont="1" applyFill="1"/>
    <xf numFmtId="0" fontId="127" fillId="25" borderId="0" xfId="3" applyFont="1" applyFill="1"/>
    <xf numFmtId="0" fontId="127" fillId="0" borderId="0" xfId="3" applyFont="1" applyAlignment="1">
      <alignment horizontal="right"/>
    </xf>
    <xf numFmtId="0" fontId="118" fillId="0" borderId="1" xfId="0" applyFont="1" applyBorder="1"/>
    <xf numFmtId="0" fontId="290" fillId="122" borderId="0" xfId="0" applyFont="1" applyFill="1"/>
    <xf numFmtId="0" fontId="127" fillId="31" borderId="0" xfId="4" applyFont="1" applyFill="1"/>
    <xf numFmtId="0" fontId="127" fillId="31" borderId="0" xfId="4" applyFont="1" applyFill="1" applyAlignment="1">
      <alignment horizontal="right"/>
    </xf>
    <xf numFmtId="0" fontId="128" fillId="31" borderId="0" xfId="4" applyFont="1" applyFill="1" applyAlignment="1">
      <alignment horizontal="right"/>
    </xf>
    <xf numFmtId="0" fontId="291" fillId="122" borderId="0" xfId="4" applyFont="1" applyFill="1" applyAlignment="1">
      <alignment horizontal="right"/>
    </xf>
    <xf numFmtId="0" fontId="127" fillId="0" borderId="0" xfId="4" applyFont="1"/>
    <xf numFmtId="164" fontId="289" fillId="0" borderId="0" xfId="3" applyNumberFormat="1" applyFont="1"/>
    <xf numFmtId="0" fontId="118" fillId="123" borderId="0" xfId="0" applyFont="1" applyFill="1"/>
    <xf numFmtId="165" fontId="120" fillId="0" borderId="0" xfId="2" applyNumberFormat="1" applyFont="1" applyBorder="1" applyAlignment="1">
      <alignment horizontal="right"/>
    </xf>
    <xf numFmtId="9" fontId="285" fillId="113" borderId="0" xfId="0" applyNumberFormat="1" applyFont="1" applyFill="1" applyAlignment="1">
      <alignment horizontal="right"/>
    </xf>
    <xf numFmtId="165" fontId="287" fillId="113" borderId="0" xfId="0" applyNumberFormat="1" applyFont="1" applyFill="1" applyAlignment="1">
      <alignment horizontal="right"/>
    </xf>
    <xf numFmtId="165" fontId="257" fillId="113" borderId="0" xfId="0" applyNumberFormat="1" applyFont="1" applyFill="1" applyAlignment="1">
      <alignment horizontal="right"/>
    </xf>
    <xf numFmtId="165" fontId="120" fillId="113" borderId="3" xfId="0" applyNumberFormat="1" applyFont="1" applyFill="1" applyBorder="1" applyAlignment="1">
      <alignment horizontal="right"/>
    </xf>
    <xf numFmtId="3" fontId="120" fillId="113" borderId="0" xfId="0" applyNumberFormat="1" applyFont="1" applyFill="1"/>
    <xf numFmtId="170" fontId="288" fillId="0" borderId="0" xfId="0" applyNumberFormat="1" applyFont="1"/>
    <xf numFmtId="3" fontId="289" fillId="0" borderId="3" xfId="0" applyNumberFormat="1" applyFont="1" applyBorder="1"/>
    <xf numFmtId="0" fontId="120" fillId="0" borderId="85" xfId="0" applyFont="1" applyBorder="1"/>
    <xf numFmtId="3" fontId="120" fillId="0" borderId="85" xfId="0" applyNumberFormat="1" applyFont="1" applyBorder="1"/>
    <xf numFmtId="3" fontId="120" fillId="3" borderId="85" xfId="0" applyNumberFormat="1" applyFont="1" applyFill="1" applyBorder="1"/>
    <xf numFmtId="3" fontId="256" fillId="0" borderId="0" xfId="0" applyNumberFormat="1" applyFont="1"/>
    <xf numFmtId="3" fontId="256" fillId="0" borderId="87" xfId="0" applyNumberFormat="1" applyFont="1" applyBorder="1"/>
    <xf numFmtId="165" fontId="127" fillId="3" borderId="0" xfId="3" applyNumberFormat="1" applyFont="1" applyFill="1"/>
    <xf numFmtId="0" fontId="120" fillId="120" borderId="0" xfId="0" applyFont="1" applyFill="1"/>
    <xf numFmtId="3" fontId="120" fillId="113" borderId="3" xfId="0" applyNumberFormat="1" applyFont="1" applyFill="1" applyBorder="1"/>
    <xf numFmtId="3" fontId="127" fillId="0" borderId="0" xfId="0" applyNumberFormat="1" applyFont="1"/>
    <xf numFmtId="3" fontId="127" fillId="3" borderId="0" xfId="0" applyNumberFormat="1" applyFont="1" applyFill="1"/>
    <xf numFmtId="3" fontId="118" fillId="33" borderId="0" xfId="0" applyNumberFormat="1" applyFont="1" applyFill="1"/>
    <xf numFmtId="0" fontId="12" fillId="111" borderId="0" xfId="0" applyFont="1" applyFill="1" applyAlignment="1">
      <alignment horizontal="center"/>
    </xf>
    <xf numFmtId="0" fontId="0" fillId="111" borderId="0" xfId="0" applyFill="1" applyAlignment="1">
      <alignment horizontal="center"/>
    </xf>
    <xf numFmtId="0" fontId="0" fillId="111" borderId="0" xfId="0" applyFill="1"/>
    <xf numFmtId="165" fontId="0" fillId="111" borderId="0" xfId="0" applyNumberFormat="1" applyFill="1" applyAlignment="1">
      <alignment horizontal="center"/>
    </xf>
    <xf numFmtId="3" fontId="0" fillId="111" borderId="0" xfId="0" applyNumberFormat="1" applyFill="1" applyAlignment="1">
      <alignment horizontal="center"/>
    </xf>
    <xf numFmtId="3" fontId="254" fillId="111" borderId="0" xfId="0" applyNumberFormat="1" applyFont="1" applyFill="1" applyAlignment="1">
      <alignment horizontal="center"/>
    </xf>
    <xf numFmtId="3" fontId="254" fillId="0" borderId="0" xfId="0" applyNumberFormat="1" applyFont="1" applyAlignment="1">
      <alignment horizontal="center"/>
    </xf>
    <xf numFmtId="9" fontId="128" fillId="0" borderId="0" xfId="1" applyNumberFormat="1" applyFont="1" applyFill="1"/>
    <xf numFmtId="9" fontId="128" fillId="3" borderId="0" xfId="1" applyNumberFormat="1" applyFont="1" applyFill="1"/>
    <xf numFmtId="218" fontId="128" fillId="0" borderId="0" xfId="3" applyNumberFormat="1" applyFont="1"/>
    <xf numFmtId="329" fontId="4" fillId="0" borderId="0" xfId="6" applyNumberFormat="1" applyFont="1"/>
    <xf numFmtId="0" fontId="118" fillId="30" borderId="0" xfId="0" applyFont="1" applyFill="1" applyAlignment="1">
      <alignment horizontal="left" vertical="center" wrapText="1"/>
    </xf>
    <xf numFmtId="0" fontId="7" fillId="0" borderId="0" xfId="0" applyFont="1" applyAlignment="1">
      <alignment horizontal="center"/>
    </xf>
    <xf numFmtId="0" fontId="7" fillId="0" borderId="0" xfId="0" applyFont="1" applyAlignment="1">
      <alignment horizontal="right" vertical="center" textRotation="90" wrapText="1"/>
    </xf>
  </cellXfs>
  <cellStyles count="1375">
    <cellStyle name="_x0002_" xfId="448" xr:uid="{41F43024-8A22-4697-8C06-FBB784D69203}"/>
    <cellStyle name="_x0002_ 2" xfId="449" xr:uid="{71E05E4F-B5F4-4B09-B32F-FBD7A0536424}"/>
    <cellStyle name="_x000a_386grabber=M" xfId="9" xr:uid="{00000000-0005-0000-0000-000000000000}"/>
    <cellStyle name="$" xfId="450" xr:uid="{A9BE6D96-3B31-42D7-B2C6-8BE4FE815800}"/>
    <cellStyle name="%" xfId="3" xr:uid="{00000000-0005-0000-0000-000001000000}"/>
    <cellStyle name="% 2" xfId="4" xr:uid="{00000000-0005-0000-0000-000002000000}"/>
    <cellStyle name="% 2 2" xfId="453" xr:uid="{9870BCC9-894A-4E6E-86BA-F17993A8B8AB}"/>
    <cellStyle name="% 2 3" xfId="454" xr:uid="{E1F018BD-BEA4-49DF-974B-5CBC057602E2}"/>
    <cellStyle name="% 2 4" xfId="455" xr:uid="{03DA2642-5083-4D27-B0BC-E3CD2652D2F5}"/>
    <cellStyle name="% 2 5" xfId="452" xr:uid="{E33A9E87-B551-4817-89B8-1F537D03D490}"/>
    <cellStyle name="% 3" xfId="456" xr:uid="{DE09FCCA-CE55-4D38-B13B-34CEDB259DF8}"/>
    <cellStyle name="% 3 2" xfId="457" xr:uid="{ABD5973A-2C9E-49E5-9BF0-284E22B16BC3}"/>
    <cellStyle name="% 4" xfId="458" xr:uid="{7CDF4A8B-A79B-4C0E-9172-407D16400C62}"/>
    <cellStyle name="% 5" xfId="451" xr:uid="{B6B9BF84-3F6C-412B-9EAB-23031177F584}"/>
    <cellStyle name="%_Millicom_rollforward" xfId="459" xr:uid="{6CD8A65F-29F2-4EE0-87F9-E3E1CC29A0D5}"/>
    <cellStyle name="%_MTN WIP 1" xfId="460" xr:uid="{E9C96831-9F3C-4C3D-BEB2-8AEABE772692}"/>
    <cellStyle name="%_VIP_WIP" xfId="461" xr:uid="{99FD1912-8315-4B57-A812-03836B3294FD}"/>
    <cellStyle name="%_Vodacom WIP" xfId="462" xr:uid="{4F891698-A17C-44A4-B2C3-9D259F7BDFFA}"/>
    <cellStyle name="******************************************" xfId="10" xr:uid="{00000000-0005-0000-0000-000003000000}"/>
    <cellStyle name="?Q\?1@" xfId="11" xr:uid="{00000000-0005-0000-0000-000004000000}"/>
    <cellStyle name="_%(SignOnly)" xfId="463" xr:uid="{BB08E0A7-0913-4887-ACD0-DCD62C6B4670}"/>
    <cellStyle name="_%(SignSpaceOnly)" xfId="464" xr:uid="{1CC807E0-C489-410A-A3AA-D345DCF18B11}"/>
    <cellStyle name="_01 Ripasa WACC Calculation" xfId="465" xr:uid="{608C6DC8-55DA-4EB1-B2D2-92286F77C598}"/>
    <cellStyle name="_01 Ripasa WACC Calculation 2" xfId="466" xr:uid="{07DAF2D4-D55F-49A6-8E6E-F6B39BDD12C7}"/>
    <cellStyle name="_03 - Instrução 371 da TCO de 2005 v 23-01-06" xfId="467" xr:uid="{68D5147A-5753-434F-A07E-D1236608B4C0}"/>
    <cellStyle name="_03 - Instrução 371 da TCO de 2005 v 23-01-06 2" xfId="468" xr:uid="{BC922382-7D39-4B05-A4C8-5473EDA6A8CB}"/>
    <cellStyle name="_03 -Instrução 371 da TC de 2005 v 23-01-06" xfId="469" xr:uid="{C2154C99-3856-4DEB-84AF-00ADD2124598}"/>
    <cellStyle name="_03 -Instrução 371 da TC de 2005 v 23-01-06 2" xfId="470" xr:uid="{C3A56693-E705-430D-ABE8-3434E5BF933B}"/>
    <cellStyle name="_03 pulp and paper deal comp" xfId="471" xr:uid="{6155EDB8-9D9B-4084-866D-009CBE58F42D}"/>
    <cellStyle name="_03 pulp and paper deal comp 2" xfId="472" xr:uid="{F1ADEDCD-735D-4162-8127-405248235B1A}"/>
    <cellStyle name="_1 - CRT" xfId="473" xr:uid="{6B4152B4-F1A4-485B-8A0B-94C2FFD9F8DC}"/>
    <cellStyle name="_1 - CRT 2" xfId="474" xr:uid="{268C78BB-8DFC-4A35-BFA5-346E0772E260}"/>
    <cellStyle name="_1 - TLE" xfId="475" xr:uid="{70BA35FF-DDA5-4158-A460-69D13231A634}"/>
    <cellStyle name="_1 - TLE 2" xfId="476" xr:uid="{DAB34263-86AE-4C34-87D0-1BABB148EB6D}"/>
    <cellStyle name="_1 - TSD" xfId="477" xr:uid="{4DCBDCA9-F851-499D-8B85-42C32D4B42FF}"/>
    <cellStyle name="_1 - TSD 2" xfId="478" xr:uid="{1F2889E0-9FA8-4D5B-BA73-15BFA08EA451}"/>
    <cellStyle name="_1 - VIVO" xfId="479" xr:uid="{F4CFDE91-4E40-4661-B100-41514FE4E011}"/>
    <cellStyle name="_1 - VIVO 2" xfId="480" xr:uid="{21C49826-1A05-4F99-BC63-E6509662A163}"/>
    <cellStyle name="_2 - Brasilcel 401 402 Maio.06" xfId="481" xr:uid="{A8BD492F-DB8B-447F-81AA-558FA9E5A4D8}"/>
    <cellStyle name="_2 - Brasilcel 401 402 Maio.06 2" xfId="482" xr:uid="{BB973A11-4B23-433F-97C4-D948174F935F}"/>
    <cellStyle name="_3 - Ricardo - Brasilcel Junho-05 EITF" xfId="483" xr:uid="{1DC586A2-47D8-471D-B040-0C96C7C91B82}"/>
    <cellStyle name="_3 - Ricardo - Brasilcel Junho-05 EITF 2" xfId="484" xr:uid="{E0E37C01-B583-46A9-B4D9-26974DEEFED9}"/>
    <cellStyle name="_3 - Template Vivo Part MAIO-06" xfId="485" xr:uid="{DB667081-8E3C-43BF-B507-8880C8C59BF0}"/>
    <cellStyle name="_3 - Template Vivo Part MAIO-06 2" xfId="486" xr:uid="{D0A169BD-6A51-45C7-8760-5134B887862E}"/>
    <cellStyle name="_4 - Instrução 371 da TBA de 2005 v 12-12-05 com JSCP" xfId="487" xr:uid="{44D11FE8-E8FF-4CD9-A4A5-81BA7E3D309D}"/>
    <cellStyle name="_4 - Instrução 371 da TBA de 2005 v 12-12-05 com JSCP 2" xfId="488" xr:uid="{419D45ED-0EC8-4360-A0BE-AC4E5BC123E2}"/>
    <cellStyle name="_4 - VIVO Consol. FEV.06" xfId="489" xr:uid="{977F456A-2729-4AB5-BE85-1FE039DF9660}"/>
    <cellStyle name="_4 - VIVO Consol. FEV.06 2" xfId="490" xr:uid="{79E6F859-F5B8-484A-990B-28C0CC1C91E5}"/>
    <cellStyle name="_5 - Instrução 371 da TSD de 2005 v 23-01-06 com JSCP" xfId="491" xr:uid="{A10865AB-BDED-4151-9849-7908971A5411}"/>
    <cellStyle name="_5 - Instrução 371 da TSD de 2005 v 23-01-06 com JSCP 2" xfId="492" xr:uid="{38D57592-22C6-4698-B4E3-BFEA74A2134D}"/>
    <cellStyle name="_Brasilcel 401 402 - mar 06 FINAL" xfId="493" xr:uid="{62BA84BD-3A39-4EF1-AA0C-A1DC108F7473}"/>
    <cellStyle name="_Brasilcel 401 402 - mar 06 FINAL 2" xfId="494" xr:uid="{E34E5165-F442-49A0-AF3A-7E752DE2020A}"/>
    <cellStyle name="_Brasilcel mar05 FINAL enviado" xfId="495" xr:uid="{1EEB5A1E-5A78-40BA-AA48-A64669FF4434}"/>
    <cellStyle name="_Brasilcel mar05 FINAL enviado 2" xfId="496" xr:uid="{5643E956-CD3C-48B6-88FF-F705E9B9268B}"/>
    <cellStyle name="_CAPEX_DGSI_2004_fechamento_correção" xfId="497" xr:uid="{5AC59F10-23C4-446A-B447-244756E677A0}"/>
    <cellStyle name="_CAPEX_DGSI_2004_fechamento_correção 2" xfId="498" xr:uid="{A8DF0BEF-4E27-4E0E-A256-56CCDE4B5EC9}"/>
    <cellStyle name="_CAPEX_DGSI_2005_V21 08032005 APROVADA REDIR" xfId="499" xr:uid="{8C23B001-E133-43A9-8112-A6F4DEA136DE}"/>
    <cellStyle name="_CAPEX_DGSI_2005_V21 08032005 APROVADA REDIR 2" xfId="500" xr:uid="{1928148D-0064-4905-9C5F-088D2180E765}"/>
    <cellStyle name="_Comma" xfId="12" xr:uid="{00000000-0005-0000-0000-000005000000}"/>
    <cellStyle name="_Comma 2" xfId="502" xr:uid="{D9F02EC3-36A3-4ED2-870B-57F7A57CB24E}"/>
    <cellStyle name="_Comma 3" xfId="501" xr:uid="{EA57A2DE-4BBE-4F5E-84CD-E569D8A2C9FA}"/>
    <cellStyle name="_Comma_03 pulp and paper deal comp" xfId="503" xr:uid="{B9B8175E-3361-4C68-A8A6-EF44019A6615}"/>
    <cellStyle name="_Comma_dcf" xfId="504" xr:uid="{A036812B-3D16-4662-A6EA-8E613B233257}"/>
    <cellStyle name="_Comma_FINAL MODEL PLANTA TITAN" xfId="505" xr:uid="{7B1C41F6-1D5C-4675-A5CB-5CEF787BB2C3}"/>
    <cellStyle name="_Consolidado TCP" xfId="506" xr:uid="{03982082-B1DD-466B-A761-AD512F70393D}"/>
    <cellStyle name="_Consolidado TCP 2" xfId="507" xr:uid="{FD806554-FF92-48D1-9508-A4D9CBD942CD}"/>
    <cellStyle name="_Currency" xfId="13" xr:uid="{00000000-0005-0000-0000-000006000000}"/>
    <cellStyle name="_Currency 2" xfId="509" xr:uid="{70B63C0E-0CC7-44BE-8B9F-719E1A1180A2}"/>
    <cellStyle name="_Currency 3" xfId="508" xr:uid="{545CE159-8E82-4B1F-AECE-65A042E4C5F7}"/>
    <cellStyle name="_Currency_03 pulp and paper deal comp" xfId="510" xr:uid="{77C402F6-0EE2-479A-9B4B-DAF86130287F}"/>
    <cellStyle name="_Currency_dcf" xfId="511" xr:uid="{D079BA09-4F9D-409B-AFCF-7CAFE158CB93}"/>
    <cellStyle name="_Currency_FINAL MODEL PLANTA TITAN" xfId="512" xr:uid="{C20D0E37-56E8-4373-9B19-7DD420CC6D31}"/>
    <cellStyle name="_Currency_Master Business Plan37" xfId="513" xr:uid="{2D9814AD-8E5D-496E-9965-3B9AACEC996F}"/>
    <cellStyle name="_Currency_Urca Final Model" xfId="514" xr:uid="{A9306C4A-D305-48F0-B2DD-164A7A44F5FA}"/>
    <cellStyle name="_CurrencySpace" xfId="14" xr:uid="{00000000-0005-0000-0000-000007000000}"/>
    <cellStyle name="_CurrencySpace 2" xfId="516" xr:uid="{9762493A-8B67-4B95-BB5D-AB74D78F2348}"/>
    <cellStyle name="_CurrencySpace 3" xfId="515" xr:uid="{74B0DE6A-D3C2-4BDD-8B65-999CAD0F93B1}"/>
    <cellStyle name="_CurrencySpace_03 pulp and paper deal comp" xfId="517" xr:uid="{F485F791-0006-403B-834C-79ED7BADFF9F}"/>
    <cellStyle name="_CurrencySpace_dcf" xfId="518" xr:uid="{79C5BE30-5185-4795-BBAB-426C462D27E7}"/>
    <cellStyle name="_CurrencySpace_FINAL MODEL PLANTA TITAN" xfId="519" xr:uid="{1ADD5BDD-7E80-4897-B8C7-67394D62D1CA}"/>
    <cellStyle name="_Euro" xfId="520" xr:uid="{BF240B9B-8B60-4CA5-AA49-71B1B5E35ED5}"/>
    <cellStyle name="_FINAL MODEL PLANTA TITAN" xfId="521" xr:uid="{51DA1BB7-FDB1-474B-AD91-ACD5D1930EE5}"/>
    <cellStyle name="_FINAL MODEL PLANTA TITAN 2" xfId="522" xr:uid="{7D00A7C2-1A14-47F6-9F4B-7A8501851D6F}"/>
    <cellStyle name="_Heading" xfId="523" xr:uid="{888AFFA8-A6B6-4E47-863E-A536FE69A884}"/>
    <cellStyle name="_Heading 2" xfId="524" xr:uid="{9B2382BA-805F-45B8-975B-725B4D529C81}"/>
    <cellStyle name="_Heading_03 pulp and paper deal comp" xfId="525" xr:uid="{91231B27-1749-4BFF-B874-5C50A713662B}"/>
    <cellStyle name="_Heading_03 pulp and paper deal comp 2" xfId="526" xr:uid="{BD2B9DAD-06D4-4D52-9805-82FAABA49F50}"/>
    <cellStyle name="_Heading_prestemp" xfId="527" xr:uid="{972903DC-6578-4DC3-8ADF-403E89DDDA06}"/>
    <cellStyle name="_Heading_prestemp 2" xfId="528" xr:uid="{17AAA534-9B83-4A7E-B90A-E238454FA147}"/>
    <cellStyle name="_Heading_WACC_Calculation_Apr 25" xfId="529" xr:uid="{3925C544-C43F-4623-B801-DBFEB51F3A5A}"/>
    <cellStyle name="_Heading_WACC_Calculation_Apr 25 2" xfId="530" xr:uid="{1C4441D0-BEDD-4AB2-9B7B-BBC4185C0AA2}"/>
    <cellStyle name="_Heading_WACC_Calculation_March 14" xfId="531" xr:uid="{7246CC00-FF2A-4288-9D7B-B0C889674279}"/>
    <cellStyle name="_Heading_WACC_Calculation_March 14 2" xfId="532" xr:uid="{093BECB7-58EC-4300-930A-56A2BB199453}"/>
    <cellStyle name="_Highlight" xfId="533" xr:uid="{0BF290B6-0D2A-45DF-A908-6157B44E15F6}"/>
    <cellStyle name="_Highlight 2" xfId="534" xr:uid="{F4BB4348-C99E-40F9-8A65-304CEC206BD9}"/>
    <cellStyle name="_Innsamling" xfId="15" xr:uid="{00000000-0005-0000-0000-000008000000}"/>
    <cellStyle name="_JP Morgan" xfId="16" xr:uid="{00000000-0005-0000-0000-000009000000}"/>
    <cellStyle name="_Mal for innhenting av estimater Q4- 2002" xfId="17" xr:uid="{00000000-0005-0000-0000-00000A000000}"/>
    <cellStyle name="_Millicom_current" xfId="18" xr:uid="{00000000-0005-0000-0000-00000B000000}"/>
    <cellStyle name="_Minas Model December 26" xfId="535" xr:uid="{B3770098-AF4F-4E0C-BBBB-56D89975D4CA}"/>
    <cellStyle name="_Minas Model December 26 2" xfId="536" xr:uid="{A39A0800-442F-4003-9C24-31021AC3D6F3}"/>
    <cellStyle name="_Minas Model December 27 - FINAL" xfId="537" xr:uid="{F8FB9E6F-731F-46F0-9832-DDEE88457C7C}"/>
    <cellStyle name="_Minas Model December 27 - FINAL 2" xfId="538" xr:uid="{5D8FAD35-A053-4FA8-BB2E-1C4A5872A0E2}"/>
    <cellStyle name="_Multiple" xfId="19" xr:uid="{00000000-0005-0000-0000-00000C000000}"/>
    <cellStyle name="_Multiple 2" xfId="540" xr:uid="{0BC3B7E9-E959-4DAD-8B57-4C8A01AB19A3}"/>
    <cellStyle name="_Multiple 3" xfId="539" xr:uid="{C5C7EB01-7FFD-411E-A4F1-8F5A3F82D5BD}"/>
    <cellStyle name="_Multiple_03 pulp and paper deal comp" xfId="541" xr:uid="{71947EA5-3373-41DF-A642-79A4A0EE45E4}"/>
    <cellStyle name="_Multiple_dcf" xfId="542" xr:uid="{FC66DABD-BDF8-4C87-B8E6-2A1441B58E4C}"/>
    <cellStyle name="_Multiple_FINAL MODEL PLANTA TITAN" xfId="543" xr:uid="{A64AF010-8CFF-4DDC-B4C2-C388FF8D9FAF}"/>
    <cellStyle name="_MultipleSpace" xfId="20" xr:uid="{00000000-0005-0000-0000-00000D000000}"/>
    <cellStyle name="_MultipleSpace 2" xfId="545" xr:uid="{7502B9A6-510F-484B-A0F8-8A080971BE22}"/>
    <cellStyle name="_MultipleSpace 3" xfId="544" xr:uid="{21830C52-C861-4047-90CB-77611CBA6C68}"/>
    <cellStyle name="_MultipleSpace_03 pulp and paper deal comp" xfId="546" xr:uid="{8E4E1BB5-5D4E-45EE-9B41-999EC66AF181}"/>
    <cellStyle name="_MultipleSpace_dcf" xfId="547" xr:uid="{F5017291-578D-48C3-B5B3-5E964BDB3F8C}"/>
    <cellStyle name="_MultipleSpace_FINAL MODEL PLANTA TITAN" xfId="548" xr:uid="{2D3869C1-DAF4-41D4-B7B3-23E20DAE368F}"/>
    <cellStyle name="_Pasta1" xfId="549" xr:uid="{2FAFB779-9D47-45DB-8011-6EA229C1E056}"/>
    <cellStyle name="_Pasta1 2" xfId="550" xr:uid="{147BB726-9F44-4529-B26F-6DEC4952738E}"/>
    <cellStyle name="_Percent" xfId="21" xr:uid="{00000000-0005-0000-0000-00000E000000}"/>
    <cellStyle name="_Percent 2" xfId="552" xr:uid="{BFCE2AAD-8D9F-437E-8C0F-466B044D3A68}"/>
    <cellStyle name="_Percent 3" xfId="551" xr:uid="{81E9EE20-95A6-4772-8ADD-BDC8FADEA69E}"/>
    <cellStyle name="_Percent_01 Ripasa WACC Calculation" xfId="553" xr:uid="{3BB3FDAF-2831-41C6-BD35-E990B2761C4D}"/>
    <cellStyle name="_Percent_03 pulp and paper deal comp" xfId="554" xr:uid="{219C8EB7-C0DD-4682-A488-79CBC3348518}"/>
    <cellStyle name="_Percent_FINAL MODEL PLANTA TITAN" xfId="555" xr:uid="{5A249FBB-743C-4841-AC17-3FEF01209BFD}"/>
    <cellStyle name="_Percent_Minas Model December 26" xfId="556" xr:uid="{58350C0D-3DA8-487B-BA4E-AB83E622B82F}"/>
    <cellStyle name="_Percent_Minas Model December 27 - FINAL" xfId="557" xr:uid="{24AA197E-5601-4359-92BE-D9F7CDD3D948}"/>
    <cellStyle name="_Percent_wacc" xfId="558" xr:uid="{4B6A7DBA-18E4-428C-BB2C-29DEF8A764D5}"/>
    <cellStyle name="_PercentSpace" xfId="22" xr:uid="{00000000-0005-0000-0000-00000F000000}"/>
    <cellStyle name="_Ricardo - Template Vivo Part JUN-06 rev 120707" xfId="559" xr:uid="{46D6F608-81D9-422B-B31E-0B06E5B368EF}"/>
    <cellStyle name="_Ricardo - Template Vivo Part JUN-06 rev 120707 2" xfId="560" xr:uid="{7E51E575-D43C-40B0-82B6-5E917A3D59A0}"/>
    <cellStyle name="_SubHeading" xfId="561" xr:uid="{D5950726-AD35-4332-B05F-1A3E1A717989}"/>
    <cellStyle name="_SubHeading 2" xfId="562" xr:uid="{1C146E6D-A30A-400F-995B-B1E67B0F8F61}"/>
    <cellStyle name="_SubHeading_03 pulp and paper deal comp" xfId="563" xr:uid="{234AFA44-13C7-4557-906A-B96979084FBA}"/>
    <cellStyle name="_SubHeading_03 pulp and paper deal comp 2" xfId="564" xr:uid="{D0420C66-179E-4FAF-B4FA-8B13D6D1A16A}"/>
    <cellStyle name="_SubHeading_prestemp" xfId="565" xr:uid="{B28E93D7-F06F-460C-A143-69386F1AB7A1}"/>
    <cellStyle name="_SubHeading_prestemp 2" xfId="566" xr:uid="{FA7A5805-8061-4036-9E50-FDAA72CE14E8}"/>
    <cellStyle name="_SubHeading_WACC_Calculation_Apr 25" xfId="567" xr:uid="{24C77A3F-9E12-40EB-ADA9-E708C6735A58}"/>
    <cellStyle name="_SubHeading_WACC_Calculation_Apr 25 2" xfId="568" xr:uid="{097C4EF3-48DC-468B-B603-A6784D0C7F82}"/>
    <cellStyle name="_SubHeading_WACC_Calculation_March 14" xfId="569" xr:uid="{D228FB5D-1D2B-4074-AC6F-131A1C94427C}"/>
    <cellStyle name="_SubHeading_WACC_Calculation_March 14 2" xfId="570" xr:uid="{7E0C7970-D989-486C-9930-BF51456235DC}"/>
    <cellStyle name="_Table" xfId="571" xr:uid="{0F411A9B-AE35-4B8B-B0B6-1FD949BF1323}"/>
    <cellStyle name="_Table 2" xfId="572" xr:uid="{A2C698AD-FAAD-4DA5-8700-CC4AF289AAB5}"/>
    <cellStyle name="_TableHead" xfId="573" xr:uid="{AAF639D2-9431-4331-A6A6-15C6CBE677A9}"/>
    <cellStyle name="_TableHead 2" xfId="574" xr:uid="{0385FE3F-B919-4EA8-BB99-3F2DEE4A3F4A}"/>
    <cellStyle name="_TableRowHead" xfId="575" xr:uid="{104C64DE-899C-4227-AA6B-B004E529DCFA}"/>
    <cellStyle name="_TableRowHead 2" xfId="576" xr:uid="{ED8D8DF7-B7B2-476F-A8AE-9F9DBBBC1504}"/>
    <cellStyle name="_TableSuperHead" xfId="577" xr:uid="{A851AD50-46DE-4183-85BD-21AD7F273365}"/>
    <cellStyle name="_TableSuperHead 2" xfId="578" xr:uid="{2FC2EAB4-C6DE-4E34-B23B-F4F6B5E78552}"/>
    <cellStyle name="_Template Vivo Part Mar-06 I" xfId="579" xr:uid="{219B5A49-0281-4966-B7FF-073FDAECA116}"/>
    <cellStyle name="_Template Vivo Part Mar-06 I 2" xfId="580" xr:uid="{72051F24-2A49-4B44-9266-E6FA70EA6DDF}"/>
    <cellStyle name="_Vodacom WIP" xfId="581" xr:uid="{15A70D2F-E3BD-43B2-ABB9-59B617DCF666}"/>
    <cellStyle name="_wacc" xfId="582" xr:uid="{6ED09117-03D3-4733-814C-A58F0C25503A}"/>
    <cellStyle name="_wacc 2" xfId="583" xr:uid="{41D208A5-0905-4CD0-9E9F-3905DE9C9A67}"/>
    <cellStyle name="£ BP" xfId="584" xr:uid="{E6C0B1E4-B68F-452F-AE8E-3AB75137BDB6}"/>
    <cellStyle name="¤@¯ë_Sheet1 (2)" xfId="23" xr:uid="{00000000-0005-0000-0000-000010000000}"/>
    <cellStyle name="¥ JY" xfId="585" xr:uid="{6F99899C-8D02-4256-9866-BEBFD4485667}"/>
    <cellStyle name="=C:\WINNT\SYSTEM32\COMMAND.COM" xfId="586" xr:uid="{52A83D31-B567-4772-8FE7-5E6402A7D3C9}"/>
    <cellStyle name="=C:\WINNT\SYSTEM32\COMMAND.COM 2" xfId="587" xr:uid="{694FF34C-EBD0-436C-8B3F-661C3217AC6D}"/>
    <cellStyle name="=C:\WINNT35\SYSTEM32\COMMAND.COM" xfId="588" xr:uid="{362B2BC6-3C16-4484-AB97-568BDF936729}"/>
    <cellStyle name="=C:\WINNT35\SYSTEM32\COMMAND.COM 2" xfId="589" xr:uid="{5AACB7D2-85B8-43D0-BDBC-81D8751339F5}"/>
    <cellStyle name="=C:\WINNT35\SYSTEM32\COMMAND.COM 3" xfId="590" xr:uid="{7A0F9E62-11FD-4F6D-BE5E-30BC892F8136}"/>
    <cellStyle name="§Q\òm1@À" xfId="24" xr:uid="{00000000-0005-0000-0000-000011000000}"/>
    <cellStyle name="•W€_VALUE" xfId="25" xr:uid="{00000000-0005-0000-0000-000012000000}"/>
    <cellStyle name="‰p•¶" xfId="591" xr:uid="{E8EA7C60-BB1C-4F02-B5A7-88AFE6A19D4A}"/>
    <cellStyle name="‰p•¶ 2" xfId="592" xr:uid="{8D0E4993-2130-4976-AA60-069A056EBFA9}"/>
    <cellStyle name="0" xfId="593" xr:uid="{FF4D8201-3529-43FB-9F14-0FB4C6C72C67}"/>
    <cellStyle name="0  + -" xfId="594" xr:uid="{5A310B4F-FA44-4948-8B66-8BEAA610C09A}"/>
    <cellStyle name="0%" xfId="595" xr:uid="{06EFAD00-FF12-494C-B787-383B1C64974A}"/>
    <cellStyle name="0,0_x000d__x000a_NA_x000d__x000a_" xfId="596" xr:uid="{D713665C-4F44-4434-83BE-05546BD99845}"/>
    <cellStyle name="0,0_x000d__x000a_NA_x000d__x000a_ 2" xfId="597" xr:uid="{072E262C-02EB-4B86-915D-04878AEA824A}"/>
    <cellStyle name="0.0%" xfId="598" xr:uid="{41AEB150-457E-4595-A83D-31F8E071520F}"/>
    <cellStyle name="0.00%" xfId="599" xr:uid="{411EC726-31C6-4553-9C44-159F4B5EA335}"/>
    <cellStyle name="0+ -" xfId="600" xr:uid="{B5356AFA-38A7-4354-AE4F-8F86E71D6CFA}"/>
    <cellStyle name="0+   -" xfId="601" xr:uid="{57FBB445-F6AF-4ABA-B2C5-EDB4D9BCEAC5}"/>
    <cellStyle name="000 PN" xfId="602" xr:uid="{14B2C0A3-1D11-4080-9E3D-AC2FB6B7234F}"/>
    <cellStyle name="0000" xfId="603" xr:uid="{37B9FE70-6D8E-41AB-B805-30C4F754FF72}"/>
    <cellStyle name="000000" xfId="604" xr:uid="{C167D9CB-4DCE-4B66-810F-09B1467762ED}"/>
    <cellStyle name="1 Decimal" xfId="605" xr:uid="{3E363C01-8F6A-45C0-AD33-8F9FC33EF083}"/>
    <cellStyle name="2 Decimals" xfId="606" xr:uid="{3C108570-164F-4E46-973A-26A0E993C154}"/>
    <cellStyle name="20% - Accent1" xfId="430" builtinId="30" customBuiltin="1"/>
    <cellStyle name="20% - Accent1 2" xfId="607" xr:uid="{DCCDCB06-5DB0-4CC2-A59F-12B2349562C0}"/>
    <cellStyle name="20% - Accent2" xfId="433" builtinId="34" customBuiltin="1"/>
    <cellStyle name="20% - Accent2 2" xfId="608" xr:uid="{4DEE7864-6B92-4F0B-83D9-16EDA91201AB}"/>
    <cellStyle name="20% - Accent3" xfId="436" builtinId="38" customBuiltin="1"/>
    <cellStyle name="20% - Accent3 2" xfId="609" xr:uid="{20A312E4-9F62-4A94-BF56-55A201442656}"/>
    <cellStyle name="20% - Accent4" xfId="439" builtinId="42" customBuiltin="1"/>
    <cellStyle name="20% - Accent4 2" xfId="610" xr:uid="{957D83E0-8B2A-454A-AB18-2809FEA1712E}"/>
    <cellStyle name="20% - Accent5" xfId="442" builtinId="46" customBuiltin="1"/>
    <cellStyle name="20% - Accent5 2" xfId="611" xr:uid="{0764B519-072D-45DB-B950-4D4506779EAF}"/>
    <cellStyle name="20% - Accent6" xfId="445" builtinId="50" customBuiltin="1"/>
    <cellStyle name="20% - Accent6 2" xfId="612" xr:uid="{9F28E863-08AA-4B5D-8173-934155A11416}"/>
    <cellStyle name="3 Decimals" xfId="613" xr:uid="{3860AC3E-121B-440F-B385-D4EB79CE8948}"/>
    <cellStyle name="3f1o [0]_J-Hwang242" xfId="26" xr:uid="{00000000-0005-0000-0000-000013000000}"/>
    <cellStyle name="3f1o_J-Hwang2an" xfId="27" xr:uid="{00000000-0005-0000-0000-000014000000}"/>
    <cellStyle name="40% - Accent1" xfId="431" builtinId="31" customBuiltin="1"/>
    <cellStyle name="40% - Accent1 2" xfId="614" xr:uid="{227A0B42-64C1-4C7E-BF89-2D5E0D571123}"/>
    <cellStyle name="40% - Accent2" xfId="434" builtinId="35" customBuiltin="1"/>
    <cellStyle name="40% - Accent2 2" xfId="616" xr:uid="{29296864-36A4-4F2B-8C06-4E8CE34FBB64}"/>
    <cellStyle name="40% - Accent3" xfId="437" builtinId="39" customBuiltin="1"/>
    <cellStyle name="40% - Accent3 2" xfId="617" xr:uid="{227B515D-DC44-4E1F-AA64-7C50B9128B23}"/>
    <cellStyle name="40% - Accent4" xfId="440" builtinId="43" customBuiltin="1"/>
    <cellStyle name="40% - Accent4 2" xfId="618" xr:uid="{4B82CE38-84EC-4476-9590-384E977788F5}"/>
    <cellStyle name="40% - Accent5" xfId="443" builtinId="47" customBuiltin="1"/>
    <cellStyle name="40% - Accent5 2" xfId="619" xr:uid="{87CE36F5-E1B5-4AE7-94F8-C7F2E7DE54A4}"/>
    <cellStyle name="40% - Accent6" xfId="446" builtinId="51" customBuiltin="1"/>
    <cellStyle name="40% - Accent6 2" xfId="620" xr:uid="{C4DB7DBF-BEAB-477A-94C6-594805AE1820}"/>
    <cellStyle name="60% - Accent1 2" xfId="622" xr:uid="{5A101F11-C892-4E43-AB2A-81C5DD63F051}"/>
    <cellStyle name="60% - Accent1 3" xfId="621" xr:uid="{C479480E-2949-4026-A7A0-9306D77DB1AE}"/>
    <cellStyle name="60% - Accent2 2" xfId="624" xr:uid="{25B24B3D-2C3D-402D-AD82-BFE752FD9264}"/>
    <cellStyle name="60% - Accent2 3" xfId="623" xr:uid="{08DC67A1-17C2-4E0F-BFFE-359AB8A1ADBC}"/>
    <cellStyle name="60% - Accent3 2" xfId="626" xr:uid="{A37C2952-EC25-4B4B-A3AF-5252C1D02E07}"/>
    <cellStyle name="60% - Accent3 3" xfId="625" xr:uid="{1B5E05E8-6C71-4CAC-BE0A-F844AEB8956E}"/>
    <cellStyle name="60% - Accent4 2" xfId="628" xr:uid="{123FBBBF-7A3C-4196-8812-0D2084915B46}"/>
    <cellStyle name="60% - Accent4 3" xfId="627" xr:uid="{104C13FA-611D-46F3-A476-8A6EC0B7FE01}"/>
    <cellStyle name="60% - Accent5 2" xfId="630" xr:uid="{CBB1BEE4-0CF7-4BCB-822D-881B88086958}"/>
    <cellStyle name="60% - Accent5 3" xfId="629" xr:uid="{4CB2ECDF-878E-42DF-963C-6A64647AB45A}"/>
    <cellStyle name="60% - Accent6 2" xfId="632" xr:uid="{92E81507-FC9D-4AC7-A2C1-32D943C4EC4B}"/>
    <cellStyle name="60% - Accent6 3" xfId="631" xr:uid="{8B4BDB21-40CD-49B4-BFED-4EEF4FC2AB19}"/>
    <cellStyle name="600 PN" xfId="633" xr:uid="{5AD878E8-9100-4CD3-ACDD-7DB639D6A26C}"/>
    <cellStyle name="6mal" xfId="634" xr:uid="{63037AB6-6F6A-4259-B9B8-BDC20D37BC30}"/>
    <cellStyle name="700 PN" xfId="635" xr:uid="{6C99935E-0E16-45FB-ACBF-9697C1F42216}"/>
    <cellStyle name="A3 297 x 420 mm" xfId="636" xr:uid="{1F549677-E91E-4AB8-A1B5-5CF52A25AECB}"/>
    <cellStyle name="aaa" xfId="28" xr:uid="{00000000-0005-0000-0000-000015000000}"/>
    <cellStyle name="AbertBalan" xfId="637" xr:uid="{B858C028-9B88-45B2-A2F8-E3C6ECD5B9A7}"/>
    <cellStyle name="Accent1" xfId="429" builtinId="29" customBuiltin="1"/>
    <cellStyle name="Accent1 2" xfId="638" xr:uid="{4426CF77-8ADA-4421-B39F-DF9BD28844A2}"/>
    <cellStyle name="Accent2" xfId="432" builtinId="33" customBuiltin="1"/>
    <cellStyle name="Accent2 2" xfId="639" xr:uid="{90B23CE1-1C58-4636-B7D0-939D6E2833C6}"/>
    <cellStyle name="Accent3" xfId="435" builtinId="37" customBuiltin="1"/>
    <cellStyle name="Accent3 2" xfId="640" xr:uid="{A7ACD52F-C86A-4A6E-BC5B-42AE1D5C5960}"/>
    <cellStyle name="Accent4" xfId="438" builtinId="41" customBuiltin="1"/>
    <cellStyle name="Accent4 2" xfId="641" xr:uid="{9625D5E9-CBCF-45A0-B7A1-8238CD3A021B}"/>
    <cellStyle name="Accent5" xfId="441" builtinId="45" customBuiltin="1"/>
    <cellStyle name="Accent5 2" xfId="642" xr:uid="{1A97C8C6-5BDF-4672-BCFC-A2B5C83AD6C3}"/>
    <cellStyle name="Accent6" xfId="444" builtinId="49" customBuiltin="1"/>
    <cellStyle name="Accent6 2" xfId="643" xr:uid="{77D779BD-0C5B-4526-BC0A-22874719135D}"/>
    <cellStyle name="Acquisition" xfId="29" xr:uid="{00000000-0005-0000-0000-000016000000}"/>
    <cellStyle name="ÅëÈ­ [0]_TestResults" xfId="30" xr:uid="{00000000-0005-0000-0000-000017000000}"/>
    <cellStyle name="ÅëÈ­_TestResults" xfId="31" xr:uid="{00000000-0005-0000-0000-000018000000}"/>
    <cellStyle name="AFE" xfId="644" xr:uid="{3ABD0DA1-21E6-422B-AE90-7F61152041D7}"/>
    <cellStyle name="AFE 2" xfId="645" xr:uid="{8F177E8C-99E7-4172-95C2-E7DC0B48E649}"/>
    <cellStyle name="ANALYST" xfId="32" xr:uid="{00000000-0005-0000-0000-000019000000}"/>
    <cellStyle name="Année" xfId="33" xr:uid="{00000000-0005-0000-0000-00001A000000}"/>
    <cellStyle name="Année (e)" xfId="34" xr:uid="{00000000-0005-0000-0000-00001B000000}"/>
    <cellStyle name="Año" xfId="646" xr:uid="{C8B0E5CF-9E1E-4661-871F-22808C4ED87F}"/>
    <cellStyle name="Año 2" xfId="647" xr:uid="{8B5DF36D-23E3-4B91-9156-DE31CD35D6A0}"/>
    <cellStyle name="anobase" xfId="648" xr:uid="{50EE3F2B-6DB4-49CD-89B3-538A2F822479}"/>
    <cellStyle name="anos" xfId="649" xr:uid="{1797B121-32F0-4B39-B927-9EEA7A94D0C6}"/>
    <cellStyle name="args.style" xfId="650" xr:uid="{718F4BC4-EBA8-485E-9281-169E7F58E283}"/>
    <cellStyle name="args.style 2" xfId="651" xr:uid="{6076D042-8A0E-4B80-9FD0-EC7B9A3AE406}"/>
    <cellStyle name="Arial 10" xfId="35" xr:uid="{00000000-0005-0000-0000-00001C000000}"/>
    <cellStyle name="Arial 12" xfId="36" xr:uid="{00000000-0005-0000-0000-00001D000000}"/>
    <cellStyle name="Assumption" xfId="37" xr:uid="{00000000-0005-0000-0000-00001E000000}"/>
    <cellStyle name="Assumptions" xfId="38" xr:uid="{00000000-0005-0000-0000-00001F000000}"/>
    <cellStyle name="ÄÞ¸¶ [0]_TestResults" xfId="39" xr:uid="{00000000-0005-0000-0000-000020000000}"/>
    <cellStyle name="ÄÞ¸¶_TestResults" xfId="40" xr:uid="{00000000-0005-0000-0000-000021000000}"/>
    <cellStyle name="auf tausender" xfId="653" xr:uid="{CE0A1E01-DDDE-46F4-B887-2C15331DC43D}"/>
    <cellStyle name="Availability" xfId="41" xr:uid="{00000000-0005-0000-0000-000022000000}"/>
    <cellStyle name="Bad" xfId="420" builtinId="27" customBuiltin="1"/>
    <cellStyle name="Bad 2" xfId="654" xr:uid="{E0556989-514E-4E7F-8FD7-8C123B66F010}"/>
    <cellStyle name="BalanceSheet" xfId="42" xr:uid="{00000000-0005-0000-0000-000023000000}"/>
    <cellStyle name="BlackTitle" xfId="43" xr:uid="{00000000-0005-0000-0000-000024000000}"/>
    <cellStyle name="Blank" xfId="44" xr:uid="{00000000-0005-0000-0000-000025000000}"/>
    <cellStyle name="blank 2" xfId="656" xr:uid="{67866F89-6B45-47B5-AFCA-1C558F9E1867}"/>
    <cellStyle name="Blank 3" xfId="657" xr:uid="{1175059C-EE09-48A4-AE61-D0BE62108ED2}"/>
    <cellStyle name="Blank 4" xfId="658" xr:uid="{69411565-26DE-4D05-8A9F-56F80C1D2FAA}"/>
    <cellStyle name="blank 5" xfId="655" xr:uid="{FBFA1FA5-AA76-4698-BBAA-C2B698B74E29}"/>
    <cellStyle name="blank 6" xfId="907" xr:uid="{B7720A5F-4859-4072-A500-4696164C7816}"/>
    <cellStyle name="blank 7" xfId="1372" xr:uid="{D82D6AA3-EF45-43AD-84BC-C4919206D951}"/>
    <cellStyle name="block" xfId="45" xr:uid="{00000000-0005-0000-0000-000026000000}"/>
    <cellStyle name="Blue" xfId="659" xr:uid="{B48DE089-AF23-4251-BC5B-E12CBD4BC8A2}"/>
    <cellStyle name="Blue Font" xfId="660" xr:uid="{9C45D865-B8A3-4DDB-848F-C528D79F84F6}"/>
    <cellStyle name="Blue Font 2" xfId="661" xr:uid="{50A5133F-B3CE-4291-B91B-0F39F7191F87}"/>
    <cellStyle name="Bold/Border" xfId="662" xr:uid="{30D7A9EE-D5D3-4C89-BB4F-9C89D38CF087}"/>
    <cellStyle name="Bold/Border 2" xfId="663" xr:uid="{C4B756D9-F2CE-4B82-93D3-D87C8E76C3C6}"/>
    <cellStyle name="bolet" xfId="664" xr:uid="{58126214-9EDA-4859-8DD5-50A3C73E438E}"/>
    <cellStyle name="Border Heavy" xfId="46" xr:uid="{00000000-0005-0000-0000-000027000000}"/>
    <cellStyle name="Border Thin" xfId="47" xr:uid="{00000000-0005-0000-0000-000028000000}"/>
    <cellStyle name="British Pound" xfId="48" xr:uid="{00000000-0005-0000-0000-000029000000}"/>
    <cellStyle name="Bullet" xfId="665" xr:uid="{C164EA54-9EDA-4BDB-960A-143D91B4B559}"/>
    <cellStyle name="Ç¥ÁØ_TestResults" xfId="49" xr:uid="{00000000-0005-0000-0000-00002A000000}"/>
    <cellStyle name="Cabe‡alho 1" xfId="666" xr:uid="{C6D1024E-4422-438E-8A6A-EAD333A2CB42}"/>
    <cellStyle name="Cabe‡alho 2" xfId="667" xr:uid="{D22F09E5-9252-4D55-8C8B-CAEA48D1E251}"/>
    <cellStyle name="Cabeçalho 1" xfId="668" xr:uid="{362B7A73-6F0C-4D22-A525-1DE5F01AA5DB}"/>
    <cellStyle name="Cabeçalho 1 2" xfId="669" xr:uid="{FEF05C90-E497-4C17-8478-F2A0F10FB04C}"/>
    <cellStyle name="Cabeçalho 2" xfId="670" xr:uid="{27BEEAFA-EB6F-4681-8477-340BD5F90B91}"/>
    <cellStyle name="Cabeçalho 2 2" xfId="671" xr:uid="{7D5623C2-4606-4D37-A609-C9EEC3D77E4A}"/>
    <cellStyle name="Cabecera 1" xfId="672" xr:uid="{C8682D93-C884-4787-8A0D-35F125A2CE3A}"/>
    <cellStyle name="Cabecera 2" xfId="673" xr:uid="{9CA573DD-E274-4317-9FEA-0D44EC27A22C}"/>
    <cellStyle name="Calc Currency (0)" xfId="674" xr:uid="{585A14E3-FEE8-48EB-A1A8-0F0E807ECD76}"/>
    <cellStyle name="Calcul" xfId="50" xr:uid="{00000000-0005-0000-0000-00002B000000}"/>
    <cellStyle name="Calculation" xfId="423" builtinId="22" customBuiltin="1"/>
    <cellStyle name="Calculation 2" xfId="675" xr:uid="{B1839B29-BD6C-4EF4-863A-92A049C74821}"/>
    <cellStyle name="CashFlow" xfId="51" xr:uid="{00000000-0005-0000-0000-00002C000000}"/>
    <cellStyle name="category" xfId="676" xr:uid="{527DD1E3-B57F-4812-B9F4-E8389F6DECB2}"/>
    <cellStyle name="Changeable" xfId="677" xr:uid="{E1A376D4-F6C6-41B6-98C1-4B8761AC716B}"/>
    <cellStyle name="Check" xfId="678" xr:uid="{024A7CD2-4255-42D5-B374-B38F7D1FB3F9}"/>
    <cellStyle name="Check Cell" xfId="425" builtinId="23" customBuiltin="1"/>
    <cellStyle name="Check Cell 2" xfId="679" xr:uid="{3B74B10E-B19E-423D-86B4-5FF02B09EEE8}"/>
    <cellStyle name="Checksum" xfId="52" xr:uid="{00000000-0005-0000-0000-00002D000000}"/>
    <cellStyle name="ColHeading" xfId="53" xr:uid="{00000000-0005-0000-0000-00002E000000}"/>
    <cellStyle name="Column Heading" xfId="54" xr:uid="{00000000-0005-0000-0000-00002F000000}"/>
    <cellStyle name="Column Heading (No Wrap)" xfId="55" xr:uid="{00000000-0005-0000-0000-000030000000}"/>
    <cellStyle name="Column Heading_SHEET" xfId="56" xr:uid="{00000000-0005-0000-0000-000031000000}"/>
    <cellStyle name="Column label" xfId="57" xr:uid="{00000000-0005-0000-0000-000032000000}"/>
    <cellStyle name="Column label (left aligned)" xfId="58" xr:uid="{00000000-0005-0000-0000-000033000000}"/>
    <cellStyle name="Column label (no wrap)" xfId="59" xr:uid="{00000000-0005-0000-0000-000034000000}"/>
    <cellStyle name="Column label (not bold)" xfId="60" xr:uid="{00000000-0005-0000-0000-000035000000}"/>
    <cellStyle name="Column label_sheet" xfId="61" xr:uid="{00000000-0005-0000-0000-000036000000}"/>
    <cellStyle name="Column Total" xfId="62" xr:uid="{00000000-0005-0000-0000-000037000000}"/>
    <cellStyle name="Column_Title" xfId="680" xr:uid="{BC3E2DC5-14E0-44C1-A749-12A8FDF74F3F}"/>
    <cellStyle name="Comma" xfId="1" builtinId="3"/>
    <cellStyle name="comma - number" xfId="63" xr:uid="{00000000-0005-0000-0000-000039000000}"/>
    <cellStyle name="Comma [0] 2" xfId="682" xr:uid="{2A443795-BE54-402F-8DF9-B61A19DD5257}"/>
    <cellStyle name="Comma [2]" xfId="64" xr:uid="{00000000-0005-0000-0000-00003A000000}"/>
    <cellStyle name="Comma 0" xfId="65" xr:uid="{00000000-0005-0000-0000-00003B000000}"/>
    <cellStyle name="Comma 0 2" xfId="684" xr:uid="{78587F9F-B986-4C03-9069-5F7A5B480FEC}"/>
    <cellStyle name="Comma 0 3" xfId="683" xr:uid="{D27AED3D-66B9-4AFF-9E3A-D04D0CA58205}"/>
    <cellStyle name="Comma 10" xfId="685" xr:uid="{9BE40B59-D96C-44C1-AF2A-5032270238D2}"/>
    <cellStyle name="Comma 11" xfId="686" xr:uid="{6C23476C-E210-49BB-9A76-845BC4E876C0}"/>
    <cellStyle name="Comma 12" xfId="687" xr:uid="{52FC4F38-9B89-42E4-A5C7-2ED808A555DA}"/>
    <cellStyle name="Comma 13" xfId="688" xr:uid="{E14DE6A3-2BD7-4186-9933-503AEF27935C}"/>
    <cellStyle name="Comma 14" xfId="689" xr:uid="{01BE9190-8852-477B-B30E-A74359646982}"/>
    <cellStyle name="Comma 15" xfId="690" xr:uid="{671D3062-8CF1-4D7B-8C1C-7F411698863B}"/>
    <cellStyle name="Comma 16" xfId="691" xr:uid="{5E337A08-5D7D-4341-A966-407B1F374442}"/>
    <cellStyle name="Comma 17" xfId="692" xr:uid="{363ADFD9-E8BB-4726-8334-0E68ABC98EBF}"/>
    <cellStyle name="Comma 18" xfId="693" xr:uid="{A2A5E8FB-10BB-40DF-9AB5-FA23AF74C7FD}"/>
    <cellStyle name="Comma 19" xfId="694" xr:uid="{06418E72-5354-4310-B29E-7AA6FA11F73D}"/>
    <cellStyle name="Comma 2" xfId="66" xr:uid="{00000000-0005-0000-0000-00003C000000}"/>
    <cellStyle name="Comma 2 2" xfId="696" xr:uid="{55E456CE-D828-4E35-9DC3-310C8479EB9C}"/>
    <cellStyle name="Comma 2 2 2" xfId="697" xr:uid="{25358B49-D008-4258-B303-AFEBEAA3097D}"/>
    <cellStyle name="Comma 2 3" xfId="698" xr:uid="{E3CDF27D-BA2C-4909-A160-387A6EC80033}"/>
    <cellStyle name="Comma 2 4" xfId="699" xr:uid="{EB47310F-66DF-40AE-A9F7-3F88BA4C73EA}"/>
    <cellStyle name="Comma 2 5" xfId="700" xr:uid="{06BC8C9B-D6D4-4169-A289-0C5F87B9892F}"/>
    <cellStyle name="Comma 2 6" xfId="701" xr:uid="{727C04BA-4CE9-4D96-9ED8-E7CF1E6628EC}"/>
    <cellStyle name="Comma 2 7" xfId="695" xr:uid="{CE0E8DA5-C184-45AD-A91D-308F1C452F29}"/>
    <cellStyle name="Comma 20" xfId="702" xr:uid="{1CFE9E10-011C-4289-86C6-4C61F4CEAB44}"/>
    <cellStyle name="Comma 21" xfId="703" xr:uid="{69628077-CA3C-4E81-84FB-BF6B762FB966}"/>
    <cellStyle name="Comma 22" xfId="681" xr:uid="{14489FE6-9A77-426A-A99D-918C749BAF6E}"/>
    <cellStyle name="Comma 23" xfId="776" xr:uid="{6F7A5031-A557-4F04-B3A0-A279D9AA39C4}"/>
    <cellStyle name="Comma 24" xfId="1371" xr:uid="{7B84DBE6-0FA3-42EB-BA1C-74176C1C5841}"/>
    <cellStyle name="Comma 3" xfId="67" xr:uid="{00000000-0005-0000-0000-00003D000000}"/>
    <cellStyle name="Comma 3 2" xfId="411" xr:uid="{1E8B58FF-0D8C-4FBD-B6ED-261E1B981ADB}"/>
    <cellStyle name="Comma 3 2 2" xfId="705" xr:uid="{05688768-B68B-4A50-9C1A-14033690B010}"/>
    <cellStyle name="Comma 3 3" xfId="706" xr:uid="{B226091A-0280-4949-8639-57EA6FBA10A6}"/>
    <cellStyle name="Comma 3 4" xfId="707" xr:uid="{529F92C6-9FA8-4764-BB24-723307E34E51}"/>
    <cellStyle name="Comma 3 5" xfId="704" xr:uid="{C1BABFBB-76A3-4EC2-99FB-AEA5CB1EC36C}"/>
    <cellStyle name="Comma 31" xfId="708" xr:uid="{B764AF92-8056-4E2C-AC34-D81D182F512B}"/>
    <cellStyle name="Comma 4" xfId="68" xr:uid="{00000000-0005-0000-0000-00003E000000}"/>
    <cellStyle name="Comma 4 2" xfId="710" xr:uid="{B00866FF-F2A9-4C4C-BB7E-8A364F914765}"/>
    <cellStyle name="Comma 4 3" xfId="711" xr:uid="{B17752CC-11B7-40B3-ADE5-9DBA8E15F6BF}"/>
    <cellStyle name="Comma 4 4" xfId="712" xr:uid="{30CBF9E7-E6DC-49B9-B26D-339C3B74BF50}"/>
    <cellStyle name="Comma 4 5" xfId="709" xr:uid="{DCEF6AA4-4269-412A-84E3-17D493A7C71C}"/>
    <cellStyle name="Comma 5" xfId="713" xr:uid="{08E04FE1-B7BF-4558-92C0-6C65C5B3B793}"/>
    <cellStyle name="Comma 5 2" xfId="714" xr:uid="{29F72D54-C7BE-40AD-A538-06CA28CFB625}"/>
    <cellStyle name="Comma 6" xfId="715" xr:uid="{DA31FD0F-5B7E-4C21-B44D-ADF42E1FF504}"/>
    <cellStyle name="Comma 6 2" xfId="716" xr:uid="{8FB3F5EB-4129-4620-80BA-A7D118862EDB}"/>
    <cellStyle name="Comma 7" xfId="717" xr:uid="{BDFA0B69-48FE-4153-90B6-04AF336F6296}"/>
    <cellStyle name="Comma 8" xfId="718" xr:uid="{B5A6D80F-1790-4390-8AC6-7AEF2AE56B06}"/>
    <cellStyle name="Comma 9" xfId="719" xr:uid="{459013FE-915F-4C85-8CD6-557B745F39F8}"/>
    <cellStyle name="Comma(1)" xfId="69" xr:uid="{00000000-0005-0000-0000-00003F000000}"/>
    <cellStyle name="Comma, 1 dec" xfId="70" xr:uid="{00000000-0005-0000-0000-000040000000}"/>
    <cellStyle name="Comma_BT3" xfId="7" xr:uid="{00000000-0005-0000-0000-000041000000}"/>
    <cellStyle name="Comma0" xfId="71" xr:uid="{00000000-0005-0000-0000-000042000000}"/>
    <cellStyle name="Comma0 - Estilo1" xfId="721" xr:uid="{04A40758-0281-47B7-9420-ADF0087445C5}"/>
    <cellStyle name="Comma0 - Estilo1 2" xfId="722" xr:uid="{0BE1D118-A198-4090-AFD2-3C1056502392}"/>
    <cellStyle name="Comma0 - Estilo2" xfId="723" xr:uid="{66D827F4-D666-4201-B4EA-D75EAA62D4C6}"/>
    <cellStyle name="Comma0 - Estilo2 2" xfId="724" xr:uid="{4A524B48-0833-46D8-A1F0-FA3AF515B840}"/>
    <cellStyle name="Comma0 - Modelo1" xfId="725" xr:uid="{31AE2C39-EE81-42DF-BAF5-F94BBBAD4A7E}"/>
    <cellStyle name="Comma0 - Modelo1 2" xfId="726" xr:uid="{526CFE49-5F47-48B7-B769-C526CBE3519B}"/>
    <cellStyle name="Comma0 - Modelo2" xfId="727" xr:uid="{B54BC70F-598B-4ED8-A6EE-B81F3EED5224}"/>
    <cellStyle name="Comma0 - Style1" xfId="728" xr:uid="{3A52EFE2-F4EB-4CD8-B271-99C488214AD8}"/>
    <cellStyle name="Comma0 - Style1 2" xfId="729" xr:uid="{A430E294-EE80-45E6-88BA-AAA9487823E0}"/>
    <cellStyle name="Comma0 10" xfId="1370" xr:uid="{3D03C8A5-66C3-4D21-838B-773128E17A1C}"/>
    <cellStyle name="Comma0 2" xfId="730" xr:uid="{657968FF-DC53-4F67-8CD8-8CEEE6BEF312}"/>
    <cellStyle name="Comma0 2 2" xfId="731" xr:uid="{DF2F10E9-7577-4BC7-A425-A855F75B975D}"/>
    <cellStyle name="Comma0 3" xfId="732" xr:uid="{9BC7C7AE-B68A-4B2D-B15C-A26A2445F5DC}"/>
    <cellStyle name="Comma0 3 2" xfId="733" xr:uid="{DC8265AB-3A6D-48E2-901F-91A0CBC6593C}"/>
    <cellStyle name="Comma0 4" xfId="734" xr:uid="{DAD4D986-97F1-4AE1-9D3D-E505AD45E1F5}"/>
    <cellStyle name="Comma0 4 2" xfId="735" xr:uid="{FE09D04F-8B22-4263-ACCB-98E9797A6173}"/>
    <cellStyle name="Comma0 5" xfId="736" xr:uid="{1259ED0D-F110-40E2-B8E3-76D06E8B8A71}"/>
    <cellStyle name="Comma0 6" xfId="737" xr:uid="{AB040531-CC1F-41F6-91F4-EE5B8832AD93}"/>
    <cellStyle name="Comma0 7" xfId="738" xr:uid="{56D4464B-7566-4121-BCC7-29280D99ADD6}"/>
    <cellStyle name="Comma0 8" xfId="720" xr:uid="{D55CCF8B-155B-4482-A909-75D5C8DDB766}"/>
    <cellStyle name="Comma0 9" xfId="652" xr:uid="{E8B823CE-CE79-4683-A037-C34917405439}"/>
    <cellStyle name="Comma0_Ind_Fisicos_May" xfId="739" xr:uid="{C22FB6E1-8EC5-490A-87F6-1A9D18F5C83B}"/>
    <cellStyle name="Comma1 - Modelo2" xfId="740" xr:uid="{31C2EE90-87D9-4CC5-A82B-F58EA3A62B52}"/>
    <cellStyle name="Comma1 - Modelo2 2" xfId="741" xr:uid="{D7800F29-2874-4678-AB75-1BE1B495CE1C}"/>
    <cellStyle name="Comma1 - Style2" xfId="742" xr:uid="{1646384C-653C-4D5A-BD47-84EF235CED8E}"/>
    <cellStyle name="Comma1 - Style2 2" xfId="743" xr:uid="{7A49A46D-30A2-4AA4-9BC6-1BBF2DA1A4F6}"/>
    <cellStyle name="Company" xfId="72" xr:uid="{00000000-0005-0000-0000-000043000000}"/>
    <cellStyle name="Company Name" xfId="744" xr:uid="{1DA9E4BD-0819-4624-929E-48E5EBAEA7C8}"/>
    <cellStyle name="COMUN" xfId="745" xr:uid="{61057B77-1BBF-455B-8C98-78FE0987A01B}"/>
    <cellStyle name="Cover Date" xfId="73" xr:uid="{00000000-0005-0000-0000-000044000000}"/>
    <cellStyle name="Cover Subtitle" xfId="74" xr:uid="{00000000-0005-0000-0000-000045000000}"/>
    <cellStyle name="Cover Title" xfId="75" xr:uid="{00000000-0005-0000-0000-000046000000}"/>
    <cellStyle name="Cuadro 1" xfId="746" xr:uid="{78AA0AD8-4F9D-415F-9403-BA07C38AF65C}"/>
    <cellStyle name="Cuadro 1 2" xfId="747" xr:uid="{1FE64C2B-70FA-4A28-9EEE-319BF1607886}"/>
    <cellStyle name="CurRatio" xfId="76" xr:uid="{00000000-0005-0000-0000-000047000000}"/>
    <cellStyle name="Currency - Euro" xfId="77" xr:uid="{00000000-0005-0000-0000-000048000000}"/>
    <cellStyle name="Currency (2dp)" xfId="78" xr:uid="{00000000-0005-0000-0000-000049000000}"/>
    <cellStyle name="Currency [0] - Euro" xfId="79" xr:uid="{00000000-0005-0000-0000-00004A000000}"/>
    <cellStyle name="Currency [0] 2" xfId="748" xr:uid="{65C638D9-74BB-40C5-88DA-600614D05D8C}"/>
    <cellStyle name="Currency [1]" xfId="80" xr:uid="{00000000-0005-0000-0000-00004B000000}"/>
    <cellStyle name="Currency [2]" xfId="81" xr:uid="{00000000-0005-0000-0000-00004C000000}"/>
    <cellStyle name="Currency [2] 2" xfId="750" xr:uid="{BE2AD197-6405-4482-8292-CCC98D596FB8}"/>
    <cellStyle name="Currency [2] 3" xfId="751" xr:uid="{764CAA4F-D731-465D-94CC-0F6B3753DB88}"/>
    <cellStyle name="Currency [2] 4" xfId="749" xr:uid="{0458AD3F-BFD0-4EFE-920A-8D471D13CDC2}"/>
    <cellStyle name="Currency 0" xfId="82" xr:uid="{00000000-0005-0000-0000-00004D000000}"/>
    <cellStyle name="Currency 0 2" xfId="753" xr:uid="{D29C4000-2BA8-438D-9635-88FC4795129C}"/>
    <cellStyle name="Currency 0 3" xfId="752" xr:uid="{1EF8C839-8F46-4306-803A-1CAA33A8D4E7}"/>
    <cellStyle name="Currency 10" xfId="754" xr:uid="{5831D973-123F-42FC-8914-3957D155DB06}"/>
    <cellStyle name="Currency 11" xfId="755" xr:uid="{89AB8904-96B0-4C82-8024-429C845D9489}"/>
    <cellStyle name="Currency 12" xfId="756" xr:uid="{D911289B-ED7D-4E71-A342-0802EFA2B530}"/>
    <cellStyle name="Currency 13" xfId="757" xr:uid="{F6424BE5-3A8B-414A-A505-B9F1D32215F4}"/>
    <cellStyle name="Currency 14" xfId="758" xr:uid="{2A897BB3-D660-44A5-B490-76F190A10B2D}"/>
    <cellStyle name="Currency 15" xfId="759" xr:uid="{E578AF1E-DF9C-48A7-9ED3-48C21BB3E25C}"/>
    <cellStyle name="Currency 16" xfId="760" xr:uid="{77815E4E-116F-4A5C-8DB4-2885C19416B5}"/>
    <cellStyle name="Currency 17" xfId="761" xr:uid="{8F9E8EB0-6DCE-4301-9C42-5D1582A98E2F}"/>
    <cellStyle name="Currency 18" xfId="762" xr:uid="{649EDEC6-9E19-44AE-8E26-338AD3A56ED2}"/>
    <cellStyle name="Currency 19" xfId="763" xr:uid="{37A6C58C-F1BA-498E-8BEF-28DDE7B663C9}"/>
    <cellStyle name="Currency 2" xfId="83" xr:uid="{00000000-0005-0000-0000-00004E000000}"/>
    <cellStyle name="Currency 2 2" xfId="765" xr:uid="{6239419D-A8B4-4493-94AD-8201165B716D}"/>
    <cellStyle name="Currency 2 3" xfId="766" xr:uid="{61E37F47-AB2B-47BF-807C-3D612F1CC358}"/>
    <cellStyle name="Currency 2 4" xfId="764" xr:uid="{1AE8213E-1CCA-4A4E-829A-900D93AC25BA}"/>
    <cellStyle name="Currency 20" xfId="767" xr:uid="{85F4D85D-15BD-4026-BA27-B2DF7D24783B}"/>
    <cellStyle name="Currency 21" xfId="768" xr:uid="{F81317D1-4976-4739-9500-5157F5B1C2FF}"/>
    <cellStyle name="Currency 3" xfId="769" xr:uid="{F644D185-EB1F-4E08-912A-5D58C11D2373}"/>
    <cellStyle name="Currency 4" xfId="770" xr:uid="{E08CC9E9-78FB-4215-BD5F-84985490F333}"/>
    <cellStyle name="Currency 5" xfId="771" xr:uid="{B02A34AF-68DE-4F37-88C2-6E8974B22508}"/>
    <cellStyle name="Currency 6" xfId="772" xr:uid="{E5EDFE2F-3ADC-416A-B0AC-D2305D2F69AD}"/>
    <cellStyle name="Currency 7" xfId="773" xr:uid="{1F5F1B86-C477-4B0C-87E0-60B00651602B}"/>
    <cellStyle name="Currency 8" xfId="774" xr:uid="{19AFF7AB-7B88-4D9D-95F7-41B126C75E10}"/>
    <cellStyle name="Currency 9" xfId="775" xr:uid="{2FAE43A4-F98A-4C34-8C8D-CCEDB34610C6}"/>
    <cellStyle name="Currency Dollar" xfId="84" xr:uid="{00000000-0005-0000-0000-00004F000000}"/>
    <cellStyle name="Currency Dollar (2dp)" xfId="85" xr:uid="{00000000-0005-0000-0000-000050000000}"/>
    <cellStyle name="Currency EUR" xfId="86" xr:uid="{00000000-0005-0000-0000-000051000000}"/>
    <cellStyle name="Currency EUR (2dp)" xfId="87" xr:uid="{00000000-0005-0000-0000-000052000000}"/>
    <cellStyle name="Currency Euro" xfId="88" xr:uid="{00000000-0005-0000-0000-000053000000}"/>
    <cellStyle name="Currency Euro (2dp)" xfId="89" xr:uid="{00000000-0005-0000-0000-000054000000}"/>
    <cellStyle name="Currency GBP" xfId="90" xr:uid="{00000000-0005-0000-0000-000055000000}"/>
    <cellStyle name="Currency GBP (2dp)" xfId="91" xr:uid="{00000000-0005-0000-0000-000056000000}"/>
    <cellStyle name="Currency Pound" xfId="92" xr:uid="{00000000-0005-0000-0000-000057000000}"/>
    <cellStyle name="Currency Pound (2dp)" xfId="93" xr:uid="{00000000-0005-0000-0000-000058000000}"/>
    <cellStyle name="Currency USD" xfId="94" xr:uid="{00000000-0005-0000-0000-000059000000}"/>
    <cellStyle name="Currency USD (2dp)" xfId="95" xr:uid="{00000000-0005-0000-0000-00005A000000}"/>
    <cellStyle name="Currency0" xfId="96" xr:uid="{00000000-0005-0000-0000-00005B000000}"/>
    <cellStyle name="CustomStyle1" xfId="777" xr:uid="{5C36C6E3-42B1-4F91-99F3-FB2CD0F2661A}"/>
    <cellStyle name="CustomStyle10" xfId="778" xr:uid="{FAEECF3F-47A5-4F85-A586-1F37D3577669}"/>
    <cellStyle name="CustomStyle15" xfId="779" xr:uid="{7D7C98AF-9CB7-48C6-8C84-496F735613B8}"/>
    <cellStyle name="Dash" xfId="780" xr:uid="{DFF63640-3C0F-4D46-98EF-15F0F6F33154}"/>
    <cellStyle name="Data" xfId="781" xr:uid="{62A45D66-9228-41A0-B47A-816F8B604D1B}"/>
    <cellStyle name="Data 2" xfId="782" xr:uid="{8C52561A-4608-4F00-A6CE-B26276F5E930}"/>
    <cellStyle name="Date" xfId="97" xr:uid="{00000000-0005-0000-0000-00005C000000}"/>
    <cellStyle name="Date - Estilo1" xfId="784" xr:uid="{136784E3-CD7F-48E3-A82F-DC4F14F2AA89}"/>
    <cellStyle name="Date - Estilo1 2" xfId="785" xr:uid="{5957392F-8420-4C58-9C7D-DF0262672435}"/>
    <cellStyle name="Date (Month)" xfId="98" xr:uid="{00000000-0005-0000-0000-00005D000000}"/>
    <cellStyle name="Date (Year)" xfId="99" xr:uid="{00000000-0005-0000-0000-00005E000000}"/>
    <cellStyle name="Date [d-mmm-yy]" xfId="100" xr:uid="{00000000-0005-0000-0000-00005F000000}"/>
    <cellStyle name="Date [mm-d-yy]" xfId="101" xr:uid="{00000000-0005-0000-0000-000060000000}"/>
    <cellStyle name="Date [mm-d-yyyy]" xfId="102" xr:uid="{00000000-0005-0000-0000-000061000000}"/>
    <cellStyle name="Date [mmm-d-yyyy]" xfId="103" xr:uid="{00000000-0005-0000-0000-000062000000}"/>
    <cellStyle name="Date [mmm-yy]" xfId="104" xr:uid="{00000000-0005-0000-0000-000063000000}"/>
    <cellStyle name="Date [mmm-yyyy]" xfId="105" xr:uid="{00000000-0005-0000-0000-000064000000}"/>
    <cellStyle name="Date 2" xfId="786" xr:uid="{0D42DF62-F376-41E0-B7EF-74C9EF40CADE}"/>
    <cellStyle name="Date 3" xfId="787" xr:uid="{A8205534-1912-481D-BE49-98B67DC2E008}"/>
    <cellStyle name="Date 4" xfId="783" xr:uid="{F7381C25-3408-4E95-8DDC-78314A6D8200}"/>
    <cellStyle name="Date 5" xfId="1359" xr:uid="{3C5D3348-E901-49EA-8AF7-4912C9AEEF14}"/>
    <cellStyle name="Date 6" xfId="1366" xr:uid="{861A6FED-3CCE-4B72-909A-9C869F2AB895}"/>
    <cellStyle name="Date Aligned" xfId="106" xr:uid="{00000000-0005-0000-0000-000065000000}"/>
    <cellStyle name="Date Aligned 2" xfId="789" xr:uid="{7F33B82F-B7DA-4573-A94B-5CD926D5E07B}"/>
    <cellStyle name="Date Aligned 3" xfId="788" xr:uid="{4CC78DE2-1684-46AB-9EF2-001951A63135}"/>
    <cellStyle name="Date_BT2" xfId="107" xr:uid="{00000000-0005-0000-0000-000066000000}"/>
    <cellStyle name="Date2" xfId="108" xr:uid="{00000000-0005-0000-0000-000067000000}"/>
    <cellStyle name="Dates" xfId="109" xr:uid="{00000000-0005-0000-0000-000068000000}"/>
    <cellStyle name="DateYear" xfId="110" xr:uid="{00000000-0005-0000-0000-000069000000}"/>
    <cellStyle name="Déprotégée" xfId="111" xr:uid="{00000000-0005-0000-0000-00006A000000}"/>
    <cellStyle name="desppag" xfId="790" xr:uid="{9357424D-C805-476F-85CA-900DA09357AD}"/>
    <cellStyle name="desppag 2" xfId="791" xr:uid="{128BAFF8-E408-43CD-9850-B4C34E7B4FCB}"/>
    <cellStyle name="Devise" xfId="112" xr:uid="{00000000-0005-0000-0000-00006B000000}"/>
    <cellStyle name="Dezimal (0.0)" xfId="113" xr:uid="{00000000-0005-0000-0000-00006C000000}"/>
    <cellStyle name="Dezimal [0]_Compiling Utility Macros" xfId="792" xr:uid="{B84D8073-EFE0-4C4D-BF5C-1BEB2B0DCF0E}"/>
    <cellStyle name="Dezimal_Compiling Utility Macros" xfId="793" xr:uid="{F00DEAAD-DDA3-4DB3-B711-A3AED3DC4F16}"/>
    <cellStyle name="Dia" xfId="794" xr:uid="{0AC1A00E-0C43-47A4-ACE9-349D5F7F4AFB}"/>
    <cellStyle name="Dia 2" xfId="795" xr:uid="{C5E2D2A2-B0DF-49CF-9EBA-8326F3CA6D6D}"/>
    <cellStyle name="Diseño" xfId="796" xr:uid="{9FBB3F00-A972-40BC-B2CD-A039FCCF5532}"/>
    <cellStyle name="Diseño 2" xfId="797" xr:uid="{F5E8D224-86BC-4D54-8F99-FC8C24E1169F}"/>
    <cellStyle name="Diseño 2 2" xfId="798" xr:uid="{9E6F6712-DAC9-487D-9567-AE36EE19012D}"/>
    <cellStyle name="Diseño 3" xfId="799" xr:uid="{97EC4442-4D08-4E44-9904-7CAB36B76182}"/>
    <cellStyle name="Diseño 4" xfId="800" xr:uid="{86838953-76E2-4858-9E10-EA6D2504F254}"/>
    <cellStyle name="divisao" xfId="801" xr:uid="{69582573-5173-4116-BC20-ADAA5048BDF3}"/>
    <cellStyle name="Dollar" xfId="114" xr:uid="{00000000-0005-0000-0000-00006D000000}"/>
    <cellStyle name="Dollar 2" xfId="803" xr:uid="{DED7288D-95B4-445F-861E-6CF64AAD9184}"/>
    <cellStyle name="Dollar 3" xfId="802" xr:uid="{CC4BD6D6-6371-40B6-AEEC-EE0FAAD8766A}"/>
    <cellStyle name="dollars" xfId="115" xr:uid="{00000000-0005-0000-0000-00006E000000}"/>
    <cellStyle name="DollarWhole" xfId="116" xr:uid="{00000000-0005-0000-0000-00006F000000}"/>
    <cellStyle name="Dotted Line" xfId="117" xr:uid="{00000000-0005-0000-0000-000070000000}"/>
    <cellStyle name="Dotted Line 2" xfId="805" xr:uid="{895ED45E-DB5F-4B1D-A1DE-9DD04C2FE108}"/>
    <cellStyle name="Dotted Line 3" xfId="804" xr:uid="{9A4D5DEE-34E1-4C88-B71F-A51407AE5E08}"/>
    <cellStyle name="Double Accounting" xfId="118" xr:uid="{00000000-0005-0000-0000-000071000000}"/>
    <cellStyle name="Driver" xfId="119" xr:uid="{00000000-0005-0000-0000-000072000000}"/>
    <cellStyle name="Driver Lable" xfId="120" xr:uid="{00000000-0005-0000-0000-000073000000}"/>
    <cellStyle name="drivers" xfId="806" xr:uid="{790967D4-AE75-4531-B6FA-6A328F5C9FF7}"/>
    <cellStyle name="Encabez1" xfId="807" xr:uid="{036AF15D-D035-4CEB-9A02-5727B5A6512A}"/>
    <cellStyle name="Encabez1 2" xfId="808" xr:uid="{EE1A8294-A271-4315-9880-7147AA00D518}"/>
    <cellStyle name="Encabez2" xfId="809" xr:uid="{BE57BCA0-33AC-4567-B31C-3139CBE1C97A}"/>
    <cellStyle name="Encabez2 2" xfId="810" xr:uid="{03932138-94C7-4B7D-8CD1-AA50B051C068}"/>
    <cellStyle name="Entités" xfId="121" xr:uid="{00000000-0005-0000-0000-000074000000}"/>
    <cellStyle name="EPS" xfId="122" xr:uid="{00000000-0005-0000-0000-000075000000}"/>
    <cellStyle name="EPSActual" xfId="123" xr:uid="{00000000-0005-0000-0000-000076000000}"/>
    <cellStyle name="EPSEstimate" xfId="124" xr:uid="{00000000-0005-0000-0000-000077000000}"/>
    <cellStyle name="Est - $" xfId="125" xr:uid="{00000000-0005-0000-0000-000078000000}"/>
    <cellStyle name="Est - $ 2" xfId="811" xr:uid="{96441C64-84D2-4275-B7AA-03DEECD05F3C}"/>
    <cellStyle name="Est - %" xfId="126" xr:uid="{00000000-0005-0000-0000-000079000000}"/>
    <cellStyle name="Est - % 2" xfId="812" xr:uid="{1DF3D320-2409-4B65-84F4-E2390FF3800E}"/>
    <cellStyle name="Est 0,000.0" xfId="127" xr:uid="{00000000-0005-0000-0000-00007A000000}"/>
    <cellStyle name="Est 0,000.0 2" xfId="813" xr:uid="{B39B06BD-6C22-4012-8B29-5AD10B8A7797}"/>
    <cellStyle name="Estilo 1" xfId="814" xr:uid="{3C45FE44-50DB-4CBC-9D71-6F626F5D1548}"/>
    <cellStyle name="Estilo 1 2" xfId="815" xr:uid="{68E7C648-226C-4DD0-9A7E-B612F1022653}"/>
    <cellStyle name="Estilo 1 3" xfId="816" xr:uid="{75CC8B75-1303-49D2-9456-061D48C63E49}"/>
    <cellStyle name="Estilo 2" xfId="817" xr:uid="{815C25CE-C979-4E77-9F37-863B3F25E0D8}"/>
    <cellStyle name="Estilo 2 2" xfId="818" xr:uid="{9BC9EC6B-54A0-4607-AA44-1641EAB82832}"/>
    <cellStyle name="Euro" xfId="128" xr:uid="{00000000-0005-0000-0000-00007B000000}"/>
    <cellStyle name="Euro 2" xfId="820" xr:uid="{5330E9A8-58C3-47A9-B23D-63F9D4CC2B8C}"/>
    <cellStyle name="Euro 2 2" xfId="821" xr:uid="{32442CC4-0D16-454D-B464-68E25035F749}"/>
    <cellStyle name="Euro 3" xfId="822" xr:uid="{4D6A4E7C-294F-4435-9D14-14E4E3D0B2F5}"/>
    <cellStyle name="Euro 4" xfId="823" xr:uid="{B0605908-1E8C-4291-85A1-5DB3C563C7C5}"/>
    <cellStyle name="Euro 5" xfId="819" xr:uid="{4784B7C8-5CF9-465B-9E01-9EA5A6413514}"/>
    <cellStyle name="Excel.Chart" xfId="824" xr:uid="{BDD811B8-70E9-4EBE-988B-7D8D628110B1}"/>
    <cellStyle name="Explanatory Text" xfId="427" builtinId="53" customBuiltin="1"/>
    <cellStyle name="Explanatory Text 2" xfId="825" xr:uid="{29AE4373-95BF-4CFB-8D19-B227B84A8481}"/>
    <cellStyle name="EY House" xfId="826" xr:uid="{2C681683-AF6C-4259-ADBB-054A58971B2D}"/>
    <cellStyle name="EY House 2" xfId="827" xr:uid="{B04A4828-0239-4EDF-827C-550F2A7620AF}"/>
    <cellStyle name="f" xfId="828" xr:uid="{32D9D452-BE39-43CB-BBB8-A8648DB769E1}"/>
    <cellStyle name="f 2" xfId="829" xr:uid="{FCB21A2D-2838-43DC-A499-F0289E79378A}"/>
    <cellStyle name="f_2 - Brasilcel 401 402 Maio.06" xfId="830" xr:uid="{5F8F3B60-C66D-4921-9544-653ACCDEA598}"/>
    <cellStyle name="f_3 - Ricardo - Brasilcel Junho-05 EITF" xfId="831" xr:uid="{6B9A9EC4-0957-4429-981B-118CE334B650}"/>
    <cellStyle name="f_6 - Brasilcel 401 402 - mar 06 FINAL" xfId="832" xr:uid="{FCD4FF24-25FD-4DB2-AFAE-495ABA32C4A9}"/>
    <cellStyle name="f_BASE VIVO 311203 - Val II" xfId="833" xr:uid="{DE16A670-2753-4582-82E3-5BF7AA8C2FAC}"/>
    <cellStyle name="f_Brasilcel 401 402 - mar 06 FINAL" xfId="834" xr:uid="{2AE1D881-3843-4297-A47F-F69343E3E686}"/>
    <cellStyle name="f_Brasilcel mar05 FINAL enviado" xfId="835" xr:uid="{638A48C6-6022-475D-9415-F1C4DBBB3DBA}"/>
    <cellStyle name="f_Concessão Licença" xfId="836" xr:uid="{F345FC13-1F84-48CF-B54D-B46DB3E3C469}"/>
    <cellStyle name="f_Concessão Licença 2" xfId="837" xr:uid="{E687CBE8-259A-4E2D-9C9C-5AB3A3FC14E0}"/>
    <cellStyle name="f_leasing TCO dez.03 a set.04 V.T-gestiona FEV.05 (ESTIMATIVA)" xfId="838" xr:uid="{4790F994-5FD6-49FD-8101-DDFB938F13EC}"/>
    <cellStyle name="f_Minoritários 0604 da v. ALEJANDRO final II" xfId="839" xr:uid="{9AC9A8AE-09B7-4949-8A0D-FEA47942865C}"/>
    <cellStyle name="f_Minoritários Brasilcel mar 05" xfId="840" xr:uid="{8A28E5E2-6944-4D40-9FE0-370101E9DA5A}"/>
    <cellStyle name="f_Minoritários Brasilcel mar 05 2" xfId="841" xr:uid="{E8AF6DA3-D911-4909-BC84-DFA5D081A228}"/>
    <cellStyle name="f_Mod.proposto Espanha Brasilcel dez.03 IV" xfId="842" xr:uid="{A036298E-B324-4A95-BE8F-F35A27E85861}"/>
    <cellStyle name="f_Planilha TCP Holding IAS set.04 - após revisão espanha" xfId="843" xr:uid="{8B884AE0-FBBE-4F16-889F-B9B8AC327B4F}"/>
    <cellStyle name="f_Planilha TCP Holding IAS set.04 - após revisão espanha 2" xfId="844" xr:uid="{C4A1C060-0A91-41E2-B1DC-08402EA76A8E}"/>
    <cellStyle name="f_Planilha TCP Holding IAS set.04 - após revisão espanha I" xfId="845" xr:uid="{7AA1909B-6D11-4480-9F00-5CAD777C0DDB}"/>
    <cellStyle name="f_Planilha TCP Holding IAS set.04 - após revisão espanha I 2" xfId="846" xr:uid="{1F3AB036-488E-4909-BB10-EC9FF5F746A3}"/>
    <cellStyle name="f_Recon. GT  set.04 após revisão Espanha" xfId="847" xr:uid="{193CD709-2D1F-42B4-8158-F33EDE1B062C}"/>
    <cellStyle name="f_Recon. GT  set.04 após revisão Espanha 2" xfId="848" xr:uid="{2B056C06-406C-497C-8778-070057E30145}"/>
    <cellStyle name="f_Recon. GT  set.04 após revisão Espanha I" xfId="849" xr:uid="{C559CCA2-46F8-484F-A82B-B0CAEEF8F1BD}"/>
    <cellStyle name="f_Recon. GT  set.04 após revisão Espanha I 2" xfId="850" xr:uid="{392B201C-EE21-4B50-94D8-0B6FD3EB1B30}"/>
    <cellStyle name="f_Recon. set.04 TCO após revisão Spanish I" xfId="851" xr:uid="{677888DF-A14F-4382-9910-203B8800226F}"/>
    <cellStyle name="f_Recon. set.04 TCO após revisão Spanish I 2" xfId="852" xr:uid="{214A2114-B512-4063-9BB6-7B7795A3D2ED}"/>
    <cellStyle name="f_Template IAS TCP - março.04 após rev.Esp." xfId="853" xr:uid="{1A284838-CC28-4E2E-ADAE-998B3206AE78}"/>
    <cellStyle name="f_Template IAS TCP - março.04 após rev.Esp.1" xfId="854" xr:uid="{CBCED005-1C1D-41CE-928F-C53881779E09}"/>
    <cellStyle name="f_Template IAS TCP Consol. set.04" xfId="855" xr:uid="{EE3ADD9B-223B-4647-A1A2-831B880781CE}"/>
    <cellStyle name="f_Template IAS TCP Consol. set.04 após rev.Esp." xfId="856" xr:uid="{648BA2C5-55F8-4C9E-BFCC-771356AB48A6}"/>
    <cellStyle name="f_Template IAS TCP Consol. set.041" xfId="857" xr:uid="{1F8C7D55-2961-4149-944E-96BC237F631E}"/>
    <cellStyle name="f_Template IAS TCP Consol. set.042" xfId="858" xr:uid="{B114C32D-87BC-4543-B90F-83A714CD3F5E}"/>
    <cellStyle name="f_Template TC set.04 após revisão espanha" xfId="859" xr:uid="{0759D34A-9682-4DAC-9363-BD74005D5167}"/>
    <cellStyle name="f_Template TC set.04 após revisão espanha 2" xfId="860" xr:uid="{104786EE-13A4-4DAC-BDFB-CB375A606C65}"/>
    <cellStyle name="f_Template TC set.04 após revisão espanha I" xfId="861" xr:uid="{5FDD7FC7-3D78-450A-8754-8376E0069513}"/>
    <cellStyle name="f_Template TC set.04 após revisão espanha I 2" xfId="862" xr:uid="{0C30D128-2E1B-4983-BD28-7F6A4D39D700}"/>
    <cellStyle name="f_Template TCP MAR 05" xfId="863" xr:uid="{CCE6C314-0F05-402F-998D-D7C8F6E881CF}"/>
    <cellStyle name="f_Template TCP MAR 05 2" xfId="864" xr:uid="{8D937D8F-7882-4BE5-B710-5EB6D96D4851}"/>
    <cellStyle name="f_Templates IAS TCP - junho.04 c. e_sif" xfId="865" xr:uid="{24CCBBA0-8A7E-4749-A167-AA87804A1D9C}"/>
    <cellStyle name="f_Templates IAS TCP - junho.04 c. e_sif reclassif. 14.09" xfId="866" xr:uid="{232BC468-66AE-4686-9DAB-AD13848BA00A}"/>
    <cellStyle name="f_Templates IAS TCP jun.04 Consol.após rev.espanha" xfId="867" xr:uid="{22F87B15-923D-415A-AE39-28ECDC2DECE4}"/>
    <cellStyle name="f_Templates IAS TCP jun.04 Consol.após rev.espanha1" xfId="868" xr:uid="{2EA6F545-08E0-4F65-ACCC-02068949C099}"/>
    <cellStyle name="f_Worksheet in (C)   IAS Dezembro_03" xfId="869" xr:uid="{9E62705C-D635-4A38-97E1-3D1315865004}"/>
    <cellStyle name="f_Worksheet in (C) 2241 IAS Dezembro_03" xfId="870" xr:uid="{39F709FB-ED11-4E5A-87BA-B0462D9EFCAF}"/>
    <cellStyle name="f_Worksheet in 2241 IAS Dezembro_03" xfId="871" xr:uid="{027D91A9-7550-4526-A346-17DFD080735C}"/>
    <cellStyle name="f_Worksheet in 2242 IAS JUNHO 2004" xfId="872" xr:uid="{32F9D822-146C-4876-B937-29333586F221}"/>
    <cellStyle name="f_Worksheet in 2242 IAS JUNHO 2004 2" xfId="873" xr:uid="{186A4BFC-FB57-46FC-B210-B552D1E4EB7A}"/>
    <cellStyle name="F2" xfId="874" xr:uid="{42350466-243B-4B21-9C70-9ADA16804478}"/>
    <cellStyle name="F2 2" xfId="875" xr:uid="{4BF6EEE7-4BDA-40CC-A845-503D991453FA}"/>
    <cellStyle name="F3" xfId="876" xr:uid="{67053170-C93D-428B-A693-FD66FF8F05B2}"/>
    <cellStyle name="F3 2" xfId="877" xr:uid="{16682883-B8C2-431D-B2DB-4BE255863A47}"/>
    <cellStyle name="F4" xfId="878" xr:uid="{8E828FAE-845F-4C0E-8343-DB10F39B9782}"/>
    <cellStyle name="F4 2" xfId="879" xr:uid="{8186665F-0D27-4D61-885D-FE4C720BF113}"/>
    <cellStyle name="F5" xfId="880" xr:uid="{AE503698-6947-44CD-9FE4-CEC5078EDFE5}"/>
    <cellStyle name="F5 2" xfId="881" xr:uid="{1D571C2D-F428-4DA9-9BD5-133494BC3009}"/>
    <cellStyle name="F6" xfId="882" xr:uid="{C057D337-06EA-4AF0-AD50-39F0F29F6EF6}"/>
    <cellStyle name="F6 2" xfId="883" xr:uid="{435CAC0F-C637-4F11-93C8-3CFF2D5BA3AC}"/>
    <cellStyle name="F7" xfId="884" xr:uid="{F98A4BEC-E5A8-4E04-B5B7-8B70A6FC568B}"/>
    <cellStyle name="F7 2" xfId="885" xr:uid="{63E8A2E7-809D-4C02-B12A-1940B3E14D74}"/>
    <cellStyle name="F8" xfId="886" xr:uid="{2A3B4A02-3B00-4F40-8F2A-EA826E69FB63}"/>
    <cellStyle name="F8 2" xfId="887" xr:uid="{F00E2C28-229C-494E-AC11-926D4D09E56F}"/>
    <cellStyle name="fact_Feuil1 (8)" xfId="129" xr:uid="{00000000-0005-0000-0000-00007C000000}"/>
    <cellStyle name="Fail" xfId="888" xr:uid="{E65E6EA5-146F-40A8-8341-8D6A946B41A4}"/>
    <cellStyle name="Fecha" xfId="889" xr:uid="{1D72A3B0-3E7D-4CE4-819C-7CE7EBC538CB}"/>
    <cellStyle name="Fecha 2" xfId="890" xr:uid="{626BE523-F0AD-4C3A-93E6-8B3B3749772A}"/>
    <cellStyle name="Fecha 2 2" xfId="891" xr:uid="{9A0D8F61-840A-4A99-9CA0-EB314AE57E9F}"/>
    <cellStyle name="Fecha 3" xfId="892" xr:uid="{0F87CAC2-4F2D-407E-90E8-33C8A77572B1}"/>
    <cellStyle name="FF_EURO" xfId="130" xr:uid="{00000000-0005-0000-0000-00007D000000}"/>
    <cellStyle name="Fijo" xfId="893" xr:uid="{0DEDED30-E1E5-41E9-8CDD-9C87995F1A96}"/>
    <cellStyle name="Fijo 2" xfId="894" xr:uid="{2E5A7CBB-BAA2-426E-8CEC-1A985CD49793}"/>
    <cellStyle name="Financiero" xfId="895" xr:uid="{104AF364-C3A8-478D-A4F4-1958FCABC024}"/>
    <cellStyle name="Financiero 2" xfId="896" xr:uid="{302F2EA5-009A-4F7B-9160-30688FB9B3C0}"/>
    <cellStyle name="FiscalPeriod" xfId="897" xr:uid="{85B03121-6474-4EBB-A95C-1419527118F0}"/>
    <cellStyle name="Fixed" xfId="131" xr:uid="{00000000-0005-0000-0000-00007E000000}"/>
    <cellStyle name="Fixed [0]" xfId="132" xr:uid="{00000000-0005-0000-0000-00007F000000}"/>
    <cellStyle name="Fixed 2" xfId="899" xr:uid="{5E466969-1BC4-4435-8A0C-54FC5267185E}"/>
    <cellStyle name="Fixed 3" xfId="900" xr:uid="{1573B142-431F-4F5E-8F86-EBDD8308B799}"/>
    <cellStyle name="Fixed 4" xfId="901" xr:uid="{6A0F3AE4-AF4F-4D7A-BD2C-E51AC912D547}"/>
    <cellStyle name="Fixed 5" xfId="898" xr:uid="{A7BF97DE-70A2-47EC-BF8D-91E5858EDF00}"/>
    <cellStyle name="Fixed 6" xfId="1361" xr:uid="{2E5A7F5F-C2EB-4D8F-97E5-5D80EF204D99}"/>
    <cellStyle name="Fixed 7" xfId="1364" xr:uid="{3F82A724-C757-4B3E-8F0B-057CD5058D36}"/>
    <cellStyle name="Fixo" xfId="902" xr:uid="{BFD7B271-4C8F-444E-BB86-709E812D45B2}"/>
    <cellStyle name="fo]_x000d__x000a_UserName=Murat Zelef_x000d__x000a_UserCompany=Bumerang_x000d__x000a__x000d__x000a_[File Paths]_x000d__x000a_WorkingDirectory=C:\EQUIS\DLWIN_x000d__x000a_DownLoader=C" xfId="133" xr:uid="{00000000-0005-0000-0000-000080000000}"/>
    <cellStyle name="Följde hyperlänken" xfId="134" xr:uid="{00000000-0005-0000-0000-000081000000}"/>
    <cellStyle name="Footer SBILogo1" xfId="135" xr:uid="{00000000-0005-0000-0000-000082000000}"/>
    <cellStyle name="Footer SBILogo2" xfId="136" xr:uid="{00000000-0005-0000-0000-000083000000}"/>
    <cellStyle name="Footnote" xfId="137" xr:uid="{00000000-0005-0000-0000-000084000000}"/>
    <cellStyle name="Footnote 2" xfId="904" xr:uid="{475B6A3C-4B9B-4C9C-B29D-593051AF7CAA}"/>
    <cellStyle name="Footnote 3" xfId="905" xr:uid="{45C333F2-55B0-4669-8FC6-519C6EA9DD39}"/>
    <cellStyle name="Footnote 4" xfId="903" xr:uid="{41FE218F-688C-4C68-9802-88BE92A8FAE4}"/>
    <cellStyle name="Footnote Reference" xfId="138" xr:uid="{00000000-0005-0000-0000-000085000000}"/>
    <cellStyle name="Footnote_Innsamling" xfId="139" xr:uid="{00000000-0005-0000-0000-000086000000}"/>
    <cellStyle name="Formula10" xfId="906" xr:uid="{05D204D5-4E4C-4C1D-8919-8316BF3AD18B}"/>
    <cellStyle name="front page small" xfId="140" xr:uid="{00000000-0005-0000-0000-000087000000}"/>
    <cellStyle name="General" xfId="141" xr:uid="{00000000-0005-0000-0000-000088000000}"/>
    <cellStyle name="Good" xfId="419" builtinId="26" customBuiltin="1"/>
    <cellStyle name="Good 2" xfId="908" xr:uid="{EA987B49-0983-4DEA-B1D2-DD2DF3F472EB}"/>
    <cellStyle name="Grey" xfId="142" xr:uid="{00000000-0005-0000-0000-000089000000}"/>
    <cellStyle name="Grey 2" xfId="910" xr:uid="{C378F1CA-971B-4204-8FEB-FAB791BE3B85}"/>
    <cellStyle name="Grey 3" xfId="909" xr:uid="{E12E7A27-4D08-4CF3-951D-4BDC268CF049}"/>
    <cellStyle name="GrowthRate" xfId="143" xr:uid="{00000000-0005-0000-0000-00008A000000}"/>
    <cellStyle name="GrowthSeq" xfId="144" xr:uid="{00000000-0005-0000-0000-00008B000000}"/>
    <cellStyle name="Grupo" xfId="911" xr:uid="{F5AB5DC1-4FBE-42CC-B4BC-334B4BA43E4A}"/>
    <cellStyle name="H0" xfId="145" xr:uid="{00000000-0005-0000-0000-00008C000000}"/>
    <cellStyle name="H1" xfId="146" xr:uid="{00000000-0005-0000-0000-00008D000000}"/>
    <cellStyle name="H2" xfId="147" xr:uid="{00000000-0005-0000-0000-00008E000000}"/>
    <cellStyle name="H3" xfId="148" xr:uid="{00000000-0005-0000-0000-00008F000000}"/>
    <cellStyle name="H4" xfId="149" xr:uid="{00000000-0005-0000-0000-000090000000}"/>
    <cellStyle name="haeding 2" xfId="150" xr:uid="{00000000-0005-0000-0000-000091000000}"/>
    <cellStyle name="Hard" xfId="151" xr:uid="{00000000-0005-0000-0000-000092000000}"/>
    <cellStyle name="Hard input" xfId="152" xr:uid="{00000000-0005-0000-0000-000093000000}"/>
    <cellStyle name="hard no." xfId="153" xr:uid="{00000000-0005-0000-0000-000094000000}"/>
    <cellStyle name="Hard Percent" xfId="154" xr:uid="{00000000-0005-0000-0000-000095000000}"/>
    <cellStyle name="Hard Percent 2" xfId="913" xr:uid="{597AD793-15FF-4FF6-8A97-A8E5EB31A9E0}"/>
    <cellStyle name="Hard Percent 3" xfId="912" xr:uid="{409F111D-1AC3-4AE2-8A76-D9C7A4E1F9BE}"/>
    <cellStyle name="head2" xfId="155" xr:uid="{00000000-0005-0000-0000-000096000000}"/>
    <cellStyle name="Header" xfId="156" xr:uid="{00000000-0005-0000-0000-000097000000}"/>
    <cellStyle name="header 2" xfId="915" xr:uid="{CC70CCAD-6310-405C-88C8-0C7A4CA1BB46}"/>
    <cellStyle name="Header 3" xfId="916" xr:uid="{AF558E64-FBF5-4B0B-83EC-DF2B8E8A9EF9}"/>
    <cellStyle name="Header 4" xfId="917" xr:uid="{1181DDD4-8F77-45F4-AB23-93E178DAA1B0}"/>
    <cellStyle name="header 5" xfId="914" xr:uid="{A78A04FA-52A8-45F5-9C6F-E34BE948FBAE}"/>
    <cellStyle name="header 6" xfId="1362" xr:uid="{F0217390-529A-413B-970D-00503B1BBDCB}"/>
    <cellStyle name="header 7" xfId="1363" xr:uid="{D72191A8-7DC3-42BA-BA93-BF273EF15779}"/>
    <cellStyle name="Header Draft Stamp" xfId="157" xr:uid="{00000000-0005-0000-0000-000098000000}"/>
    <cellStyle name="Header_Innsamling" xfId="158" xr:uid="{00000000-0005-0000-0000-000099000000}"/>
    <cellStyle name="Header1" xfId="918" xr:uid="{729CA287-A1A2-4AC8-A9CB-CE6E570584C6}"/>
    <cellStyle name="Header1 2" xfId="919" xr:uid="{91E471F7-6946-4AD8-9372-5F2188B4CB6B}"/>
    <cellStyle name="Header2" xfId="920" xr:uid="{3172FE23-438F-4D3D-8839-0EF6EAE4D10E}"/>
    <cellStyle name="Header2 2" xfId="921" xr:uid="{BFA4A8BB-F1A6-4A55-9802-A722A210992E}"/>
    <cellStyle name="Heading" xfId="159" xr:uid="{00000000-0005-0000-0000-00009A000000}"/>
    <cellStyle name="Heading 1" xfId="415" builtinId="16" customBuiltin="1"/>
    <cellStyle name="Heading 1 2" xfId="922" xr:uid="{61B10C4D-579E-40F8-AC40-06FEF81A762F}"/>
    <cellStyle name="Heading 1 3" xfId="923" xr:uid="{834C1E9A-1AE8-4B26-95D9-CD888A21A7E9}"/>
    <cellStyle name="Heading 1 Above" xfId="160" xr:uid="{00000000-0005-0000-0000-00009B000000}"/>
    <cellStyle name="Heading 1+" xfId="161" xr:uid="{00000000-0005-0000-0000-00009C000000}"/>
    <cellStyle name="Heading 2" xfId="416" builtinId="17" customBuiltin="1"/>
    <cellStyle name="Heading 2 2" xfId="924" xr:uid="{475DD9AD-B67C-43DE-AEB6-8B1B51EC10B9}"/>
    <cellStyle name="Heading 2 2 2" xfId="925" xr:uid="{95077CC3-1147-4677-BC0B-645DB2B00140}"/>
    <cellStyle name="Heading 2 2 3" xfId="926" xr:uid="{06C781A6-310F-4077-AFDA-C25D4F2F3CD7}"/>
    <cellStyle name="Heading 2 3" xfId="927" xr:uid="{AB0B19CA-3928-4662-91F2-CF4C6A71FC64}"/>
    <cellStyle name="Heading 2 Below" xfId="162" xr:uid="{00000000-0005-0000-0000-00009D000000}"/>
    <cellStyle name="Heading 2+" xfId="163" xr:uid="{00000000-0005-0000-0000-00009E000000}"/>
    <cellStyle name="Heading 3" xfId="417" builtinId="18" customBuiltin="1"/>
    <cellStyle name="Heading 3 2" xfId="928" xr:uid="{7C35988D-57D6-4016-8C5C-0C1F69D0598D}"/>
    <cellStyle name="Heading 3 2 2" xfId="929" xr:uid="{1CC6B2FA-5689-4A6D-B1A8-44A4D586F8E3}"/>
    <cellStyle name="Heading 3 2 3" xfId="930" xr:uid="{574CBD9A-BEFC-486C-AC20-22066DB94836}"/>
    <cellStyle name="Heading 3 3" xfId="931" xr:uid="{614FB704-CB8A-4A93-991D-203C87E394EB}"/>
    <cellStyle name="Heading 3+" xfId="164" xr:uid="{00000000-0005-0000-0000-00009F000000}"/>
    <cellStyle name="Heading 4" xfId="418" builtinId="19" customBuiltin="1"/>
    <cellStyle name="Heading 4 2" xfId="932" xr:uid="{24EDF743-9A69-4CAC-8063-F7A3A59F6A89}"/>
    <cellStyle name="Heading 5" xfId="165" xr:uid="{00000000-0005-0000-0000-0000A0000000}"/>
    <cellStyle name="Helv" xfId="933" xr:uid="{67EA7D0E-3D2C-48B1-824A-0D4FEEA6F2E9}"/>
    <cellStyle name="Hidden" xfId="934" xr:uid="{4B4ABDE3-9678-4B9E-AEFC-5C310F4BC645}"/>
    <cellStyle name="Highlight" xfId="166" xr:uid="{00000000-0005-0000-0000-0000A1000000}"/>
    <cellStyle name="Hipervínculo" xfId="935" xr:uid="{61407660-F7EC-4FB1-853A-C741EE798489}"/>
    <cellStyle name="Hipervínculo 2" xfId="936" xr:uid="{3FFC12E6-8923-4FD0-A070-6498B453A1FA}"/>
    <cellStyle name="Hipervínculo 2 2" xfId="937" xr:uid="{D4F2FC22-A0A5-4927-AFD0-8CA96DBEFF0B}"/>
    <cellStyle name="Hipervínculo visitado" xfId="938" xr:uid="{C7FB56AE-5924-463A-8A62-BC84AE236BC8}"/>
    <cellStyle name="Hipervínculo visitado 2" xfId="939" xr:uid="{7CBBD0CB-7C8F-495C-B652-7DF136ED1D07}"/>
    <cellStyle name="Hipervínculo visitado_~0006874" xfId="940" xr:uid="{B6CC214A-ABCA-464C-BC7A-0F73511244A7}"/>
    <cellStyle name="Hipervínculo_~0006874" xfId="941" xr:uid="{4B32D3CC-DD7C-4D14-8D9C-0BA739E09F1D}"/>
    <cellStyle name="Hist inmatning" xfId="167" xr:uid="{00000000-0005-0000-0000-0000A2000000}"/>
    <cellStyle name="Hyperlänk" xfId="168" xr:uid="{00000000-0005-0000-0000-0000A3000000}"/>
    <cellStyle name="Hyperlink 2" xfId="169" xr:uid="{00000000-0005-0000-0000-0000A4000000}"/>
    <cellStyle name="Hyperlink 3" xfId="942" xr:uid="{11B0B1EA-4622-42AF-8DE5-CF58554961E9}"/>
    <cellStyle name="IncomeStatement" xfId="170" xr:uid="{00000000-0005-0000-0000-0000A5000000}"/>
    <cellStyle name="Indefinido" xfId="943" xr:uid="{5EF2A088-0659-4922-BB11-4DF284499F19}"/>
    <cellStyle name="Indefinido 2" xfId="944" xr:uid="{63F9711B-1D99-4159-B811-2D693545EDD7}"/>
    <cellStyle name="indice" xfId="945" xr:uid="{6BC123FF-B94E-487C-96AF-845433E9562C}"/>
    <cellStyle name="InLink" xfId="171" xr:uid="{00000000-0005-0000-0000-0000A6000000}"/>
    <cellStyle name="Input" xfId="421" builtinId="20" customBuiltin="1"/>
    <cellStyle name="Input %" xfId="946" xr:uid="{8FC6B061-9546-4E19-8F23-F56E9DFAF8CA}"/>
    <cellStyle name="Input [yellow]" xfId="172" xr:uid="{00000000-0005-0000-0000-0000A7000000}"/>
    <cellStyle name="Input 0" xfId="947" xr:uid="{B1D1E7BF-CB99-4EE0-8114-D0B4E9ACC680}"/>
    <cellStyle name="Input 0,0" xfId="948" xr:uid="{E1E8B0F6-C1C6-4058-9412-886EA7192EBB}"/>
    <cellStyle name="Input 2" xfId="949" xr:uid="{80D1B2CD-8DB3-4BE5-834C-2E04740DC342}"/>
    <cellStyle name="Input 2 2" xfId="950" xr:uid="{CF6638EE-1CA8-4D14-830E-288AD69879F9}"/>
    <cellStyle name="Input 3" xfId="951" xr:uid="{A19CAA18-1B67-4826-9CBD-ED8CACEF1740}"/>
    <cellStyle name="Input 4" xfId="952" xr:uid="{8F2C3459-FE4E-4771-93DF-52B444C5A2AD}"/>
    <cellStyle name="Input 5" xfId="953" xr:uid="{D3007006-023A-4581-AA91-57CD9ADD8B01}"/>
    <cellStyle name="Input 6" xfId="954" xr:uid="{D2CCDB1C-8731-4410-A19F-C4A3A0C1AC7E}"/>
    <cellStyle name="Input 7" xfId="955" xr:uid="{ED498203-A03E-4BBE-8DBE-EC87D6E097B5}"/>
    <cellStyle name="Input calculation" xfId="173" xr:uid="{00000000-0005-0000-0000-0000A8000000}"/>
    <cellStyle name="Input Cell" xfId="956" xr:uid="{577B4884-F0AC-4A74-8F61-9A15AC2AAD96}"/>
    <cellStyle name="Input Cells" xfId="957" xr:uid="{998E67D8-A0B5-4829-BFBE-FDB799C939DA}"/>
    <cellStyle name="Input Currency" xfId="174" xr:uid="{00000000-0005-0000-0000-0000A9000000}"/>
    <cellStyle name="Input data" xfId="175" xr:uid="{00000000-0005-0000-0000-0000AA000000}"/>
    <cellStyle name="Input Date" xfId="176" xr:uid="{00000000-0005-0000-0000-0000AB000000}"/>
    <cellStyle name="Input estimate" xfId="177" xr:uid="{00000000-0005-0000-0000-0000AC000000}"/>
    <cellStyle name="Input Fixed [0]" xfId="178" xr:uid="{00000000-0005-0000-0000-0000AD000000}"/>
    <cellStyle name="Input link" xfId="179" xr:uid="{00000000-0005-0000-0000-0000AE000000}"/>
    <cellStyle name="Input link (different workbook)" xfId="180" xr:uid="{00000000-0005-0000-0000-0000AF000000}"/>
    <cellStyle name="Input Link_Copy of ESA5 ForecastScaling" xfId="181" xr:uid="{00000000-0005-0000-0000-0000B0000000}"/>
    <cellStyle name="Input Normal" xfId="182" xr:uid="{00000000-0005-0000-0000-0000B1000000}"/>
    <cellStyle name="Input parameter" xfId="183" xr:uid="{00000000-0005-0000-0000-0000B2000000}"/>
    <cellStyle name="Input Percent" xfId="184" xr:uid="{00000000-0005-0000-0000-0000B3000000}"/>
    <cellStyle name="Input Percent [2]" xfId="185" xr:uid="{00000000-0005-0000-0000-0000B4000000}"/>
    <cellStyle name="Input Percent_Book1" xfId="186" xr:uid="{00000000-0005-0000-0000-0000B5000000}"/>
    <cellStyle name="Input Titles" xfId="187" xr:uid="{00000000-0005-0000-0000-0000B6000000}"/>
    <cellStyle name="Input%" xfId="188" xr:uid="{00000000-0005-0000-0000-0000B7000000}"/>
    <cellStyle name="Input0dec" xfId="189" xr:uid="{00000000-0005-0000-0000-0000B8000000}"/>
    <cellStyle name="Input10" xfId="958" xr:uid="{669EB398-A7A0-42B8-913B-53533BB0D101}"/>
    <cellStyle name="Input10 2" xfId="959" xr:uid="{BE228813-0BBC-47C6-9568-A22F2B932E5A}"/>
    <cellStyle name="Input2" xfId="960" xr:uid="{B2F5306A-2666-4C31-886D-C558CEE3ED21}"/>
    <cellStyle name="Input2dec" xfId="190" xr:uid="{00000000-0005-0000-0000-0000B9000000}"/>
    <cellStyle name="InputBlueFont" xfId="191" xr:uid="{00000000-0005-0000-0000-0000BA000000}"/>
    <cellStyle name="InputDate" xfId="192" xr:uid="{00000000-0005-0000-0000-0000BB000000}"/>
    <cellStyle name="InputDecimal" xfId="193" xr:uid="{00000000-0005-0000-0000-0000BC000000}"/>
    <cellStyle name="InputValue" xfId="194" xr:uid="{00000000-0005-0000-0000-0000BD000000}"/>
    <cellStyle name="Integer" xfId="195" xr:uid="{00000000-0005-0000-0000-0000BE000000}"/>
    <cellStyle name="Invisible" xfId="961" xr:uid="{61744300-2E5F-46AB-AD2B-0CA115F055FB}"/>
    <cellStyle name="Item" xfId="196" xr:uid="{00000000-0005-0000-0000-0000BF000000}"/>
    <cellStyle name="Items_Optional" xfId="197" xr:uid="{00000000-0005-0000-0000-0000C0000000}"/>
    <cellStyle name="ItemTypeClass" xfId="198" xr:uid="{00000000-0005-0000-0000-0000C1000000}"/>
    <cellStyle name="James" xfId="199" xr:uid="{00000000-0005-0000-0000-0000C2000000}"/>
    <cellStyle name="kopregel" xfId="200" xr:uid="{00000000-0005-0000-0000-0000C3000000}"/>
    <cellStyle name="KPMG Heading 1" xfId="962" xr:uid="{55E76BB5-B5B5-4E91-AC26-EA6DB9333258}"/>
    <cellStyle name="KPMG Heading 2" xfId="963" xr:uid="{19AEC78A-3CAA-415B-9921-2D124FFB40C3}"/>
    <cellStyle name="KPMG Heading 3" xfId="964" xr:uid="{4D04B90E-803C-4AE6-BA66-36933E3D74BD}"/>
    <cellStyle name="KPMG Heading 4" xfId="965" xr:uid="{4631CC80-482A-4147-BC29-032028B1E8F4}"/>
    <cellStyle name="KPMG Normal" xfId="966" xr:uid="{C3CE283E-0282-4B46-BA2A-E3C54E7AD63D}"/>
    <cellStyle name="KPMG Normal 2" xfId="967" xr:uid="{CE59A24E-5AF8-4720-91C1-25C1C04B9DB7}"/>
    <cellStyle name="KPMG Normal Text" xfId="968" xr:uid="{B3D17158-CBB5-40FB-958E-19D3A298209C}"/>
    <cellStyle name="KPMG Normal Text 2" xfId="969" xr:uid="{E24A60DB-A85C-4AB4-8DE5-C33AAC96EAB4}"/>
    <cellStyle name="LAC" xfId="970" xr:uid="{C14BB322-54FB-41C3-937C-6B9C81D6CBE0}"/>
    <cellStyle name="LAC 2" xfId="971" xr:uid="{145AA260-98A9-4390-B921-916E5B8B52A7}"/>
    <cellStyle name="Libellés" xfId="201" xr:uid="{00000000-0005-0000-0000-0000C4000000}"/>
    <cellStyle name="Linked" xfId="202" xr:uid="{00000000-0005-0000-0000-0000C5000000}"/>
    <cellStyle name="Linked 2" xfId="972" xr:uid="{B01FC634-9F89-4538-97CC-4ED3252102A6}"/>
    <cellStyle name="Linked Cell" xfId="424" builtinId="24" customBuiltin="1"/>
    <cellStyle name="Linked Cell 2" xfId="973" xr:uid="{ABB73E3D-B107-4BB2-A506-C16C21144556}"/>
    <cellStyle name="Linked Cells" xfId="974" xr:uid="{24E7E34A-35F4-4E5D-A687-F653F5F46362}"/>
    <cellStyle name="Locked" xfId="203" xr:uid="{00000000-0005-0000-0000-0000C6000000}"/>
    <cellStyle name="Main Title" xfId="204" xr:uid="{00000000-0005-0000-0000-0000C7000000}"/>
    <cellStyle name="Major item" xfId="205" xr:uid="{00000000-0005-0000-0000-0000C8000000}"/>
    <cellStyle name="margenta-f" xfId="206" xr:uid="{00000000-0005-0000-0000-0000C9000000}"/>
    <cellStyle name="Margin" xfId="207" xr:uid="{00000000-0005-0000-0000-0000CA000000}"/>
    <cellStyle name="Margin 2" xfId="975" xr:uid="{E5FAC074-456A-458F-B129-11E98B785D51}"/>
    <cellStyle name="Margins" xfId="208" xr:uid="{00000000-0005-0000-0000-0000CB000000}"/>
    <cellStyle name="MetricLabel" xfId="976" xr:uid="{558056B3-9CC4-4462-889E-5B98A2F38194}"/>
    <cellStyle name="MetricLabelBlue" xfId="977" xr:uid="{AA44D6B5-DE4A-418B-BFE4-57EF89AF1FF3}"/>
    <cellStyle name="MetricValue" xfId="978" xr:uid="{621AE8DC-33D6-4082-B498-5CA53A3A7BAF}"/>
    <cellStyle name="Migliaia (0)" xfId="979" xr:uid="{C7FC5946-8D5B-4FDE-97CF-114C9425CBE9}"/>
    <cellStyle name="Migliaia_Foglio1" xfId="209" xr:uid="{00000000-0005-0000-0000-0000CC000000}"/>
    <cellStyle name="Millares [0]_~0006901" xfId="980" xr:uid="{34D06277-43CE-4C9B-83B5-330BB6B0CAEB}"/>
    <cellStyle name="Millares 2" xfId="981" xr:uid="{D0A1F884-A5B5-4788-9C6D-D8036BE5D1A5}"/>
    <cellStyle name="Millares 2 2" xfId="982" xr:uid="{77E733F2-6F98-4D3A-8E92-4F0D247209AC}"/>
    <cellStyle name="Millares 3" xfId="983" xr:uid="{D0C9F740-B0E5-420E-A544-F6702E0FD9F0}"/>
    <cellStyle name="Millares 4" xfId="984" xr:uid="{741D4314-1331-49CA-9491-69503A2357F0}"/>
    <cellStyle name="Millares_~0006901" xfId="985" xr:uid="{2E405429-B9C2-4FE3-A9A9-24BF080022E9}"/>
    <cellStyle name="Milliers [0]_Aimants permanents" xfId="210" xr:uid="{00000000-0005-0000-0000-0000CD000000}"/>
    <cellStyle name="Milliers [00]" xfId="211" xr:uid="{00000000-0005-0000-0000-0000CE000000}"/>
    <cellStyle name="Milliers_Aimants permanents" xfId="212" xr:uid="{00000000-0005-0000-0000-0000CF000000}"/>
    <cellStyle name="mine" xfId="213" xr:uid="{00000000-0005-0000-0000-0000D0000000}"/>
    <cellStyle name="MLComma0" xfId="986" xr:uid="{5BA64345-C37B-4987-9053-30233FC87955}"/>
    <cellStyle name="MLMultiple0" xfId="987" xr:uid="{12E2345D-F4BF-4EBB-B9AC-A7CF3E6C25E0}"/>
    <cellStyle name="MLPercent0" xfId="988" xr:uid="{5CD015E1-9C07-490A-9E99-F4A88E01B451}"/>
    <cellStyle name="Model" xfId="989" xr:uid="{6C7E3DE1-10B1-4383-ABCD-0AA0F6748A71}"/>
    <cellStyle name="Moeda [0]_Intx SMS Vivo x Outras Operadoras" xfId="990" xr:uid="{AFE91A99-7E28-4DA0-9F8F-55C34BAA2E46}"/>
    <cellStyle name="Moeda 2" xfId="991" xr:uid="{42BE73F7-DA7C-4C28-8A43-9816E2C39A5A}"/>
    <cellStyle name="Moeda_Intx SMS Vivo x Outras Operadoras" xfId="992" xr:uid="{4191F58A-50FC-48FB-AF0C-03D5265829DA}"/>
    <cellStyle name="Moeda0" xfId="993" xr:uid="{399812D2-357B-4F1C-AF93-4DACF11A263C}"/>
    <cellStyle name="Moneda [0]_~0006874" xfId="994" xr:uid="{611C0647-661C-432E-94FE-C6C7E3DF5FA9}"/>
    <cellStyle name="Moneda_~0006874" xfId="995" xr:uid="{1B831CF4-BBC3-47DD-A10D-150C248FE45B}"/>
    <cellStyle name="Monétaire [0]_Aimants permanents" xfId="214" xr:uid="{00000000-0005-0000-0000-0000D1000000}"/>
    <cellStyle name="Monetaire [0]_laroux" xfId="996" xr:uid="{395A647A-8AE1-493D-A3E9-2CC5BF397C47}"/>
    <cellStyle name="Monétaire [0]_laroux" xfId="997" xr:uid="{DCD36EA6-650B-4D6E-8CBB-96FEEB1DFD4A}"/>
    <cellStyle name="Monetaire [0]_laroux_1" xfId="998" xr:uid="{9F18FF6F-4BDF-4AD5-B2AE-27EFFD844DF3}"/>
    <cellStyle name="Monétaire [0]_laroux_1" xfId="999" xr:uid="{6BB4D911-1B75-4606-8B52-75C8D4173093}"/>
    <cellStyle name="Monetaire [0]_laroux_2" xfId="1000" xr:uid="{96C92C56-B0FA-429C-9A65-7DECE0A8BF08}"/>
    <cellStyle name="Monétaire [0]_laroux_2" xfId="1001" xr:uid="{F8731613-7DD2-489A-8FA4-2288A2C89215}"/>
    <cellStyle name="Monétaire [00]" xfId="215" xr:uid="{00000000-0005-0000-0000-0000D2000000}"/>
    <cellStyle name="Monétaire_Aimants permanents" xfId="216" xr:uid="{00000000-0005-0000-0000-0000D3000000}"/>
    <cellStyle name="Monetaire_laroux" xfId="1002" xr:uid="{D76AEE33-1A38-4BD9-92E5-4FC145C48035}"/>
    <cellStyle name="Monétaire_laroux" xfId="1003" xr:uid="{CBACED1B-C1F8-4BB7-B86D-68BC43F272B4}"/>
    <cellStyle name="Monetaire_laroux_1" xfId="1004" xr:uid="{95D9E7B4-07FE-4B0F-8926-511F92A8411B}"/>
    <cellStyle name="Monétaire_laroux_1" xfId="1005" xr:uid="{4447A379-DC06-4340-9875-BB9D8831DABD}"/>
    <cellStyle name="Monetaire_laroux_2" xfId="1006" xr:uid="{7CD93B72-E39C-41B9-A0E4-5CF0CCE52BE9}"/>
    <cellStyle name="Monétaire_laroux_2" xfId="1007" xr:uid="{AADA1A32-FEFD-4B23-9A10-AD70DD50BB91}"/>
    <cellStyle name="Monetario" xfId="1008" xr:uid="{A3121513-B270-4025-A481-B1D5723C5FDB}"/>
    <cellStyle name="Monetario 2" xfId="1009" xr:uid="{3A15648E-9DCD-47E3-AD9F-F856E90C9B96}"/>
    <cellStyle name="Monetario0" xfId="1010" xr:uid="{BEA10CC4-94A9-4192-B98D-3D04EAA9655F}"/>
    <cellStyle name="Monetario0 2" xfId="1011" xr:uid="{41B7A3B4-D061-4F0A-8AC9-F77BB657CC6A}"/>
    <cellStyle name="Multiple" xfId="217" xr:uid="{00000000-0005-0000-0000-0000D4000000}"/>
    <cellStyle name="Multiple 2" xfId="1013" xr:uid="{92049821-AB54-4490-ACE5-EDA5D80EF404}"/>
    <cellStyle name="multiple 3" xfId="1012" xr:uid="{423DC6C0-D8D6-46A7-B8EB-B075F2C4D24D}"/>
    <cellStyle name="multiple 4" xfId="1365" xr:uid="{8792E40C-4735-44F6-9477-A8D38E0463BE}"/>
    <cellStyle name="multiple 5" xfId="1360" xr:uid="{46CA1D33-6996-4814-805C-DF5DA6C7D2B8}"/>
    <cellStyle name="NA is zero" xfId="218" xr:uid="{00000000-0005-0000-0000-0000D5000000}"/>
    <cellStyle name="Name" xfId="219" xr:uid="{00000000-0005-0000-0000-0000D6000000}"/>
    <cellStyle name="neg0.0" xfId="220" xr:uid="{00000000-0005-0000-0000-0000D7000000}"/>
    <cellStyle name="Neutral 2" xfId="1015" xr:uid="{E72B8E8B-5112-4A23-8B38-8D63DBDF1492}"/>
    <cellStyle name="Neutral 3" xfId="1014" xr:uid="{0F9BAFD6-1CF8-46BE-A12A-D4CC7A8CF61B}"/>
    <cellStyle name="no dec" xfId="221" xr:uid="{00000000-0005-0000-0000-0000D8000000}"/>
    <cellStyle name="no dec 2" xfId="1016" xr:uid="{5C0A2E8B-3EFC-44A2-BE0F-9C52EAA53478}"/>
    <cellStyle name="No Decimal" xfId="1017" xr:uid="{75A47E07-A1EF-4D41-95B6-B68C7EE8C2A2}"/>
    <cellStyle name="No-definido" xfId="1018" xr:uid="{AB7F8254-51F2-413E-9B19-2680B1061A70}"/>
    <cellStyle name="Normal" xfId="0" builtinId="0"/>
    <cellStyle name="Normal - Estilo1" xfId="1019" xr:uid="{F65A0793-0D4D-4DA6-AA98-97761B62FB64}"/>
    <cellStyle name="Normal - Estilo1 2" xfId="1020" xr:uid="{A221AD67-93AE-468F-BD49-18EDDF151735}"/>
    <cellStyle name="Normal - Estilo2" xfId="1021" xr:uid="{42AD1D66-DB63-4559-86B1-882531D3D28F}"/>
    <cellStyle name="Normal - Estilo2 2" xfId="1022" xr:uid="{6CCC3C6E-E672-4C28-877B-63D223BC1D4C}"/>
    <cellStyle name="Normal - Estilo3" xfId="1023" xr:uid="{139067ED-86AA-49F3-9284-9D511FBAF67F}"/>
    <cellStyle name="Normal - Estilo3 2" xfId="1024" xr:uid="{E91F5EC5-8BE8-41BC-8287-A67A6BBDE36D}"/>
    <cellStyle name="Normal - Estilo4" xfId="1025" xr:uid="{C70F11F5-4072-4E52-901E-EA445726A66F}"/>
    <cellStyle name="Normal - Estilo4 2" xfId="1026" xr:uid="{3724F752-E30C-4563-A452-43E02C7030E6}"/>
    <cellStyle name="Normal - Estilo5" xfId="1027" xr:uid="{90052E80-A6C2-48C6-9816-91C33643F754}"/>
    <cellStyle name="Normal - Estilo5 2" xfId="1028" xr:uid="{19252D7D-41A3-4893-97AA-E5896882D392}"/>
    <cellStyle name="Normal - Estilo6" xfId="1029" xr:uid="{F4BC9ADA-7C00-4F46-A154-843CCA54A3CE}"/>
    <cellStyle name="Normal - Estilo6 2" xfId="1030" xr:uid="{18ABBB1D-BD40-4251-90D5-54902537BCFC}"/>
    <cellStyle name="Normal - Estilo7" xfId="1031" xr:uid="{12C998AA-FDC7-451C-87F1-30B2CEA9B539}"/>
    <cellStyle name="Normal - Estilo7 2" xfId="1032" xr:uid="{EADA1E55-E6F7-4CC2-B29C-5C305CA01607}"/>
    <cellStyle name="Normal - Style1" xfId="222" xr:uid="{00000000-0005-0000-0000-0000DA000000}"/>
    <cellStyle name="Normal - Style1 2" xfId="1033" xr:uid="{8C2820FD-1744-4786-A396-6BDF1B0D190A}"/>
    <cellStyle name="Normal (no,)" xfId="223" xr:uid="{00000000-0005-0000-0000-0000DB000000}"/>
    <cellStyle name="Normal [0]" xfId="224" xr:uid="{00000000-0005-0000-0000-0000DC000000}"/>
    <cellStyle name="Normal [1]" xfId="225" xr:uid="{00000000-0005-0000-0000-0000DD000000}"/>
    <cellStyle name="Normal [2]" xfId="226" xr:uid="{00000000-0005-0000-0000-0000DE000000}"/>
    <cellStyle name="Normal [3]" xfId="227" xr:uid="{00000000-0005-0000-0000-0000DF000000}"/>
    <cellStyle name="Normal 1" xfId="228" xr:uid="{00000000-0005-0000-0000-0000E0000000}"/>
    <cellStyle name="Normal 10" xfId="1034" xr:uid="{3F4CCCC3-452C-4564-A601-E31348D6CDF7}"/>
    <cellStyle name="Normal 11" xfId="1035" xr:uid="{47616CCD-5CF9-4F46-959D-E4E067F6680D}"/>
    <cellStyle name="Normal 12" xfId="1036" xr:uid="{E09FAACA-0F05-4891-B3E8-2E4CEC989B6D}"/>
    <cellStyle name="Normal 13" xfId="1037" xr:uid="{4B67A007-131A-404D-987F-5D687D1C6333}"/>
    <cellStyle name="Normal 14" xfId="1038" xr:uid="{A6DFDD5B-6FC1-43A7-87F9-8A65B03FF719}"/>
    <cellStyle name="Normal 15" xfId="1039" xr:uid="{0B693118-46D0-46B1-9029-C08385580E52}"/>
    <cellStyle name="Normal 16" xfId="1040" xr:uid="{B7BE11D1-03CD-4C1D-9F06-F05383F8E37F}"/>
    <cellStyle name="Normal 17" xfId="1041" xr:uid="{B57AF703-5C2B-44C3-A2D9-D64988E5AAAD}"/>
    <cellStyle name="Normal 18" xfId="1042" xr:uid="{C6EF30B7-4677-4B12-B03D-64C478D346E3}"/>
    <cellStyle name="Normal 19" xfId="1043" xr:uid="{D861FB89-37B2-42F4-9560-09B04B883B58}"/>
    <cellStyle name="Normal 2" xfId="229" xr:uid="{00000000-0005-0000-0000-0000E1000000}"/>
    <cellStyle name="Normal 2 2" xfId="1045" xr:uid="{02DE8060-24C3-4739-9D60-E55F43046270}"/>
    <cellStyle name="Normal 2 2 2" xfId="1046" xr:uid="{5241377E-3A46-4235-A6E2-A877A90AB362}"/>
    <cellStyle name="Normal 2 3" xfId="1047" xr:uid="{66469015-AE42-4F7A-B6AE-2A6D943674E6}"/>
    <cellStyle name="Normal 2 4" xfId="1048" xr:uid="{2EA84CA7-06A8-484C-9323-5D20090E9615}"/>
    <cellStyle name="Normal 2 5" xfId="1049" xr:uid="{F39803D5-05DB-4C8B-9E75-E143EBEC85B6}"/>
    <cellStyle name="Normal 2 6" xfId="1050" xr:uid="{DE6D95E6-BABC-4A6E-A230-DD247715CE7C}"/>
    <cellStyle name="Normal 2 7" xfId="1044" xr:uid="{00E22D68-13D2-4C2A-B807-FD9762D1BCEB}"/>
    <cellStyle name="Normal 2_FC" xfId="1051" xr:uid="{E75F867B-97E1-4ED2-A343-C13BBD7E2B4C}"/>
    <cellStyle name="Normal 20" xfId="1052" xr:uid="{CCDBA4FB-20FB-4549-8380-F0928D05171C}"/>
    <cellStyle name="Normal 21" xfId="1053" xr:uid="{FD20B297-5104-43FE-8541-28E87A412923}"/>
    <cellStyle name="Normal 22" xfId="1054" xr:uid="{C95E92F9-3AA2-4076-90B3-E267166C311D}"/>
    <cellStyle name="Normal 23" xfId="1055" xr:uid="{7BA83169-F562-4F8D-801D-F00C837C4D13}"/>
    <cellStyle name="Normal 24" xfId="1056" xr:uid="{489D718F-BE20-4B17-96C0-2997E775D036}"/>
    <cellStyle name="Normal 25" xfId="1057" xr:uid="{EFC576CC-BDB6-4D64-AA19-16FCCEA582FA}"/>
    <cellStyle name="Normal 26" xfId="1058" xr:uid="{7A73D028-3A75-45D3-83BC-46140D09D6C8}"/>
    <cellStyle name="Normal 26 2" xfId="1059" xr:uid="{CD92DE6F-0613-46A8-A713-FDA7A67BB398}"/>
    <cellStyle name="Normal 27" xfId="1060" xr:uid="{66AADA64-3BB8-45BE-A55D-B0AB3C56D6C7}"/>
    <cellStyle name="Normal 28" xfId="1061" xr:uid="{594C5B8F-3822-4801-ADAB-96F8421D58AB}"/>
    <cellStyle name="Normal 29" xfId="1062" xr:uid="{675BAE15-5477-4431-9173-F9C808EAAD1F}"/>
    <cellStyle name="Normal 3" xfId="230" xr:uid="{00000000-0005-0000-0000-0000E2000000}"/>
    <cellStyle name="Normal 3 2" xfId="413" xr:uid="{70DAC8A8-3CD1-4AF0-9475-1BEA52A3131B}"/>
    <cellStyle name="Normal 3 2 2" xfId="1063" xr:uid="{D5108BFC-D4D3-4B86-9F42-19726E74D644}"/>
    <cellStyle name="Normal 3 3" xfId="1064" xr:uid="{CA1A21B1-C159-41B9-ACCB-41C1378ADE5F}"/>
    <cellStyle name="Normal 3 4" xfId="1065" xr:uid="{F3F5F7DE-81D3-4DE3-9CD7-7A177EAFBEC4}"/>
    <cellStyle name="Normal 30" xfId="1066" xr:uid="{58BCC43C-66DF-4EB1-AD41-E8BD7B2E9D58}"/>
    <cellStyle name="Normal 31" xfId="1067" xr:uid="{1BE9544C-85EF-4F81-A39D-E26DBB23BE36}"/>
    <cellStyle name="Normal 32" xfId="1068" xr:uid="{D16B1F4D-D36B-4E94-B2A9-8A4D30543EDD}"/>
    <cellStyle name="Normal 33" xfId="1069" xr:uid="{226DD090-F816-4AD0-B51D-9D4598081E54}"/>
    <cellStyle name="Normal 34" xfId="1070" xr:uid="{BDC910D2-984F-4C42-8FAA-3A00BEBB38FC}"/>
    <cellStyle name="Normal 35" xfId="1071" xr:uid="{2425459B-5600-4098-B339-90DD1448912D}"/>
    <cellStyle name="Normal 36" xfId="1072" xr:uid="{B91BCBF0-BCA7-48E9-9985-8657933CDB1F}"/>
    <cellStyle name="Normal 37" xfId="1073" xr:uid="{0732FE26-6FB1-4441-928A-7B354DCDB565}"/>
    <cellStyle name="Normal 38" xfId="1074" xr:uid="{E6381C67-E2A7-47B6-AFAF-54AF3567C71A}"/>
    <cellStyle name="Normal 39" xfId="1075" xr:uid="{344C24D7-08B7-430B-ABEC-D03AC601076E}"/>
    <cellStyle name="Normal 4" xfId="410" xr:uid="{6D074B14-DC16-46FE-8AD6-E723E70F7336}"/>
    <cellStyle name="Normal 4 2" xfId="1077" xr:uid="{D0B4C405-A016-477D-B423-DDCF79E7068D}"/>
    <cellStyle name="Normal 4 2 2" xfId="1078" xr:uid="{23BE7208-FB14-4A41-8241-AD8C22FD76C8}"/>
    <cellStyle name="Normal 4 3" xfId="1079" xr:uid="{138FE846-6B83-43F8-A75D-4D4943E544C9}"/>
    <cellStyle name="Normal 4 4" xfId="1080" xr:uid="{0E91D945-E2A1-4022-866A-159B130F5476}"/>
    <cellStyle name="Normal 4 5" xfId="1081" xr:uid="{4B816EA8-BE56-43DE-A71E-6C8EC8FD6AB7}"/>
    <cellStyle name="Normal 4 6" xfId="1076" xr:uid="{3EDA12F1-12F0-41ED-A0F0-7CE278C13A88}"/>
    <cellStyle name="Normal 4_FC" xfId="1082" xr:uid="{3E547140-A5E4-402C-91AA-3A634AE14DE8}"/>
    <cellStyle name="Normal 40" xfId="1083" xr:uid="{2534D757-5F4D-492C-A179-B69E03EB830B}"/>
    <cellStyle name="Normal 41" xfId="1084" xr:uid="{EFE1BB8E-3A4E-4640-8A07-94303A53201D}"/>
    <cellStyle name="Normal 42" xfId="1085" xr:uid="{14D38B2D-9C66-4E42-8A82-768152673494}"/>
    <cellStyle name="Normal 43" xfId="1086" xr:uid="{B6D6E20B-0D79-4E72-BB3D-AEE0C7574B08}"/>
    <cellStyle name="Normal 44" xfId="1087" xr:uid="{07ABDE98-3E1E-42DB-86D7-4AEC5B83EE71}"/>
    <cellStyle name="Normal 45" xfId="447" xr:uid="{5578F627-862D-4DE0-9812-FA699F397C63}"/>
    <cellStyle name="Normal 46" xfId="1356" xr:uid="{D6D488EC-B22E-4D09-98D0-4D7D6BDA9FC2}"/>
    <cellStyle name="Normal 47" xfId="1374" xr:uid="{A5A8E6B9-B963-4718-A5E1-DD6055E60DB7}"/>
    <cellStyle name="Normal 5" xfId="412" xr:uid="{460F6A91-94C7-4B88-9F55-F293F3DBED8B}"/>
    <cellStyle name="Normal 5 2" xfId="1088" xr:uid="{4345E2BA-6DB4-4859-9C37-F5F5FA51C9F5}"/>
    <cellStyle name="Normal 6" xfId="1089" xr:uid="{9F4D47D4-1A54-405A-B50A-6A6BCD124A7C}"/>
    <cellStyle name="Normal 7" xfId="1090" xr:uid="{94E2F64D-6B30-4639-AC86-3B2B03749C1F}"/>
    <cellStyle name="Normal 8" xfId="1091" xr:uid="{EACF53C1-3BF2-43DA-9BF7-0AC58481BA03}"/>
    <cellStyle name="Normal 9" xfId="1092" xr:uid="{1A0FB3C9-A8A0-429A-BCDF-6F8611D4D63F}"/>
    <cellStyle name="Normal Bold" xfId="231" xr:uid="{00000000-0005-0000-0000-0000E3000000}"/>
    <cellStyle name="Normal Bold 2" xfId="1094" xr:uid="{2B40BB27-43F0-4B1E-B6BE-F807284CE820}"/>
    <cellStyle name="Normal bold 3" xfId="1093" xr:uid="{BD26396C-7293-4101-9DAB-B42808EF956A}"/>
    <cellStyle name="Normal bold 4" xfId="1367" xr:uid="{BC6203A4-2E69-4FA9-BB3A-95FB42E761E1}"/>
    <cellStyle name="Normal bold 5" xfId="1358" xr:uid="{5B55A1CA-7AB5-4305-A7F9-1ECF8FC789A8}"/>
    <cellStyle name="Normal Italics" xfId="1095" xr:uid="{A66263C2-60DB-4EC5-B084-F81468210A49}"/>
    <cellStyle name="Normal Pct" xfId="232" xr:uid="{00000000-0005-0000-0000-0000E4000000}"/>
    <cellStyle name="Normal_bt debt model" xfId="8" xr:uid="{00000000-0005-0000-0000-0000E5000000}"/>
    <cellStyle name="Normal_BT3" xfId="6" xr:uid="{00000000-0005-0000-0000-0000E6000000}"/>
    <cellStyle name="normal1" xfId="1096" xr:uid="{D94773A9-B40B-49AC-9D5B-46BA02AD54A0}"/>
    <cellStyle name="NormalE" xfId="233" xr:uid="{00000000-0005-0000-0000-0000E7000000}"/>
    <cellStyle name="NormalGB" xfId="234" xr:uid="{00000000-0005-0000-0000-0000E8000000}"/>
    <cellStyle name="Normal-HelBold" xfId="1097" xr:uid="{72FDE566-4EF1-4EB2-97F5-1D3520A7370C}"/>
    <cellStyle name="Normal-HelBold 2" xfId="1098" xr:uid="{F65CDCFD-013F-4891-A4D3-269F0BDA11F6}"/>
    <cellStyle name="Normal-HelUnderline" xfId="1099" xr:uid="{876770D2-2A54-4F08-AD9F-3D82EEEC0C58}"/>
    <cellStyle name="Normal-HelUnderline 2" xfId="1100" xr:uid="{0C96E1A3-3F33-4B16-AD10-3C376DC4F783}"/>
    <cellStyle name="Normal-Helvetica" xfId="1101" xr:uid="{526582E6-6FD6-46E0-ADDF-7ABD30C7B8C5}"/>
    <cellStyle name="Normal-Helvetica 2" xfId="1102" xr:uid="{62B3E82D-4941-4524-8CD2-53B3C01105D5}"/>
    <cellStyle name="NormalMultiple" xfId="235" xr:uid="{00000000-0005-0000-0000-0000E9000000}"/>
    <cellStyle name="NOT" xfId="236" xr:uid="{00000000-0005-0000-0000-0000EA000000}"/>
    <cellStyle name="Note 2" xfId="1103" xr:uid="{FE67EE5B-FE8F-4B31-9737-85BBAC8AB3BB}"/>
    <cellStyle name="Note 2 2" xfId="1104" xr:uid="{A1285FD1-0655-49BC-BBB6-4E7EFDF891E5}"/>
    <cellStyle name="Notes" xfId="237" xr:uid="{00000000-0005-0000-0000-0000EB000000}"/>
    <cellStyle name="NPPESalesPct" xfId="238" xr:uid="{00000000-0005-0000-0000-0000EC000000}"/>
    <cellStyle name="Nuevo" xfId="1105" xr:uid="{55E217F1-8350-4A2C-9AFF-88E6C94AC499}"/>
    <cellStyle name="Number" xfId="239" xr:uid="{00000000-0005-0000-0000-0000ED000000}"/>
    <cellStyle name="Number (2dp)" xfId="240" xr:uid="{00000000-0005-0000-0000-0000EE000000}"/>
    <cellStyle name="Number 2" xfId="1107" xr:uid="{C7BAA316-303E-429B-9863-9215050B1788}"/>
    <cellStyle name="Number 3" xfId="1108" xr:uid="{D46D083D-65B9-40BD-A492-028D4B4F24A9}"/>
    <cellStyle name="Number 4" xfId="1106" xr:uid="{F78A1338-F9B6-48E3-A2B7-C7D68A68C9DD}"/>
    <cellStyle name="Number 5" xfId="1368" xr:uid="{5EDDBF6D-5A22-493B-B033-4F6BD4C2FF0C}"/>
    <cellStyle name="Number 6" xfId="1357" xr:uid="{9616672C-6369-42E9-980A-932FEF7A6A07}"/>
    <cellStyle name="Number_Copy of ESA5 ForecastScaling" xfId="241" xr:uid="{00000000-0005-0000-0000-0000EF000000}"/>
    <cellStyle name="NWI%S" xfId="242" xr:uid="{00000000-0005-0000-0000-0000F0000000}"/>
    <cellStyle name="Œ…‹æØ‚è [0.00]_GE 3 MINIMUM" xfId="1109" xr:uid="{E9B0C345-C591-4248-98F1-4581D91EDEB4}"/>
    <cellStyle name="Œ…‹æØ‚è_GE 3 MINIMUM" xfId="1110" xr:uid="{8A338933-DA8B-4AF9-82A9-E8EB7B553C22}"/>
    <cellStyle name="Ombrée" xfId="243" xr:uid="{00000000-0005-0000-0000-0000F1000000}"/>
    <cellStyle name="Onedec" xfId="244" xr:uid="{00000000-0005-0000-0000-0000F2000000}"/>
    <cellStyle name="Option" xfId="245" xr:uid="{00000000-0005-0000-0000-0000F3000000}"/>
    <cellStyle name="Output" xfId="422" builtinId="21" customBuiltin="1"/>
    <cellStyle name="Output 2" xfId="1111" xr:uid="{D96436BD-8E5A-4E16-ADC7-89D722E9D294}"/>
    <cellStyle name="Page Number" xfId="246" xr:uid="{00000000-0005-0000-0000-0000F4000000}"/>
    <cellStyle name="Page Number 2" xfId="1113" xr:uid="{71DBFC27-6669-40C6-AE71-08F643C6C1BD}"/>
    <cellStyle name="Page Number 3" xfId="1114" xr:uid="{B8511A4E-EA89-4949-B04D-B50B68642320}"/>
    <cellStyle name="Page Number 4" xfId="1112" xr:uid="{4B16AE1E-158B-4B86-8707-D3FB1A9AC439}"/>
    <cellStyle name="Page_Header" xfId="1115" xr:uid="{1599A21A-6872-4E70-A9DD-81D9EA19838D}"/>
    <cellStyle name="Pagina" xfId="1116" xr:uid="{D83E236E-5008-47E9-A5CE-5E4CF55428A5}"/>
    <cellStyle name="Part number" xfId="1117" xr:uid="{A9F779DA-A9D6-4CC8-A257-BC1E10FD40F7}"/>
    <cellStyle name="Pass" xfId="1118" xr:uid="{F46B0F18-03D2-4185-937D-558CAAD37F46}"/>
    <cellStyle name="PB Table Heading" xfId="247" xr:uid="{00000000-0005-0000-0000-0000F5000000}"/>
    <cellStyle name="PB Table Highlight1" xfId="248" xr:uid="{00000000-0005-0000-0000-0000F6000000}"/>
    <cellStyle name="PB Table Highlight2" xfId="249" xr:uid="{00000000-0005-0000-0000-0000F7000000}"/>
    <cellStyle name="PB Table Highlight3" xfId="250" xr:uid="{00000000-0005-0000-0000-0000F8000000}"/>
    <cellStyle name="PB Table Standard Row" xfId="251" xr:uid="{00000000-0005-0000-0000-0000F9000000}"/>
    <cellStyle name="PB Table Subtotal Row" xfId="252" xr:uid="{00000000-0005-0000-0000-0000FA000000}"/>
    <cellStyle name="PB Table Total Row" xfId="253" xr:uid="{00000000-0005-0000-0000-0000FB000000}"/>
    <cellStyle name="pb_page_heading_LS" xfId="254" xr:uid="{00000000-0005-0000-0000-0000FC000000}"/>
    <cellStyle name="pc1" xfId="255" xr:uid="{00000000-0005-0000-0000-0000FD000000}"/>
    <cellStyle name="PctLine" xfId="256" xr:uid="{00000000-0005-0000-0000-0000FE000000}"/>
    <cellStyle name="per.style" xfId="1119" xr:uid="{25AA32F3-C1EB-49C5-9D0D-CBCAD5DC7827}"/>
    <cellStyle name="Percen - Estilo1" xfId="1120" xr:uid="{1D80B203-9F62-4C57-BB7D-0F82DFA855C3}"/>
    <cellStyle name="Percen - Estilo1 2" xfId="1121" xr:uid="{C2D96077-D3C2-47F3-8687-67C5D6D68206}"/>
    <cellStyle name="Percen - Modelo1" xfId="1122" xr:uid="{3E246070-3602-45EE-A5FE-33B48A7100F8}"/>
    <cellStyle name="Percent" xfId="2" builtinId="5"/>
    <cellStyle name="Percent (0)" xfId="257" xr:uid="{00000000-0005-0000-0000-000000010000}"/>
    <cellStyle name="Percent (0) 2" xfId="1125" xr:uid="{DDD2ED20-B7EB-4DAA-B88D-02E59F0D0B84}"/>
    <cellStyle name="Percent (0) 3" xfId="1124" xr:uid="{DF1E2507-55CC-41C8-8603-E5C339F74346}"/>
    <cellStyle name="Percent (0.0)" xfId="258" xr:uid="{00000000-0005-0000-0000-000001010000}"/>
    <cellStyle name="Percent (0.00)" xfId="259" xr:uid="{00000000-0005-0000-0000-000002010000}"/>
    <cellStyle name="Percent [0%]" xfId="1126" xr:uid="{5C100CFE-A8C6-4F8D-A833-F7BA6894D84E}"/>
    <cellStyle name="Percent [0.00%]" xfId="1127" xr:uid="{0D189399-A2EA-42A8-B12A-704450D0125A}"/>
    <cellStyle name="Percent [0]" xfId="260" xr:uid="{00000000-0005-0000-0000-000003010000}"/>
    <cellStyle name="Percent [1]" xfId="261" xr:uid="{00000000-0005-0000-0000-000004010000}"/>
    <cellStyle name="Percent [2]" xfId="262" xr:uid="{00000000-0005-0000-0000-000005010000}"/>
    <cellStyle name="Percent [2] 2" xfId="1129" xr:uid="{AC651BBE-9F25-4480-ADEB-32BA725933EF}"/>
    <cellStyle name="Percent [2] 3" xfId="1128" xr:uid="{468C8AA8-F9E1-4AA1-AD45-37597B743748}"/>
    <cellStyle name="Percent 0" xfId="263" xr:uid="{00000000-0005-0000-0000-000006010000}"/>
    <cellStyle name="Percent 0.00" xfId="264" xr:uid="{00000000-0005-0000-0000-000007010000}"/>
    <cellStyle name="Percent 0_3q" xfId="265" xr:uid="{00000000-0005-0000-0000-000008010000}"/>
    <cellStyle name="Percent 10" xfId="1130" xr:uid="{72A33CF3-30F7-4B2C-84F2-0A571AC26271}"/>
    <cellStyle name="Percent 11" xfId="1131" xr:uid="{4C47BA00-C951-4B6C-BACB-DC51C60C9087}"/>
    <cellStyle name="Percent 12" xfId="1132" xr:uid="{6C1C93B7-8502-49A0-B09F-DEC0E0294EAA}"/>
    <cellStyle name="Percent 13" xfId="1133" xr:uid="{A8DFC33D-6890-4E1B-BE9F-E4F5167F4551}"/>
    <cellStyle name="Percent 14" xfId="1134" xr:uid="{AB5A26F1-777E-481D-B548-C958DDA0A2D2}"/>
    <cellStyle name="Percent 15" xfId="1135" xr:uid="{551ECC42-5F0A-47F1-BB27-198F882BBF15}"/>
    <cellStyle name="Percent 16" xfId="1136" xr:uid="{2F8F4633-3341-4342-BA51-189EA8F629AB}"/>
    <cellStyle name="Percent 17" xfId="1137" xr:uid="{94AD7D10-C7DD-4CF5-988A-C888DD8A7CD7}"/>
    <cellStyle name="Percent 18" xfId="1138" xr:uid="{48773E5D-F8E1-4601-8828-78F5387821A9}"/>
    <cellStyle name="Percent 19" xfId="1139" xr:uid="{CCCB451A-4943-45BE-9000-0FB0D0C0BA04}"/>
    <cellStyle name="Percent 2" xfId="5" xr:uid="{00000000-0005-0000-0000-000009010000}"/>
    <cellStyle name="Percent 2 2" xfId="1141" xr:uid="{4E920210-27FC-492E-8D96-58A034BB9ECA}"/>
    <cellStyle name="Percent 2 3" xfId="1142" xr:uid="{D6E45802-5FA3-4027-8771-7FF448A4ED3E}"/>
    <cellStyle name="Percent 2 4" xfId="1143" xr:uid="{19E754A5-2341-4F25-B9F5-6153A8002328}"/>
    <cellStyle name="Percent 2 5" xfId="1144" xr:uid="{A3861E52-2E07-4A91-8033-A83BB2DF931E}"/>
    <cellStyle name="Percent 2 6" xfId="1140" xr:uid="{5A3BD48E-684E-4BB7-A8A2-2DF05A83D801}"/>
    <cellStyle name="Percent 20" xfId="1145" xr:uid="{21E860A9-A91A-47FF-8D09-1BECC4B84D10}"/>
    <cellStyle name="Percent 21" xfId="1146" xr:uid="{D054932D-DDB3-478D-A454-4C89C7DB2D28}"/>
    <cellStyle name="Percent 22" xfId="1147" xr:uid="{8C983B94-0B21-4BB2-BD1A-F51874B53E99}"/>
    <cellStyle name="Percent 23" xfId="1148" xr:uid="{9BD85341-714D-4638-8BCF-EE2E90F78B11}"/>
    <cellStyle name="Percent 24" xfId="1149" xr:uid="{B9CDA9D3-5934-4595-9582-08B37B8A2605}"/>
    <cellStyle name="Percent 25" xfId="1150" xr:uid="{ABF23941-062C-4714-BFCD-F1E09BF06E9F}"/>
    <cellStyle name="Percent 26" xfId="1151" xr:uid="{3F9EAD83-87DB-441E-8940-DAD9491F63E7}"/>
    <cellStyle name="Percent 27" xfId="1152" xr:uid="{9D31E5DE-F168-4805-BDD6-6FCBA3613FD9}"/>
    <cellStyle name="Percent 28" xfId="1153" xr:uid="{A0779BB2-DF12-4B5B-B2B2-B5BA55E028D3}"/>
    <cellStyle name="Percent 29" xfId="1154" xr:uid="{EF3153C8-5C22-4396-8BB6-6A24030993BE}"/>
    <cellStyle name="Percent 3" xfId="266" xr:uid="{00000000-0005-0000-0000-00000A010000}"/>
    <cellStyle name="Percent 3 2" xfId="1156" xr:uid="{1A0C710D-398B-408C-BB6C-EA2F7F9D7730}"/>
    <cellStyle name="Percent 3 3" xfId="1157" xr:uid="{4E5AEEF2-964F-424F-9C8D-76EED6690310}"/>
    <cellStyle name="Percent 3 4" xfId="1155" xr:uid="{A6AADCAE-6D38-4268-AB16-F1B4CD4CBEE5}"/>
    <cellStyle name="Percent 30" xfId="1158" xr:uid="{3FF57EB7-FD77-4A88-8E70-D550D52B7715}"/>
    <cellStyle name="Percent 31" xfId="1159" xr:uid="{6E939BE2-0BD4-45A7-BA7C-98BCC46357BD}"/>
    <cellStyle name="Percent 32" xfId="1123" xr:uid="{C01F2E76-DB3D-48F3-A3E7-893F0D38EE7E}"/>
    <cellStyle name="Percent 33" xfId="1369" xr:uid="{F4679E4F-35A6-41F6-95E6-A7153D163D3B}"/>
    <cellStyle name="Percent 34" xfId="615" xr:uid="{A8DD9DA7-01C1-4BEB-94E9-DD51334F626C}"/>
    <cellStyle name="Percent 4" xfId="414" xr:uid="{8CED0618-45C0-4617-98CF-8B648D497A36}"/>
    <cellStyle name="Percent 4 2" xfId="1160" xr:uid="{FE949041-FE60-4343-8977-019E92B9393E}"/>
    <cellStyle name="Percent 5" xfId="1161" xr:uid="{5E604420-AD80-4E26-B5AE-0AF9BCC26CF5}"/>
    <cellStyle name="Percent 5 4" xfId="1162" xr:uid="{D35169E6-BFC8-43BC-B140-C0F9D7A3BF26}"/>
    <cellStyle name="Percent 6" xfId="1163" xr:uid="{026FE04F-F69D-4D55-AD70-5D954E073699}"/>
    <cellStyle name="Percent 7" xfId="1164" xr:uid="{37CE5F08-5D78-45AF-A6C2-8B10AFDFE656}"/>
    <cellStyle name="Percent 8" xfId="1165" xr:uid="{011767C8-BF19-44BA-95A3-9930A247CB25}"/>
    <cellStyle name="Percent 9" xfId="1166" xr:uid="{C654505A-A95A-4DFF-A6A7-B0F5D237D4BE}"/>
    <cellStyle name="Percentage" xfId="267" xr:uid="{00000000-0005-0000-0000-00000B010000}"/>
    <cellStyle name="Percentage (2dp)" xfId="268" xr:uid="{00000000-0005-0000-0000-00000C010000}"/>
    <cellStyle name="Percentage_Copy of ESA5 ForecastScaling" xfId="269" xr:uid="{00000000-0005-0000-0000-00000D010000}"/>
    <cellStyle name="PercentChange" xfId="270" xr:uid="{00000000-0005-0000-0000-00000E010000}"/>
    <cellStyle name="PercentPresentation" xfId="271" xr:uid="{00000000-0005-0000-0000-00000F010000}"/>
    <cellStyle name="PercentSales" xfId="272" xr:uid="{00000000-0005-0000-0000-000010010000}"/>
    <cellStyle name="Percentual" xfId="1167" xr:uid="{CA1E6B41-57FD-4222-A593-D26491D7A5DE}"/>
    <cellStyle name="PerShare" xfId="273" xr:uid="{00000000-0005-0000-0000-000011010000}"/>
    <cellStyle name="PillarData" xfId="1168" xr:uid="{00AFD311-E06B-470D-8270-4DFD72A9A86F}"/>
    <cellStyle name="PillarData 2" xfId="1169" xr:uid="{D549CE91-9A01-4FD8-849E-796B4894B615}"/>
    <cellStyle name="PillarData 3" xfId="1170" xr:uid="{1FA7174F-EABF-425F-81A9-78BAFA446EF2}"/>
    <cellStyle name="PillarHeading" xfId="1171" xr:uid="{BE7E4F57-5A7C-4A09-894D-782AD36A7B5C}"/>
    <cellStyle name="PillarHeading 2" xfId="1172" xr:uid="{64BD79E1-4AB6-48FB-8CE5-F9911D078F8E}"/>
    <cellStyle name="PillarText" xfId="1173" xr:uid="{E8188739-3011-44FD-8446-D94E37AF26E8}"/>
    <cellStyle name="PillarText 2" xfId="1174" xr:uid="{19973B08-26E8-49E9-BCFC-228E839B6EBD}"/>
    <cellStyle name="PillarText 3" xfId="1175" xr:uid="{AC10C9A8-D467-42D3-A830-845586C4C557}"/>
    <cellStyle name="PillarTotal" xfId="1176" xr:uid="{9FBF2A25-2A7F-4E19-8A02-8C8861CEE55A}"/>
    <cellStyle name="PillarTotal 2" xfId="1177" xr:uid="{9CA4BA89-D227-45D2-A4E6-97554016EFB7}"/>
    <cellStyle name="Ponto" xfId="1178" xr:uid="{E55A0B0C-C40C-4A2C-B6CB-4F2F9F2F5746}"/>
    <cellStyle name="POPS" xfId="274" xr:uid="{00000000-0005-0000-0000-000012010000}"/>
    <cellStyle name="Porcentagem 2" xfId="1179" xr:uid="{BAE49F38-A800-4697-975D-5E01A5DD6F09}"/>
    <cellStyle name="Porcentagem 2 2" xfId="1180" xr:uid="{8C4C4228-BFEE-49E8-8A8E-2CD526ABC398}"/>
    <cellStyle name="Porcentagem 3" xfId="1181" xr:uid="{69B3012C-847C-4DC6-8C70-9B8FB5132377}"/>
    <cellStyle name="Porcentagem 3 2" xfId="1182" xr:uid="{5B1E5DFD-7B0A-4A4F-A801-BC29FD7183EF}"/>
    <cellStyle name="Porcentagem 4" xfId="1183" xr:uid="{1DCEC3E4-D260-49FA-9E2E-8C380891AFE6}"/>
    <cellStyle name="Porcentagem 4 2" xfId="1184" xr:uid="{3D7E35DA-80AC-4242-A330-DF261D6FEB47}"/>
    <cellStyle name="Porcentagem 5" xfId="1185" xr:uid="{7E8B8D7F-3B3A-4FF4-B5DA-EAD4BBB6B578}"/>
    <cellStyle name="Porcentagem 6" xfId="1186" xr:uid="{C3A96091-9890-4037-B7E7-E42920CCD641}"/>
    <cellStyle name="Porcentagem%" xfId="1187" xr:uid="{2F5834BD-BE53-4F65-B0A8-0AE56615FD9E}"/>
    <cellStyle name="Porcentaje" xfId="1188" xr:uid="{671CD05E-7523-4456-9AF9-CA5BB11A27D7}"/>
    <cellStyle name="Porcentaje 2" xfId="1189" xr:uid="{B388EF34-135C-4879-8BA0-CD359E466B31}"/>
    <cellStyle name="Porcentaje 2 2" xfId="1190" xr:uid="{76B49F54-0920-45D4-91EF-38C21F438A18}"/>
    <cellStyle name="Porcentaje 3" xfId="1191" xr:uid="{024B743E-498F-40DF-994D-57E6B78EAF22}"/>
    <cellStyle name="Porcentaje 4" xfId="1192" xr:uid="{2223CDD5-5A24-4C67-BF37-4F87EE66E56F}"/>
    <cellStyle name="Porcentaje 5" xfId="1193" xr:uid="{B059E01E-F861-4322-AC2F-AE7142695268}"/>
    <cellStyle name="Porcentaje 5 2" xfId="1194" xr:uid="{B643B77C-022E-4BDC-B2BF-BBA0DCAE2114}"/>
    <cellStyle name="Porcentual_AR 11-01" xfId="1195" xr:uid="{3E2DCD77-1AD7-4EA7-8D8D-4E724FDC48B4}"/>
    <cellStyle name="Pourcentage [0]" xfId="275" xr:uid="{00000000-0005-0000-0000-000013010000}"/>
    <cellStyle name="Pourcentage [00]" xfId="276" xr:uid="{00000000-0005-0000-0000-000014010000}"/>
    <cellStyle name="Pourcentage_BASCULER" xfId="277" xr:uid="{00000000-0005-0000-0000-000015010000}"/>
    <cellStyle name="Preço-Unit-Tot" xfId="1196" xr:uid="{46A1396D-4BFF-45DE-990B-3E97CBCA13E1}"/>
    <cellStyle name="Presentation" xfId="278" xr:uid="{00000000-0005-0000-0000-000016010000}"/>
    <cellStyle name="PresentationZero" xfId="279" xr:uid="{00000000-0005-0000-0000-000017010000}"/>
    <cellStyle name="Price" xfId="280" xr:uid="{00000000-0005-0000-0000-000018010000}"/>
    <cellStyle name="Price 2" xfId="1198" xr:uid="{8A3A2D48-D340-4711-BF5D-68887A2E4610}"/>
    <cellStyle name="Price 3" xfId="1197" xr:uid="{138D8540-4F6E-4CAE-A938-5F8B7A7E95BE}"/>
    <cellStyle name="Procenten" xfId="281" xr:uid="{00000000-0005-0000-0000-000019010000}"/>
    <cellStyle name="PSChar" xfId="1199" xr:uid="{555FCD8D-E96A-40C4-AD48-AB303B8C7CB5}"/>
    <cellStyle name="PSChar 2" xfId="1200" xr:uid="{6DAF376B-B5E1-4D5C-A800-710D78599403}"/>
    <cellStyle name="PSDate" xfId="1201" xr:uid="{B2B8452D-A7D1-4500-B5B1-CD09C4F4E03E}"/>
    <cellStyle name="PSDec" xfId="1202" xr:uid="{C25876B4-C031-4D42-B070-9D85B29B345F}"/>
    <cellStyle name="PSHeading" xfId="1203" xr:uid="{C204D4B6-4DFC-4D54-B3A9-3E1481B63F9C}"/>
    <cellStyle name="PSHeading 2" xfId="1204" xr:uid="{3B299590-C9A3-431A-9308-1F89BF27A90F}"/>
    <cellStyle name="PSInt" xfId="1205" xr:uid="{9AAFFA90-8032-4192-A48E-D521A429E50B}"/>
    <cellStyle name="PSSpacer" xfId="1206" xr:uid="{478E795D-8A4B-4240-823D-616E1A29F09D}"/>
    <cellStyle name="PSSpacer 2" xfId="1207" xr:uid="{4478DC5C-7B80-4336-8561-D02F7379B0DE}"/>
    <cellStyle name="Pub percent" xfId="282" xr:uid="{00000000-0005-0000-0000-00001A010000}"/>
    <cellStyle name="Punto" xfId="1208" xr:uid="{BB1501CC-8C19-47C7-99FE-3C820298ACF2}"/>
    <cellStyle name="Punto 2" xfId="1209" xr:uid="{F5FCEC50-FE93-4B4A-AA5F-481F7C99E8CD}"/>
    <cellStyle name="Punto 2 2" xfId="1210" xr:uid="{DF3F4035-ED08-4E38-B028-B357D0E5816F}"/>
    <cellStyle name="Punto 3" xfId="1211" xr:uid="{C703E1EF-B9D9-40C5-A4B7-D9BD3C572AD4}"/>
    <cellStyle name="Punto0" xfId="1212" xr:uid="{50B95B95-D918-432C-BD66-C953CED3818B}"/>
    <cellStyle name="Punto0 - Modelo1" xfId="1213" xr:uid="{3365756B-DD97-4E11-82B7-D5E4920AB70D}"/>
    <cellStyle name="Punto0 - Modelo3" xfId="1214" xr:uid="{A4452F95-7D96-42C8-9551-1F65B595A002}"/>
    <cellStyle name="Punto0 2" xfId="1215" xr:uid="{14612134-9118-4F94-8EAE-AAF48DF45F1F}"/>
    <cellStyle name="Punto0 2 2" xfId="1216" xr:uid="{985B6D7B-999B-405B-82FC-1124D9474B49}"/>
    <cellStyle name="Punto0 3" xfId="1217" xr:uid="{C4A14EE7-AD9E-491A-A96B-5F7A639EE63C}"/>
    <cellStyle name="Punto0 3 2" xfId="1218" xr:uid="{1C48083B-AE66-4413-898F-819A829183F3}"/>
    <cellStyle name="Punto0 4" xfId="1219" xr:uid="{0FCEF28D-9B7D-45BD-9A25-351C110B13A5}"/>
    <cellStyle name="Punto0 4 2" xfId="1220" xr:uid="{3D841B3C-A3E3-4AAD-9785-8A4E969191C7}"/>
    <cellStyle name="Punto0 5" xfId="1221" xr:uid="{95CE0AB1-CCD4-45E4-A421-02B470DE8AF6}"/>
    <cellStyle name="Punto0_~0022452" xfId="1222" xr:uid="{ABDE9112-6981-4453-954B-98A7B2053503}"/>
    <cellStyle name="Quant." xfId="1223" xr:uid="{25F250CE-E7FA-4BB5-A32B-CE250F545627}"/>
    <cellStyle name="r" xfId="283" xr:uid="{00000000-0005-0000-0000-00001B010000}"/>
    <cellStyle name="r_Canal Digital" xfId="284" xr:uid="{00000000-0005-0000-0000-00001C010000}"/>
    <cellStyle name="r_Canal Digital_Deutsche" xfId="285" xr:uid="{00000000-0005-0000-0000-00001D010000}"/>
    <cellStyle name="r_Canal Digital_Fixed" xfId="286" xr:uid="{00000000-0005-0000-0000-00001E010000}"/>
    <cellStyle name="r_Canal Digital_Fixed_Deutsche" xfId="287" xr:uid="{00000000-0005-0000-0000-00001F010000}"/>
    <cellStyle name="r_Canal Digital_Fixed_Innsamling" xfId="288" xr:uid="{00000000-0005-0000-0000-000020010000}"/>
    <cellStyle name="r_Canal Digital_Group" xfId="289" xr:uid="{00000000-0005-0000-0000-000021010000}"/>
    <cellStyle name="r_Canal Digital_Group_Deutsche" xfId="290" xr:uid="{00000000-0005-0000-0000-000022010000}"/>
    <cellStyle name="r_Canal Digital_Group_Innsamling" xfId="291" xr:uid="{00000000-0005-0000-0000-000023010000}"/>
    <cellStyle name="r_Canal Digital_Innsamling" xfId="292" xr:uid="{00000000-0005-0000-0000-000024010000}"/>
    <cellStyle name="r_Canal Digital_Mobile" xfId="293" xr:uid="{00000000-0005-0000-0000-000025010000}"/>
    <cellStyle name="r_Canal Digital_Mobile_Deutsche" xfId="294" xr:uid="{00000000-0005-0000-0000-000026010000}"/>
    <cellStyle name="r_Canal Digital_Mobile_Innsamling" xfId="295" xr:uid="{00000000-0005-0000-0000-000027010000}"/>
    <cellStyle name="r_Canal Digital_Special items" xfId="296" xr:uid="{00000000-0005-0000-0000-000028010000}"/>
    <cellStyle name="r_Canal Digital_Special items_Deutsche" xfId="297" xr:uid="{00000000-0005-0000-0000-000029010000}"/>
    <cellStyle name="r_Canal Digital_Special items_Innsamling" xfId="298" xr:uid="{00000000-0005-0000-0000-00002A010000}"/>
    <cellStyle name="r_tel" xfId="299" xr:uid="{00000000-0005-0000-0000-00002B010000}"/>
    <cellStyle name="r_tel.xls Chart 680" xfId="300" xr:uid="{00000000-0005-0000-0000-00002C010000}"/>
    <cellStyle name="r_Telenor" xfId="301" xr:uid="{00000000-0005-0000-0000-00002D010000}"/>
    <cellStyle name="RatioX" xfId="302" xr:uid="{00000000-0005-0000-0000-00002E010000}"/>
    <cellStyle name="Red font" xfId="303" xr:uid="{00000000-0005-0000-0000-00002F010000}"/>
    <cellStyle name="Report" xfId="304" xr:uid="{00000000-0005-0000-0000-000030010000}"/>
    <cellStyle name="Right" xfId="305" xr:uid="{00000000-0005-0000-0000-000031010000}"/>
    <cellStyle name="RM" xfId="1224" xr:uid="{26B6D835-0201-4998-8345-D967C25E1B10}"/>
    <cellStyle name="Rmess" xfId="306" xr:uid="{00000000-0005-0000-0000-000032010000}"/>
    <cellStyle name="Rnumber" xfId="307" xr:uid="{00000000-0005-0000-0000-000033010000}"/>
    <cellStyle name="Rnumber 0d" xfId="308" xr:uid="{00000000-0005-0000-0000-000034010000}"/>
    <cellStyle name="Rnumber_eurosubs10" xfId="309" xr:uid="{00000000-0005-0000-0000-000035010000}"/>
    <cellStyle name="robs" xfId="1225" xr:uid="{EE1A5913-EF43-4D55-8CA5-091F5AF8B23B}"/>
    <cellStyle name="robs 2" xfId="1226" xr:uid="{EF1FC21E-9A00-4A31-8D32-5AA23A20C423}"/>
    <cellStyle name="rodape" xfId="1227" xr:uid="{39F38EEC-E29B-4E1B-95F2-E473104116FF}"/>
    <cellStyle name="Row and Column Total" xfId="310" xr:uid="{00000000-0005-0000-0000-000036010000}"/>
    <cellStyle name="Row Heading" xfId="311" xr:uid="{00000000-0005-0000-0000-000037010000}"/>
    <cellStyle name="Row Heading (No Wrap)" xfId="312" xr:uid="{00000000-0005-0000-0000-000038010000}"/>
    <cellStyle name="Row Ignore" xfId="313" xr:uid="{00000000-0005-0000-0000-000039010000}"/>
    <cellStyle name="Row label" xfId="314" xr:uid="{00000000-0005-0000-0000-00003A010000}"/>
    <cellStyle name="Row label (indent)" xfId="315" xr:uid="{00000000-0005-0000-0000-00003B010000}"/>
    <cellStyle name="Row Sub total" xfId="316" xr:uid="{00000000-0005-0000-0000-00003C010000}"/>
    <cellStyle name="Row Title 1" xfId="317" xr:uid="{00000000-0005-0000-0000-00003D010000}"/>
    <cellStyle name="Row Title 1 2" xfId="1228" xr:uid="{4F813CA5-B6B7-40FA-B32D-EB088B1B9841}"/>
    <cellStyle name="Row Title 2" xfId="318" xr:uid="{00000000-0005-0000-0000-00003E010000}"/>
    <cellStyle name="Row Title 2 2" xfId="1229" xr:uid="{C2F3D23D-6AA6-48CA-8D3A-3C47A08AC460}"/>
    <cellStyle name="Row Title 3" xfId="319" xr:uid="{00000000-0005-0000-0000-00003F010000}"/>
    <cellStyle name="Row Title 3 2" xfId="1230" xr:uid="{BB97D418-762C-41A2-87FD-EB4795DE7C91}"/>
    <cellStyle name="Row Total" xfId="320" xr:uid="{00000000-0005-0000-0000-000040010000}"/>
    <cellStyle name="Row Total 2" xfId="1231" xr:uid="{CAC91D13-E95E-425F-B073-D5D8B733BC1F}"/>
    <cellStyle name="s]_x000d__x000a_spooler=yes_x000d__x000a_load=nwpopup.exe_x000d__x000a_run=_x000d__x000a_Beep=No_x000d__x000a_NullPort=None_x000d__x000a_BorderWidth=3_x000d__x000a_CursorBlinkRate=345_x000d__x000a_DoubleClickSpeed=3" xfId="1232" xr:uid="{E962A0F8-5A6D-4E34-A616-E249248DF02D}"/>
    <cellStyle name="s]_x000d__x000a_spooler=yes_x000d__x000a_load=nwpopup.exe_x000d__x000a_run=_x000d__x000a_Beep=No_x000d__x000a_NullPort=None_x000d__x000a_BorderWidth=3_x000d__x000a_CursorBlinkRate=345_x000d__x000a_DoubleClickSpeed=3 2" xfId="1233" xr:uid="{156B0BC5-D8DD-4FCF-889F-E6FC2F21916D}"/>
    <cellStyle name="Saisie" xfId="321" xr:uid="{00000000-0005-0000-0000-000041010000}"/>
    <cellStyle name="Salomon Logo" xfId="322" xr:uid="{00000000-0005-0000-0000-000042010000}"/>
    <cellStyle name="SAPBEXaggData" xfId="1234" xr:uid="{48A324F7-7B92-4FFA-9D1F-33FCE00D511C}"/>
    <cellStyle name="SAPBEXaggDataEmph" xfId="1235" xr:uid="{BD5273B7-24C8-4EA2-B09B-C55F8386BFEC}"/>
    <cellStyle name="SAPBEXaggItem" xfId="1236" xr:uid="{0AEBFDCC-9CC9-4CA7-AE2B-21888A3F358B}"/>
    <cellStyle name="SAPBEXchaText" xfId="1237" xr:uid="{DBC14E27-F97B-407E-8A67-B5737B99EE9A}"/>
    <cellStyle name="SAPBEXexcBad7" xfId="1238" xr:uid="{34C8B69E-ED92-4367-90A8-179DC17B5B06}"/>
    <cellStyle name="SAPBEXexcBad8" xfId="1239" xr:uid="{D39696C1-39B2-433F-B2F1-26E6BA3926DB}"/>
    <cellStyle name="SAPBEXexcBad9" xfId="1240" xr:uid="{AFF1FD3F-14FF-40AE-A3CD-FA268539AD3D}"/>
    <cellStyle name="SAPBEXexcCritical4" xfId="1241" xr:uid="{88D6C127-16D3-4CDA-9088-425C12FF994C}"/>
    <cellStyle name="SAPBEXexcCritical5" xfId="1242" xr:uid="{18F7D167-9FA9-4831-A92B-5828F045B204}"/>
    <cellStyle name="SAPBEXexcCritical6" xfId="1243" xr:uid="{85433FDE-6F42-4C27-86BF-526C80CE8809}"/>
    <cellStyle name="SAPBEXexcGood1" xfId="1244" xr:uid="{CA889F70-05E9-4E45-B139-5DF1299A7DDD}"/>
    <cellStyle name="SAPBEXexcGood2" xfId="1245" xr:uid="{7FA95E94-FD67-4068-8F33-6D24C2611F10}"/>
    <cellStyle name="SAPBEXexcGood3" xfId="1246" xr:uid="{493A5201-2E73-4676-A446-DBA6220763D7}"/>
    <cellStyle name="SAPBEXfilterDrill" xfId="1247" xr:uid="{7F374DDA-0400-4DFE-A688-342CEA417CC7}"/>
    <cellStyle name="SAPBEXfilterItem" xfId="1248" xr:uid="{2DC063B3-AE07-4445-B09D-B0C98CD5395A}"/>
    <cellStyle name="SAPBEXfilterText" xfId="1249" xr:uid="{2DCF8B14-561F-4E4D-946F-CC3B06BBA684}"/>
    <cellStyle name="SAPBEXformats" xfId="1250" xr:uid="{C9B1DBC3-D809-4E08-B366-722DFB2B9C7F}"/>
    <cellStyle name="SAPBEXheaderItem" xfId="1251" xr:uid="{0CF56C8E-CE17-45A0-8C70-EC1C560114E3}"/>
    <cellStyle name="SAPBEXheaderText" xfId="1252" xr:uid="{1AE4AAB9-0D53-45AC-AB78-9211BC9ABF1B}"/>
    <cellStyle name="SAPBEXresData" xfId="1253" xr:uid="{E71F5EA3-1E1A-40C9-B227-85CFBB6FC22B}"/>
    <cellStyle name="SAPBEXresDataEmph" xfId="1254" xr:uid="{05C15055-0CEF-4C0C-94E6-894D8F8CCFD3}"/>
    <cellStyle name="SAPBEXresItem" xfId="1255" xr:uid="{382606EF-4CA2-4458-B184-DAACC5695C74}"/>
    <cellStyle name="SAPBEXstdData" xfId="1256" xr:uid="{E975E1E2-CA0F-4563-AD23-4D3D2668F66D}"/>
    <cellStyle name="SAPBEXstdDataEmph" xfId="1257" xr:uid="{3E6EC453-D4E0-41A8-992C-33118CD06930}"/>
    <cellStyle name="SAPBEXstdItem" xfId="1258" xr:uid="{DAA77CAF-693B-436C-ADCE-4F33290EAD2E}"/>
    <cellStyle name="SAPBEXtitle" xfId="1259" xr:uid="{F579C29A-FFE2-47C4-A885-FDE106933263}"/>
    <cellStyle name="SAPBEXundefined" xfId="1260" xr:uid="{EB47786A-AEA4-488B-A21F-3D1CBAF1F71D}"/>
    <cellStyle name="ScripFactor" xfId="323" xr:uid="{00000000-0005-0000-0000-000043010000}"/>
    <cellStyle name="Section name" xfId="1262" xr:uid="{4EC3676C-243D-426D-9A9C-075D3D818E0B}"/>
    <cellStyle name="Section Title" xfId="324" xr:uid="{00000000-0005-0000-0000-000044010000}"/>
    <cellStyle name="SectionHeading" xfId="325" xr:uid="{00000000-0005-0000-0000-000045010000}"/>
    <cellStyle name="Separador de m" xfId="1263" xr:uid="{0B374FBB-6584-441F-8812-FC07D148D8BD}"/>
    <cellStyle name="Separador de milhares [0]_Intx SMS Vivo x Outras Operadoras" xfId="1264" xr:uid="{9595C829-4A43-4EC3-9348-B700A70E92D9}"/>
    <cellStyle name="Separador de milhares 2" xfId="1265" xr:uid="{F7FAE665-CD9C-4DBF-9AFF-78E47A7DAC53}"/>
    <cellStyle name="Separador de milhares 2 2" xfId="1266" xr:uid="{1205B626-C7A3-4926-99D2-027EA6016F76}"/>
    <cellStyle name="Separador de milhares 2 2 2" xfId="1267" xr:uid="{5B9023AF-478C-4F7F-9926-F07D648105BA}"/>
    <cellStyle name="Separador de milhares 3" xfId="1268" xr:uid="{369D2F0D-F519-4C8F-BDBF-6708E6E16E07}"/>
    <cellStyle name="Separador de milhares 3 2" xfId="1269" xr:uid="{23FC67E0-5D98-4912-BA27-0EDDCB73D804}"/>
    <cellStyle name="Separador de milhares 4" xfId="1270" xr:uid="{209E3CC7-09C2-4E1E-AA6D-3501126C6DF3}"/>
    <cellStyle name="Separador de milhares 4 2" xfId="1271" xr:uid="{DFFBBA81-AD63-4D6F-B684-640F4064E427}"/>
    <cellStyle name="Separador de milhares 5" xfId="1272" xr:uid="{14297486-6083-412B-A380-CCAFDF93EAC7}"/>
    <cellStyle name="Separador de milhares 5 2" xfId="1273" xr:uid="{B6A615D6-3E0E-46BE-A99F-C97567AB3101}"/>
    <cellStyle name="Separador de milhares 6" xfId="1274" xr:uid="{D0774667-3123-4A8E-9EA7-F24775137892}"/>
    <cellStyle name="Separador de milhares 7" xfId="1275" xr:uid="{B9EDCDC4-FEAB-4228-9FDB-0B6012C1C7A8}"/>
    <cellStyle name="Separador de milhares 7 2" xfId="1276" xr:uid="{F0BBB29A-9CF2-4C72-BD4A-E945A6F676D6}"/>
    <cellStyle name="Separador de milhares 7 3" xfId="1277" xr:uid="{F2776038-87BB-4742-B27C-DB83C22D2A02}"/>
    <cellStyle name="Separador de milhares 8" xfId="1278" xr:uid="{465BB7BD-763D-4186-926D-07ACCD6C8A5C}"/>
    <cellStyle name="Separador de milhares_Intx SMS Vivo x Outras Operadoras" xfId="1279" xr:uid="{E2449FBF-3E3C-42EF-A8CD-A08713181AFB}"/>
    <cellStyle name="Shaded" xfId="1280" xr:uid="{25DF636F-F193-4264-9BD9-5E346CE7ED7B}"/>
    <cellStyle name="Shares" xfId="326" xr:uid="{00000000-0005-0000-0000-000047010000}"/>
    <cellStyle name="Single Accounting" xfId="327" xr:uid="{00000000-0005-0000-0000-000048010000}"/>
    <cellStyle name="Small Number" xfId="328" xr:uid="{00000000-0005-0000-0000-000049010000}"/>
    <cellStyle name="Small Percentage" xfId="329" xr:uid="{00000000-0005-0000-0000-00004A010000}"/>
    <cellStyle name="Sous titre" xfId="330" xr:uid="{00000000-0005-0000-0000-00004B010000}"/>
    <cellStyle name="Spreadsheet title" xfId="1281" xr:uid="{E012AF0C-A4EA-4A6C-85CC-6E29BF74E255}"/>
    <cellStyle name="ssubtitulo" xfId="1282" xr:uid="{5A2C5E0E-D01D-42F9-B250-6EFB371F9BA8}"/>
    <cellStyle name="Standaard_KPN" xfId="331" xr:uid="{00000000-0005-0000-0000-00004C010000}"/>
    <cellStyle name="Standard" xfId="332" xr:uid="{00000000-0005-0000-0000-00004D010000}"/>
    <cellStyle name="Strange" xfId="333" xr:uid="{00000000-0005-0000-0000-00004E010000}"/>
    <cellStyle name="STYL1 - Estilo8" xfId="1283" xr:uid="{301456B5-195A-4B4E-88EE-720D6E05B85F}"/>
    <cellStyle name="STYL1 - Estilo8 2" xfId="1284" xr:uid="{768A8400-3E48-4775-B8DC-B64795264B05}"/>
    <cellStyle name="STYL1 - Style1" xfId="334" xr:uid="{00000000-0005-0000-0000-00004F010000}"/>
    <cellStyle name="STYL1 - Style1 2" xfId="1286" xr:uid="{5DF88843-D7F9-4ED4-8712-ADBF899C19B3}"/>
    <cellStyle name="STYL1 - Style1 3" xfId="1287" xr:uid="{B9AE065E-E616-4732-9EE5-D6016F83E71A}"/>
    <cellStyle name="STYL1 - Style1 4" xfId="1285" xr:uid="{D44B806F-C28F-4315-9442-C98DC358A18F}"/>
    <cellStyle name="Style 1" xfId="335" xr:uid="{00000000-0005-0000-0000-000050010000}"/>
    <cellStyle name="Style 1 2" xfId="1288" xr:uid="{12E85954-08D5-42C8-B514-D6AD35877BFE}"/>
    <cellStyle name="Style 1 2 2" xfId="1289" xr:uid="{77C65A13-27FA-44E0-B84B-CC990F025527}"/>
    <cellStyle name="Subhead" xfId="336" xr:uid="{00000000-0005-0000-0000-000051010000}"/>
    <cellStyle name="subtitulo" xfId="1290" xr:uid="{0C1F6794-EF36-4987-A2F5-E257DDA89273}"/>
    <cellStyle name="Sub-titulo" xfId="1291" xr:uid="{602772AF-739F-41BC-9484-5A84F2057FD3}"/>
    <cellStyle name="Sub-Título" xfId="1292" xr:uid="{C5FDD819-80B9-4814-93E9-70913B807983}"/>
    <cellStyle name="Sub-titulo 2" xfId="1293" xr:uid="{86278037-641D-41DC-A1BC-0A506C8422F3}"/>
    <cellStyle name="Subtotal" xfId="1294" xr:uid="{B2907E51-74E1-4844-8B44-D05FC83F055A}"/>
    <cellStyle name="Sub-total" xfId="1295" xr:uid="{7FBBF162-DE68-4CEC-B96B-AF6961B40FCF}"/>
    <cellStyle name="Sub-total row" xfId="337" xr:uid="{00000000-0005-0000-0000-000052010000}"/>
    <cellStyle name="Table" xfId="338" xr:uid="{00000000-0005-0000-0000-000053010000}"/>
    <cellStyle name="Table finish row" xfId="339" xr:uid="{00000000-0005-0000-0000-000054010000}"/>
    <cellStyle name="Table Head" xfId="340" xr:uid="{00000000-0005-0000-0000-000055010000}"/>
    <cellStyle name="Table Head 2" xfId="1297" xr:uid="{4740EB65-32FC-42E6-AAE8-8E1BCD8EB447}"/>
    <cellStyle name="Table Head 3" xfId="1298" xr:uid="{293C0784-8D67-4FE9-8820-80BCEAFBE93E}"/>
    <cellStyle name="Table Head 4" xfId="1299" xr:uid="{DF55C2A7-8FC2-439A-AAC9-00AA17E19BFA}"/>
    <cellStyle name="Table Head 5" xfId="1296" xr:uid="{BC4DC404-DB19-4AC5-AFC2-978FEEDEE9B1}"/>
    <cellStyle name="Table Head Aligned" xfId="341" xr:uid="{00000000-0005-0000-0000-000056010000}"/>
    <cellStyle name="Table Head Aligned 2" xfId="1301" xr:uid="{EBFA95B7-4B82-4D96-A317-930F05619367}"/>
    <cellStyle name="Table Head Aligned 3" xfId="1300" xr:uid="{4814AD46-156F-4AE6-B6D2-79CED0BB16EA}"/>
    <cellStyle name="Table Head Blue" xfId="342" xr:uid="{00000000-0005-0000-0000-000057010000}"/>
    <cellStyle name="Table Head Blue 2" xfId="1303" xr:uid="{28A81888-5072-4802-B13F-58A1827CF340}"/>
    <cellStyle name="Table Head Blue 3" xfId="1304" xr:uid="{7F1A3B50-6FC7-4517-9020-7E150974FA1C}"/>
    <cellStyle name="Table Head Blue 4" xfId="1302" xr:uid="{41671E8F-E54E-4D0C-9B5F-3F0744ADE4F4}"/>
    <cellStyle name="Table Head Green" xfId="343" xr:uid="{00000000-0005-0000-0000-000058010000}"/>
    <cellStyle name="Table Head Green 2" xfId="1306" xr:uid="{5C9A4FA6-95C6-45A7-8AC9-BAF28E97B7DA}"/>
    <cellStyle name="Table Head Green 3" xfId="1307" xr:uid="{7FD1B8AB-5E7E-44A1-8378-D9A647D90F01}"/>
    <cellStyle name="Table Head Green 4" xfId="1305" xr:uid="{542F6620-AECA-492C-ABA6-63C78D7854E2}"/>
    <cellStyle name="Table Head_Millicom_current" xfId="344" xr:uid="{00000000-0005-0000-0000-000059010000}"/>
    <cellStyle name="table numbers 1" xfId="345" xr:uid="{00000000-0005-0000-0000-00005A010000}"/>
    <cellStyle name="Table numbers 2" xfId="346" xr:uid="{00000000-0005-0000-0000-00005B010000}"/>
    <cellStyle name="Table shading" xfId="347" xr:uid="{00000000-0005-0000-0000-00005C010000}"/>
    <cellStyle name="Table Source" xfId="348" xr:uid="{00000000-0005-0000-0000-00005D010000}"/>
    <cellStyle name="Table Sub Head" xfId="349" xr:uid="{00000000-0005-0000-0000-00005E010000}"/>
    <cellStyle name="Table Text" xfId="350" xr:uid="{00000000-0005-0000-0000-00005F010000}"/>
    <cellStyle name="Table Title" xfId="351" xr:uid="{00000000-0005-0000-0000-000060010000}"/>
    <cellStyle name="Table Title 2" xfId="1309" xr:uid="{68030C87-26B1-42F1-B41F-19C8A02CE53E}"/>
    <cellStyle name="Table Title 3" xfId="1310" xr:uid="{26EE795B-2806-46A5-9F46-B7B551BDC5EA}"/>
    <cellStyle name="Table Title 4" xfId="1311" xr:uid="{E00A31FA-C2BD-41C7-B034-C4BB150BB820}"/>
    <cellStyle name="Table Title 5" xfId="1308" xr:uid="{81423330-A4E0-4E88-9593-1EE9E4208796}"/>
    <cellStyle name="Table unfinish row" xfId="352" xr:uid="{00000000-0005-0000-0000-000061010000}"/>
    <cellStyle name="Table Units" xfId="353" xr:uid="{00000000-0005-0000-0000-000062010000}"/>
    <cellStyle name="Table Units 2" xfId="1313" xr:uid="{FDF8DA9F-15D8-4303-AB50-5EC90A541F0F}"/>
    <cellStyle name="Table Units 3" xfId="1314" xr:uid="{6E297BFB-D614-4E8D-942D-AFD72B512C9E}"/>
    <cellStyle name="Table Units 4" xfId="1315" xr:uid="{51AEE4BB-2D1F-499C-8A61-86629DFED97D}"/>
    <cellStyle name="Table Units 5" xfId="1312" xr:uid="{E74C0719-76FA-4ABA-897D-8E153C7706D8}"/>
    <cellStyle name="Table unshading" xfId="354" xr:uid="{00000000-0005-0000-0000-000063010000}"/>
    <cellStyle name="TableBorder" xfId="355" xr:uid="{00000000-0005-0000-0000-000064010000}"/>
    <cellStyle name="TableFootnotes" xfId="356" xr:uid="{00000000-0005-0000-0000-000065010000}"/>
    <cellStyle name="TableTitleFormat" xfId="357" xr:uid="{00000000-0005-0000-0000-000066010000}"/>
    <cellStyle name="taples Plaza" xfId="1316" xr:uid="{F44A9261-AC3B-4B3C-A2BE-4F17CAC8E5DF}"/>
    <cellStyle name="taples Plaza 2" xfId="1317" xr:uid="{BBC55C61-2742-4942-A948-07170E6D8F5C}"/>
    <cellStyle name="Test [green]" xfId="358" xr:uid="{00000000-0005-0000-0000-000067010000}"/>
    <cellStyle name="test a style" xfId="359" xr:uid="{00000000-0005-0000-0000-000068010000}"/>
    <cellStyle name="Text" xfId="360" xr:uid="{00000000-0005-0000-0000-000069010000}"/>
    <cellStyle name="Text 1" xfId="361" xr:uid="{00000000-0005-0000-0000-00006A010000}"/>
    <cellStyle name="Text 2" xfId="362" xr:uid="{00000000-0005-0000-0000-00006B010000}"/>
    <cellStyle name="Text 3" xfId="1319" xr:uid="{AE2AF6A6-5B66-4222-9C17-1D92A1FBE40D}"/>
    <cellStyle name="TEXT 4" xfId="1318" xr:uid="{251A213C-99CC-43EB-B5F4-F2C5439035F3}"/>
    <cellStyle name="TEXT 5" xfId="1373" xr:uid="{1DD72E1A-6F7B-437A-A808-9E7C922CE00D}"/>
    <cellStyle name="TEXT 6" xfId="1261" xr:uid="{6D02CCD5-FD7E-4621-B1DE-28021F973974}"/>
    <cellStyle name="Text Head 1" xfId="363" xr:uid="{00000000-0005-0000-0000-00006C010000}"/>
    <cellStyle name="Text Head 2" xfId="364" xr:uid="{00000000-0005-0000-0000-00006D010000}"/>
    <cellStyle name="Text Indent 1" xfId="365" xr:uid="{00000000-0005-0000-0000-00006E010000}"/>
    <cellStyle name="Text Indent 2" xfId="366" xr:uid="{00000000-0005-0000-0000-00006F010000}"/>
    <cellStyle name="TFCF" xfId="367" xr:uid="{00000000-0005-0000-0000-000070010000}"/>
    <cellStyle name="Time Strip" xfId="368" xr:uid="{00000000-0005-0000-0000-000071010000}"/>
    <cellStyle name="times" xfId="369" xr:uid="{00000000-0005-0000-0000-000072010000}"/>
    <cellStyle name="Times 10" xfId="370" xr:uid="{00000000-0005-0000-0000-000073010000}"/>
    <cellStyle name="Times 12" xfId="371" xr:uid="{00000000-0005-0000-0000-000074010000}"/>
    <cellStyle name="times_Deutsche" xfId="372" xr:uid="{00000000-0005-0000-0000-000075010000}"/>
    <cellStyle name="Title 2" xfId="1320" xr:uid="{1143F628-9D94-4B6C-9110-7AF5D37DC885}"/>
    <cellStyle name="Title 2 2" xfId="1321" xr:uid="{6DF0EB5B-5138-4709-A246-4BBC3DF68E2E}"/>
    <cellStyle name="Title Heading" xfId="373" xr:uid="{00000000-0005-0000-0000-000076010000}"/>
    <cellStyle name="Title II" xfId="374" xr:uid="{00000000-0005-0000-0000-000077010000}"/>
    <cellStyle name="title1" xfId="375" xr:uid="{00000000-0005-0000-0000-000078010000}"/>
    <cellStyle name="Title2" xfId="376" xr:uid="{00000000-0005-0000-0000-000079010000}"/>
    <cellStyle name="TitleII" xfId="377" xr:uid="{00000000-0005-0000-0000-00007A010000}"/>
    <cellStyle name="Titles" xfId="378" xr:uid="{00000000-0005-0000-0000-00007B010000}"/>
    <cellStyle name="Titre" xfId="379" xr:uid="{00000000-0005-0000-0000-00007C010000}"/>
    <cellStyle name="titulo" xfId="1322" xr:uid="{32027A5F-1FE7-4215-8104-58624BB5868A}"/>
    <cellStyle name="Titulo1" xfId="1323" xr:uid="{C8845C88-CB62-4FF2-AF66-6BB8FE97829F}"/>
    <cellStyle name="Titulo2" xfId="1324" xr:uid="{9B0A1396-6E2F-4B0C-BC4D-97C90F6C68EA}"/>
    <cellStyle name="titulomov" xfId="1325" xr:uid="{6BAC4C0C-D5AE-4F79-BED7-9ED523829980}"/>
    <cellStyle name="Titulo-Seccion" xfId="1326" xr:uid="{B9255DDA-8DC2-46F7-A8F9-2EBF067B2083}"/>
    <cellStyle name="Titulo-Seccion 2" xfId="1327" xr:uid="{A1DFF97D-227F-4B78-92EB-9417604B5DB7}"/>
    <cellStyle name="TOC 1" xfId="380" xr:uid="{00000000-0005-0000-0000-00007D010000}"/>
    <cellStyle name="TOC 2" xfId="381" xr:uid="{00000000-0005-0000-0000-00007E010000}"/>
    <cellStyle name="Todos" xfId="1328" xr:uid="{290AC10D-C062-489C-BFE4-DEBAAF4009F6}"/>
    <cellStyle name="tom" xfId="382" xr:uid="{00000000-0005-0000-0000-00007F010000}"/>
    <cellStyle name="Topline" xfId="383" xr:uid="{00000000-0005-0000-0000-000080010000}"/>
    <cellStyle name="Total" xfId="428" builtinId="25" customBuiltin="1"/>
    <cellStyle name="Total 2" xfId="1329" xr:uid="{CD788801-AF71-45F2-A41F-3CF6EF83C33F}"/>
    <cellStyle name="Total 2 2" xfId="1330" xr:uid="{7350FF7D-54C2-444B-A58F-F340BB1D71E1}"/>
    <cellStyle name="Total 2 3" xfId="1331" xr:uid="{3880EFC7-6B58-4855-91C7-DF3AD3447594}"/>
    <cellStyle name="Total row" xfId="384" xr:uid="{00000000-0005-0000-0000-000081010000}"/>
    <cellStyle name="totalbalan" xfId="1332" xr:uid="{7CE56905-F48B-4AB9-9BBF-8B87BD2D6D9D}"/>
    <cellStyle name="Tusenskille_Korrigeringer for å nettoføre VØT" xfId="385" xr:uid="{00000000-0005-0000-0000-000082010000}"/>
    <cellStyle name="Tusental (0)_1998-Q2" xfId="386" xr:uid="{00000000-0005-0000-0000-000083010000}"/>
    <cellStyle name="Tusental_1998-Q4-NORGE" xfId="387" xr:uid="{00000000-0005-0000-0000-000084010000}"/>
    <cellStyle name="ul" xfId="388" xr:uid="{00000000-0005-0000-0000-000085010000}"/>
    <cellStyle name="Unhighlight" xfId="389" xr:uid="{00000000-0005-0000-0000-000086010000}"/>
    <cellStyle name="Unit" xfId="390" xr:uid="{00000000-0005-0000-0000-000087010000}"/>
    <cellStyle name="units" xfId="391" xr:uid="{00000000-0005-0000-0000-000088010000}"/>
    <cellStyle name="Untotal row" xfId="392" xr:uid="{00000000-0005-0000-0000-000089010000}"/>
    <cellStyle name="Upload Only" xfId="393" xr:uid="{00000000-0005-0000-0000-00008A010000}"/>
    <cellStyle name="V¡rgula" xfId="1333" xr:uid="{92F69183-E9E9-428A-90B3-05F6BCE4A1CA}"/>
    <cellStyle name="V¡rgula0" xfId="1334" xr:uid="{8D923266-6723-43EB-B27E-F733EB49192F}"/>
    <cellStyle name="Valuta (0)" xfId="1335" xr:uid="{950861F1-8B6C-413A-B855-1D58F75BBDCE}"/>
    <cellStyle name="VENDOR" xfId="1336" xr:uid="{9DDDC7E4-C198-4E5A-AC2A-F9B3D5861CF8}"/>
    <cellStyle name="Vírgula 2" xfId="1337" xr:uid="{CD163619-4358-4B94-BD85-9EBA9158B3B5}"/>
    <cellStyle name="Vírgula 2 2" xfId="1338" xr:uid="{8D975AD0-D377-4364-BA00-A864E915B6ED}"/>
    <cellStyle name="Vírgula0" xfId="1339" xr:uid="{E46B4FF9-E81B-4A44-A618-2359424E3A56}"/>
    <cellStyle name="Währung [0]_Compiling Utility Macros" xfId="1340" xr:uid="{A1B5DFA9-5FA6-44D3-922C-F384299377F4}"/>
    <cellStyle name="Währung_Compiling Utility Macros" xfId="1341" xr:uid="{ACB2C32E-3A56-4726-941A-6563BF03DE3B}"/>
    <cellStyle name="Warning Text" xfId="426" builtinId="11" customBuiltin="1"/>
    <cellStyle name="Warning Text 2" xfId="1342" xr:uid="{D8756C1D-7AC5-4026-9D06-D99B3D25DDFE}"/>
    <cellStyle name="web_ normal" xfId="394" xr:uid="{00000000-0005-0000-0000-00008C010000}"/>
    <cellStyle name="White" xfId="395" xr:uid="{00000000-0005-0000-0000-00008D010000}"/>
    <cellStyle name="WhitePattern1" xfId="1343" xr:uid="{F88C6CC9-A883-451D-A31B-755E9407A520}"/>
    <cellStyle name="WhitePattern1 2" xfId="1344" xr:uid="{3310A781-0C14-4E09-98F5-0B65EF6BE354}"/>
    <cellStyle name="WholeNumber" xfId="396" xr:uid="{00000000-0005-0000-0000-00008E010000}"/>
    <cellStyle name="WP Header" xfId="397" xr:uid="{00000000-0005-0000-0000-00008F010000}"/>
    <cellStyle name="x" xfId="1345" xr:uid="{C9880E28-1D85-40A3-9760-90D5216CABAD}"/>
    <cellStyle name="Year" xfId="398" xr:uid="{00000000-0005-0000-0000-000090010000}"/>
    <cellStyle name="Year 2" xfId="1347" xr:uid="{E99AE1F2-6724-43A4-8F0E-225FC16B04EA}"/>
    <cellStyle name="Year 3" xfId="1348" xr:uid="{3CD55E2F-4150-462A-B2FA-64B136BAAB43}"/>
    <cellStyle name="Year 4" xfId="1349" xr:uid="{F4394AA6-AE75-4382-9DAA-76CAD0B5851E}"/>
    <cellStyle name="Year 5" xfId="1346" xr:uid="{F2B37875-4486-4480-9334-BB268448D819}"/>
    <cellStyle name="Yen" xfId="399" xr:uid="{00000000-0005-0000-0000-000091010000}"/>
    <cellStyle name="ZERO" xfId="1350" xr:uid="{D62ACF31-20C5-4C3F-914E-A6929A624734}"/>
    <cellStyle name="zero = - [0]" xfId="1351" xr:uid="{BC968D80-D7E4-4126-9E0F-19EA0DAAFFC4}"/>
    <cellStyle name="ZERO = - [1]" xfId="1352" xr:uid="{77752942-C39F-4F84-93FA-C5F2461B470E}"/>
    <cellStyle name="zero = - [2]" xfId="1353" xr:uid="{EF45E51C-688E-47D3-8798-66C24B21C8B3}"/>
    <cellStyle name="ZERO = [-]" xfId="1354" xr:uid="{060CAA4B-9117-42EC-BD84-52E6419C12CB}"/>
    <cellStyle name="ZERO_R15" xfId="1355" xr:uid="{43D124AF-64F9-4376-9B08-7580D93A9ED2}"/>
    <cellStyle name="똿뗦먛귟 [0.00]_PRODUCT DETAIL Q1_x0013_" xfId="400" xr:uid="{00000000-0005-0000-0000-000092010000}"/>
    <cellStyle name="똿뗦먛귟_PRODUCT DETAIL Q1TAIL" xfId="401" xr:uid="{00000000-0005-0000-0000-000093010000}"/>
    <cellStyle name="믅됞 [0.00]_PRODUCT DETAIL Q1Q3" xfId="402" xr:uid="{00000000-0005-0000-0000-000094010000}"/>
    <cellStyle name="믅됞_PRODUCT DETAIL Q1TA" xfId="403" xr:uid="{00000000-0005-0000-0000-000095010000}"/>
    <cellStyle name="뷭?_BOOKSHIP_상세일정 (2) (2) " xfId="404" xr:uid="{00000000-0005-0000-0000-000096010000}"/>
    <cellStyle name="콤마 [0]_97년도 프로젝트 현황 (2)OMMENTS_총무" xfId="405" xr:uid="{00000000-0005-0000-0000-000097010000}"/>
    <cellStyle name="콤마_97년도 프로젝트 현황 (2) (2)OMMENT" xfId="406" xr:uid="{00000000-0005-0000-0000-000098010000}"/>
    <cellStyle name="통화 [0]_97년도 프로젝트 현황 (2)OMMENT" xfId="407" xr:uid="{00000000-0005-0000-0000-000099010000}"/>
    <cellStyle name="통화_97년도 프로젝트 현황 (2) (2)OMMENT" xfId="408" xr:uid="{00000000-0005-0000-0000-00009A010000}"/>
    <cellStyle name="표준_97년 프로젝트 현황) (2) (2)" xfId="409" xr:uid="{00000000-0005-0000-0000-00009B010000}"/>
  </cellStyles>
  <dxfs count="0"/>
  <tableStyles count="0" defaultTableStyle="TableStyleMedium2" defaultPivotStyle="PivotStyleLight16"/>
  <colors>
    <mruColors>
      <color rgb="FF00CC99"/>
      <color rgb="FF0000FF"/>
      <color rgb="FFC7F502"/>
      <color rgb="FF4F81BD"/>
      <color rgb="FF799098"/>
      <color rgb="FF4A626E"/>
      <color rgb="FF009999"/>
      <color rgb="FF2632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externalLink" Target="externalLinks/externalLink23.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42" Type="http://schemas.openxmlformats.org/officeDocument/2006/relationships/sharedStrings" Target="sharedString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theme" Target="theme/theme1.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customXml" Target="../customXml/item2.xml"/><Relationship Id="rId20" Type="http://schemas.openxmlformats.org/officeDocument/2006/relationships/externalLink" Target="externalLinks/externalLink4.xml"/><Relationship Id="rId41"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4.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5.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6.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7.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8.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9.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1.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62.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63.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64.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65.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6.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7.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8.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9.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71.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72.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73.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4.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75.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6.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70.xml"/><Relationship Id="rId1" Type="http://schemas.microsoft.com/office/2011/relationships/chartStyle" Target="style70.xml"/></Relationships>
</file>

<file path=xl/charts/_rels/chart77.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71.xml"/><Relationship Id="rId1" Type="http://schemas.microsoft.com/office/2011/relationships/chartStyle" Target="style71.xml"/></Relationships>
</file>

<file path=xl/charts/_rels/chart78.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9.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cat>
            <c:numRef>
              <c:f>Valuation!$M$2:$R$2</c:f>
              <c:numCache>
                <c:formatCode>General</c:formatCode>
                <c:ptCount val="6"/>
                <c:pt idx="0">
                  <c:v>2020</c:v>
                </c:pt>
                <c:pt idx="1">
                  <c:v>2021</c:v>
                </c:pt>
                <c:pt idx="2">
                  <c:v>2022</c:v>
                </c:pt>
                <c:pt idx="3">
                  <c:v>2023</c:v>
                </c:pt>
                <c:pt idx="4">
                  <c:v>2024</c:v>
                </c:pt>
                <c:pt idx="5">
                  <c:v>2025</c:v>
                </c:pt>
              </c:numCache>
            </c:numRef>
          </c:cat>
          <c:val>
            <c:numRef>
              <c:f>Valuation!$M$48:$R$48</c:f>
              <c:numCache>
                <c:formatCode>0.0%</c:formatCode>
                <c:ptCount val="6"/>
                <c:pt idx="0">
                  <c:v>4.3713253893041277E-3</c:v>
                </c:pt>
                <c:pt idx="1">
                  <c:v>-6.8228804181609155E-3</c:v>
                </c:pt>
                <c:pt idx="2">
                  <c:v>-8.5966027655804647E-2</c:v>
                </c:pt>
                <c:pt idx="3">
                  <c:v>-6.5694586888960724E-2</c:v>
                </c:pt>
                <c:pt idx="4">
                  <c:v>2.8631492013485982E-4</c:v>
                </c:pt>
                <c:pt idx="5">
                  <c:v>5.0965110263668893E-2</c:v>
                </c:pt>
              </c:numCache>
            </c:numRef>
          </c:val>
          <c:extLst>
            <c:ext xmlns:c16="http://schemas.microsoft.com/office/drawing/2014/chart" uri="{C3380CC4-5D6E-409C-BE32-E72D297353CC}">
              <c16:uniqueId val="{00000000-EF54-4AA9-9482-2B8199E70B81}"/>
            </c:ext>
          </c:extLst>
        </c:ser>
        <c:dLbls>
          <c:showLegendKey val="0"/>
          <c:showVal val="0"/>
          <c:showCatName val="0"/>
          <c:showSerName val="0"/>
          <c:showPercent val="0"/>
          <c:showBubbleSize val="0"/>
        </c:dLbls>
        <c:gapWidth val="219"/>
        <c:overlap val="-27"/>
        <c:axId val="962872280"/>
        <c:axId val="962877200"/>
      </c:barChart>
      <c:catAx>
        <c:axId val="962872280"/>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62877200"/>
        <c:crosses val="autoZero"/>
        <c:auto val="1"/>
        <c:lblAlgn val="ctr"/>
        <c:lblOffset val="100"/>
        <c:noMultiLvlLbl val="0"/>
      </c:catAx>
      <c:valAx>
        <c:axId val="962877200"/>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62872280"/>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109877501960988E-2"/>
          <c:y val="0"/>
          <c:w val="0.94012635171259218"/>
          <c:h val="0.75466990454157268"/>
        </c:manualLayout>
      </c:layout>
      <c:lineChart>
        <c:grouping val="standard"/>
        <c:varyColors val="0"/>
        <c:ser>
          <c:idx val="0"/>
          <c:order val="0"/>
          <c:tx>
            <c:strRef>
              <c:f>'Earnings snaps'!$B$67</c:f>
              <c:strCache>
                <c:ptCount val="1"/>
                <c:pt idx="0">
                  <c:v>TV</c:v>
                </c:pt>
              </c:strCache>
            </c:strRef>
          </c:tx>
          <c:spPr>
            <a:ln w="25400" cap="rnd">
              <a:solidFill>
                <a:srgbClr val="263238"/>
              </a:solidFill>
              <a:prstDash val="solid"/>
              <a:round/>
            </a:ln>
            <a:effectLst/>
          </c:spPr>
          <c:marker>
            <c:symbol val="none"/>
          </c:marker>
          <c:dLbls>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E8-4587-A5EE-1BB8EF003AC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snaps'!$D$66:$X$66</c:f>
              <c:strCache>
                <c:ptCount val="21"/>
                <c:pt idx="0">
                  <c:v>2Q19</c:v>
                </c:pt>
                <c:pt idx="1">
                  <c:v>3Q19</c:v>
                </c:pt>
                <c:pt idx="2">
                  <c:v>4Q19</c:v>
                </c:pt>
                <c:pt idx="3">
                  <c:v>1Q20</c:v>
                </c:pt>
                <c:pt idx="4">
                  <c:v>2Q20</c:v>
                </c:pt>
                <c:pt idx="5">
                  <c:v>3Q20</c:v>
                </c:pt>
                <c:pt idx="6">
                  <c:v>4Q20</c:v>
                </c:pt>
                <c:pt idx="7">
                  <c:v>1Q21</c:v>
                </c:pt>
                <c:pt idx="8">
                  <c:v>2Q21</c:v>
                </c:pt>
                <c:pt idx="9">
                  <c:v>3Q21</c:v>
                </c:pt>
                <c:pt idx="10">
                  <c:v>4Q21</c:v>
                </c:pt>
                <c:pt idx="11">
                  <c:v>1Q22</c:v>
                </c:pt>
                <c:pt idx="12">
                  <c:v>2Q22</c:v>
                </c:pt>
                <c:pt idx="13">
                  <c:v>3Q22</c:v>
                </c:pt>
                <c:pt idx="14">
                  <c:v>4Q22</c:v>
                </c:pt>
                <c:pt idx="15">
                  <c:v>1Q23</c:v>
                </c:pt>
                <c:pt idx="16">
                  <c:v>2Q23</c:v>
                </c:pt>
                <c:pt idx="17">
                  <c:v>3Q23</c:v>
                </c:pt>
                <c:pt idx="18">
                  <c:v>4Q23</c:v>
                </c:pt>
                <c:pt idx="19">
                  <c:v>1Q24</c:v>
                </c:pt>
                <c:pt idx="20">
                  <c:v>2Q24</c:v>
                </c:pt>
              </c:strCache>
            </c:strRef>
          </c:cat>
          <c:val>
            <c:numRef>
              <c:f>'Earnings snaps'!$D$67:$X$67</c:f>
              <c:numCache>
                <c:formatCode>0.0%</c:formatCode>
                <c:ptCount val="21"/>
                <c:pt idx="0">
                  <c:v>9.1506335053965326E-2</c:v>
                </c:pt>
                <c:pt idx="1">
                  <c:v>8.1974848625989916E-2</c:v>
                </c:pt>
                <c:pt idx="2">
                  <c:v>8.3523505248744856E-2</c:v>
                </c:pt>
                <c:pt idx="3">
                  <c:v>5.7742782152230943E-2</c:v>
                </c:pt>
                <c:pt idx="4">
                  <c:v>4.2992261392948983E-3</c:v>
                </c:pt>
                <c:pt idx="5">
                  <c:v>-3.0133448127421802E-3</c:v>
                </c:pt>
                <c:pt idx="6">
                  <c:v>-3.5383319292333626E-2</c:v>
                </c:pt>
                <c:pt idx="7">
                  <c:v>-5.5004135649296959E-2</c:v>
                </c:pt>
                <c:pt idx="8">
                  <c:v>-3.210616438356162E-2</c:v>
                </c:pt>
                <c:pt idx="9">
                  <c:v>-3.3246977547495615E-2</c:v>
                </c:pt>
                <c:pt idx="10">
                  <c:v>1.1790393013100475E-2</c:v>
                </c:pt>
                <c:pt idx="11">
                  <c:v>2.1881838074397919E-3</c:v>
                </c:pt>
                <c:pt idx="12">
                  <c:v>2.0344980097302123E-2</c:v>
                </c:pt>
                <c:pt idx="13">
                  <c:v>2.4117909781152358E-2</c:v>
                </c:pt>
                <c:pt idx="14">
                  <c:v>4.747518342684609E-3</c:v>
                </c:pt>
                <c:pt idx="15">
                  <c:v>2.1397379912663883E-2</c:v>
                </c:pt>
                <c:pt idx="16">
                  <c:v>8.6692674469006636E-3</c:v>
                </c:pt>
                <c:pt idx="17">
                  <c:v>1.3519406890536434E-2</c:v>
                </c:pt>
                <c:pt idx="18">
                  <c:v>3.3934707903779948E-2</c:v>
                </c:pt>
                <c:pt idx="19">
                  <c:v>1.9666524155621978E-2</c:v>
                </c:pt>
                <c:pt idx="20">
                  <c:v>2.7932960893854775E-2</c:v>
                </c:pt>
              </c:numCache>
            </c:numRef>
          </c:val>
          <c:smooth val="0"/>
          <c:extLst>
            <c:ext xmlns:c16="http://schemas.microsoft.com/office/drawing/2014/chart" uri="{C3380CC4-5D6E-409C-BE32-E72D297353CC}">
              <c16:uniqueId val="{00000000-BB1B-4792-B9CD-1B1DC22CB50E}"/>
            </c:ext>
          </c:extLst>
        </c:ser>
        <c:ser>
          <c:idx val="1"/>
          <c:order val="1"/>
          <c:tx>
            <c:strRef>
              <c:f>'Earnings snaps'!$B$68</c:f>
              <c:strCache>
                <c:ptCount val="1"/>
                <c:pt idx="0">
                  <c:v>Internet</c:v>
                </c:pt>
              </c:strCache>
            </c:strRef>
          </c:tx>
          <c:spPr>
            <a:ln w="25400" cap="rnd">
              <a:solidFill>
                <a:srgbClr val="799098"/>
              </a:solidFill>
              <a:prstDash val="solid"/>
              <a:round/>
            </a:ln>
            <a:effectLst/>
          </c:spPr>
          <c:marker>
            <c:symbol val="none"/>
          </c:marker>
          <c:dLbls>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E8-4587-A5EE-1BB8EF003AC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snaps'!$D$66:$X$66</c:f>
              <c:strCache>
                <c:ptCount val="21"/>
                <c:pt idx="0">
                  <c:v>2Q19</c:v>
                </c:pt>
                <c:pt idx="1">
                  <c:v>3Q19</c:v>
                </c:pt>
                <c:pt idx="2">
                  <c:v>4Q19</c:v>
                </c:pt>
                <c:pt idx="3">
                  <c:v>1Q20</c:v>
                </c:pt>
                <c:pt idx="4">
                  <c:v>2Q20</c:v>
                </c:pt>
                <c:pt idx="5">
                  <c:v>3Q20</c:v>
                </c:pt>
                <c:pt idx="6">
                  <c:v>4Q20</c:v>
                </c:pt>
                <c:pt idx="7">
                  <c:v>1Q21</c:v>
                </c:pt>
                <c:pt idx="8">
                  <c:v>2Q21</c:v>
                </c:pt>
                <c:pt idx="9">
                  <c:v>3Q21</c:v>
                </c:pt>
                <c:pt idx="10">
                  <c:v>4Q21</c:v>
                </c:pt>
                <c:pt idx="11">
                  <c:v>1Q22</c:v>
                </c:pt>
                <c:pt idx="12">
                  <c:v>2Q22</c:v>
                </c:pt>
                <c:pt idx="13">
                  <c:v>3Q22</c:v>
                </c:pt>
                <c:pt idx="14">
                  <c:v>4Q22</c:v>
                </c:pt>
                <c:pt idx="15">
                  <c:v>1Q23</c:v>
                </c:pt>
                <c:pt idx="16">
                  <c:v>2Q23</c:v>
                </c:pt>
                <c:pt idx="17">
                  <c:v>3Q23</c:v>
                </c:pt>
                <c:pt idx="18">
                  <c:v>4Q23</c:v>
                </c:pt>
                <c:pt idx="19">
                  <c:v>1Q24</c:v>
                </c:pt>
                <c:pt idx="20">
                  <c:v>2Q24</c:v>
                </c:pt>
              </c:strCache>
            </c:strRef>
          </c:cat>
          <c:val>
            <c:numRef>
              <c:f>'Earnings snaps'!$D$68:$X$68</c:f>
              <c:numCache>
                <c:formatCode>0.0%</c:formatCode>
                <c:ptCount val="21"/>
                <c:pt idx="0">
                  <c:v>1.8962632459564865E-2</c:v>
                </c:pt>
                <c:pt idx="1">
                  <c:v>2.0763187429854169E-2</c:v>
                </c:pt>
                <c:pt idx="2">
                  <c:v>2.8921023359288034E-2</c:v>
                </c:pt>
                <c:pt idx="3">
                  <c:v>2.3076923076922995E-2</c:v>
                </c:pt>
                <c:pt idx="4">
                  <c:v>-4.3787629994526123E-3</c:v>
                </c:pt>
                <c:pt idx="5">
                  <c:v>-4.9477735019242131E-3</c:v>
                </c:pt>
                <c:pt idx="6">
                  <c:v>-1.5675675675675738E-2</c:v>
                </c:pt>
                <c:pt idx="7">
                  <c:v>-3.759398496240518E-3</c:v>
                </c:pt>
                <c:pt idx="8">
                  <c:v>2.8037383177569986E-2</c:v>
                </c:pt>
                <c:pt idx="9">
                  <c:v>2.5966850828729182E-2</c:v>
                </c:pt>
                <c:pt idx="10">
                  <c:v>3.0203185063152116E-2</c:v>
                </c:pt>
                <c:pt idx="11">
                  <c:v>1.563342318059302E-2</c:v>
                </c:pt>
                <c:pt idx="12">
                  <c:v>3.7433155080213831E-2</c:v>
                </c:pt>
                <c:pt idx="13">
                  <c:v>1.1308562197092309E-2</c:v>
                </c:pt>
                <c:pt idx="14">
                  <c:v>3.1982942430703876E-3</c:v>
                </c:pt>
                <c:pt idx="15">
                  <c:v>4.7770700636942109E-3</c:v>
                </c:pt>
                <c:pt idx="16">
                  <c:v>-8.7628865979381132E-3</c:v>
                </c:pt>
                <c:pt idx="17">
                  <c:v>2.9818956336528091E-2</c:v>
                </c:pt>
                <c:pt idx="18">
                  <c:v>4.9946865037194588E-2</c:v>
                </c:pt>
                <c:pt idx="19">
                  <c:v>4.9656629688325182E-2</c:v>
                </c:pt>
                <c:pt idx="20">
                  <c:v>5.5122204888195414E-2</c:v>
                </c:pt>
              </c:numCache>
            </c:numRef>
          </c:val>
          <c:smooth val="0"/>
          <c:extLst>
            <c:ext xmlns:c16="http://schemas.microsoft.com/office/drawing/2014/chart" uri="{C3380CC4-5D6E-409C-BE32-E72D297353CC}">
              <c16:uniqueId val="{00000001-BB1B-4792-B9CD-1B1DC22CB50E}"/>
            </c:ext>
          </c:extLst>
        </c:ser>
        <c:dLbls>
          <c:showLegendKey val="0"/>
          <c:showVal val="0"/>
          <c:showCatName val="0"/>
          <c:showSerName val="0"/>
          <c:showPercent val="0"/>
          <c:showBubbleSize val="0"/>
        </c:dLbls>
        <c:smooth val="0"/>
        <c:axId val="1611764031"/>
        <c:axId val="1611753631"/>
      </c:lineChart>
      <c:catAx>
        <c:axId val="1611764031"/>
        <c:scaling>
          <c:orientation val="minMax"/>
        </c:scaling>
        <c:delete val="0"/>
        <c:axPos val="b"/>
        <c:numFmt formatCode="General" sourceLinked="1"/>
        <c:majorTickMark val="out"/>
        <c:minorTickMark val="none"/>
        <c:tickLblPos val="low"/>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611753631"/>
        <c:crosses val="autoZero"/>
        <c:auto val="1"/>
        <c:lblAlgn val="ctr"/>
        <c:lblOffset val="100"/>
        <c:noMultiLvlLbl val="0"/>
      </c:catAx>
      <c:valAx>
        <c:axId val="1611753631"/>
        <c:scaling>
          <c:orientation val="minMax"/>
        </c:scaling>
        <c:delete val="1"/>
        <c:axPos val="l"/>
        <c:numFmt formatCode="0.0%" sourceLinked="1"/>
        <c:majorTickMark val="out"/>
        <c:minorTickMark val="none"/>
        <c:tickLblPos val="nextTo"/>
        <c:crossAx val="1611764031"/>
        <c:crosses val="autoZero"/>
        <c:crossBetween val="between"/>
      </c:valAx>
      <c:spPr>
        <a:noFill/>
        <a:ln w="25400">
          <a:noFill/>
        </a:ln>
        <a:effectLst/>
      </c:spPr>
    </c:plotArea>
    <c:legend>
      <c:legendPos val="b"/>
      <c:layout>
        <c:manualLayout>
          <c:xMode val="edge"/>
          <c:yMode val="edge"/>
          <c:x val="0.33345813056831441"/>
          <c:y val="0.88581434512984059"/>
          <c:w val="0.35405910112536149"/>
          <c:h val="7.7249320552566211E-2"/>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'Earnings snaps'!$B$150</c:f>
              <c:strCache>
                <c:ptCount val="1"/>
                <c:pt idx="0">
                  <c:v>Group margins (RHS)</c:v>
                </c:pt>
              </c:strCache>
            </c:strRef>
          </c:tx>
          <c:spPr>
            <a:solidFill>
              <a:srgbClr val="263238"/>
            </a:solidFill>
            <a:ln>
              <a:noFill/>
            </a:ln>
            <a:effectLst/>
          </c:spPr>
          <c:invertIfNegative val="0"/>
          <c:cat>
            <c:strRef>
              <c:f>'Earnings snaps'!$G$148:$Y$148</c:f>
              <c:strCache>
                <c:ptCount val="19"/>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strCache>
            </c:strRef>
          </c:cat>
          <c:val>
            <c:numRef>
              <c:f>'Earnings snaps'!$G$150:$Y$150</c:f>
              <c:numCache>
                <c:formatCode>0.0%</c:formatCode>
                <c:ptCount val="19"/>
                <c:pt idx="0">
                  <c:v>0.50119427422275264</c:v>
                </c:pt>
                <c:pt idx="1">
                  <c:v>0.49813505235350403</c:v>
                </c:pt>
                <c:pt idx="2">
                  <c:v>0.4951264240798216</c:v>
                </c:pt>
                <c:pt idx="3">
                  <c:v>0.47869263141288226</c:v>
                </c:pt>
                <c:pt idx="4">
                  <c:v>0.50453454220856619</c:v>
                </c:pt>
                <c:pt idx="5">
                  <c:v>0.49655331640225597</c:v>
                </c:pt>
                <c:pt idx="6">
                  <c:v>0.4907502547630353</c:v>
                </c:pt>
                <c:pt idx="7">
                  <c:v>0.47689779020460499</c:v>
                </c:pt>
                <c:pt idx="8">
                  <c:v>0.49196562368855656</c:v>
                </c:pt>
                <c:pt idx="9">
                  <c:v>0.48757840299611477</c:v>
                </c:pt>
                <c:pt idx="10">
                  <c:v>0.47025086519956921</c:v>
                </c:pt>
                <c:pt idx="11">
                  <c:v>0.4341293129616513</c:v>
                </c:pt>
                <c:pt idx="12">
                  <c:v>0.45702028526095795</c:v>
                </c:pt>
                <c:pt idx="13">
                  <c:v>0.44582457585031321</c:v>
                </c:pt>
                <c:pt idx="14">
                  <c:v>0.44137868520442131</c:v>
                </c:pt>
                <c:pt idx="15">
                  <c:v>0.44024804406763651</c:v>
                </c:pt>
                <c:pt idx="16">
                  <c:v>0.46096268029856963</c:v>
                </c:pt>
                <c:pt idx="17">
                  <c:v>0.44317325883708764</c:v>
                </c:pt>
                <c:pt idx="18">
                  <c:v>0.43559281620209261</c:v>
                </c:pt>
              </c:numCache>
            </c:numRef>
          </c:val>
          <c:extLst>
            <c:ext xmlns:c16="http://schemas.microsoft.com/office/drawing/2014/chart" uri="{C3380CC4-5D6E-409C-BE32-E72D297353CC}">
              <c16:uniqueId val="{00000000-3847-4986-8373-DD0E19E8F0E7}"/>
            </c:ext>
          </c:extLst>
        </c:ser>
        <c:dLbls>
          <c:showLegendKey val="0"/>
          <c:showVal val="0"/>
          <c:showCatName val="0"/>
          <c:showSerName val="0"/>
          <c:showPercent val="0"/>
          <c:showBubbleSize val="0"/>
        </c:dLbls>
        <c:gapWidth val="75"/>
        <c:axId val="1322751968"/>
        <c:axId val="1277256672"/>
      </c:barChart>
      <c:lineChart>
        <c:grouping val="standard"/>
        <c:varyColors val="0"/>
        <c:ser>
          <c:idx val="1"/>
          <c:order val="1"/>
          <c:tx>
            <c:strRef>
              <c:f>'Earnings snaps'!$B$149</c:f>
              <c:strCache>
                <c:ptCount val="1"/>
                <c:pt idx="0">
                  <c:v>Consolidated EBITDA growth (LHS)</c:v>
                </c:pt>
              </c:strCache>
            </c:strRef>
          </c:tx>
          <c:spPr>
            <a:ln w="28575" cap="rnd">
              <a:solidFill>
                <a:srgbClr val="799098"/>
              </a:solidFill>
              <a:round/>
            </a:ln>
            <a:effectLst/>
          </c:spPr>
          <c:marker>
            <c:symbol val="none"/>
          </c:marker>
          <c:cat>
            <c:strRef>
              <c:f>'Earnings snaps'!$G$148:$Y$148</c:f>
              <c:strCache>
                <c:ptCount val="19"/>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strCache>
            </c:strRef>
          </c:cat>
          <c:val>
            <c:numRef>
              <c:f>'Earnings snaps'!$G$149:$Y$149</c:f>
              <c:numCache>
                <c:formatCode>0.0%</c:formatCode>
                <c:ptCount val="19"/>
                <c:pt idx="0">
                  <c:v>8.4779994455799867E-2</c:v>
                </c:pt>
                <c:pt idx="1">
                  <c:v>4.1193704884096682E-2</c:v>
                </c:pt>
                <c:pt idx="2">
                  <c:v>0.12108672010311361</c:v>
                </c:pt>
                <c:pt idx="3">
                  <c:v>0.10022662484046796</c:v>
                </c:pt>
                <c:pt idx="4">
                  <c:v>8.5425735288004789E-2</c:v>
                </c:pt>
                <c:pt idx="5">
                  <c:v>0.10696331764001732</c:v>
                </c:pt>
                <c:pt idx="6">
                  <c:v>8.3462136253009689E-2</c:v>
                </c:pt>
                <c:pt idx="7">
                  <c:v>0.11560798292316177</c:v>
                </c:pt>
                <c:pt idx="8">
                  <c:v>7.5095097235112318E-2</c:v>
                </c:pt>
                <c:pt idx="9">
                  <c:v>8.190036532713374E-2</c:v>
                </c:pt>
                <c:pt idx="10">
                  <c:v>5.0537467535740621E-2</c:v>
                </c:pt>
                <c:pt idx="11">
                  <c:v>8.982001014520069E-3</c:v>
                </c:pt>
                <c:pt idx="12">
                  <c:v>1.2453817390679633E-2</c:v>
                </c:pt>
                <c:pt idx="13">
                  <c:v>9.1392380039059251E-3</c:v>
                </c:pt>
                <c:pt idx="14">
                  <c:v>4.3630639395005E-2</c:v>
                </c:pt>
                <c:pt idx="15">
                  <c:v>0.11004291305379343</c:v>
                </c:pt>
                <c:pt idx="16">
                  <c:v>0.12601634597293399</c:v>
                </c:pt>
                <c:pt idx="17">
                  <c:v>9.6781199826974529E-2</c:v>
                </c:pt>
                <c:pt idx="18">
                  <c:v>8.2428153475434085E-2</c:v>
                </c:pt>
              </c:numCache>
            </c:numRef>
          </c:val>
          <c:smooth val="0"/>
          <c:extLst>
            <c:ext xmlns:c16="http://schemas.microsoft.com/office/drawing/2014/chart" uri="{C3380CC4-5D6E-409C-BE32-E72D297353CC}">
              <c16:uniqueId val="{00000002-3847-4986-8373-DD0E19E8F0E7}"/>
            </c:ext>
          </c:extLst>
        </c:ser>
        <c:dLbls>
          <c:showLegendKey val="0"/>
          <c:showVal val="0"/>
          <c:showCatName val="0"/>
          <c:showSerName val="0"/>
          <c:showPercent val="0"/>
          <c:showBubbleSize val="0"/>
        </c:dLbls>
        <c:marker val="1"/>
        <c:smooth val="0"/>
        <c:axId val="1495160607"/>
        <c:axId val="1495161855"/>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1277256672"/>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2751968"/>
        <c:crosses val="max"/>
        <c:crossBetween val="between"/>
      </c:valAx>
      <c:catAx>
        <c:axId val="1322751968"/>
        <c:scaling>
          <c:orientation val="minMax"/>
        </c:scaling>
        <c:delete val="1"/>
        <c:axPos val="b"/>
        <c:numFmt formatCode="General" sourceLinked="1"/>
        <c:majorTickMark val="out"/>
        <c:minorTickMark val="none"/>
        <c:tickLblPos val="nextTo"/>
        <c:crossAx val="127725667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'Earnings snaps'!$B$138</c:f>
              <c:strCache>
                <c:ptCount val="1"/>
                <c:pt idx="0">
                  <c:v>Unique subs</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anchor="ctr" anchorCtr="1"/>
              <a:lstStyle/>
              <a:p>
                <a:pPr>
                  <a:defRPr sz="9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snaps'!$G$110:$AE$110</c:f>
              <c:strCache>
                <c:ptCount val="25"/>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pt idx="20">
                  <c:v>1Q25</c:v>
                </c:pt>
                <c:pt idx="21">
                  <c:v>2Q25</c:v>
                </c:pt>
                <c:pt idx="22">
                  <c:v>3Q25</c:v>
                </c:pt>
                <c:pt idx="23">
                  <c:v>4Q25</c:v>
                </c:pt>
                <c:pt idx="24">
                  <c:v>1Q26</c:v>
                </c:pt>
              </c:strCache>
            </c:strRef>
          </c:cat>
          <c:val>
            <c:numRef>
              <c:f>'Earnings snaps'!$G$138:$AE$138</c:f>
              <c:numCache>
                <c:formatCode>0</c:formatCode>
                <c:ptCount val="25"/>
                <c:pt idx="0">
                  <c:v>416.9</c:v>
                </c:pt>
                <c:pt idx="1">
                  <c:v>405.7</c:v>
                </c:pt>
                <c:pt idx="2">
                  <c:v>406.5</c:v>
                </c:pt>
                <c:pt idx="3">
                  <c:v>405.2</c:v>
                </c:pt>
                <c:pt idx="4">
                  <c:v>411.4</c:v>
                </c:pt>
                <c:pt idx="5">
                  <c:v>412.8</c:v>
                </c:pt>
                <c:pt idx="6">
                  <c:v>411.5</c:v>
                </c:pt>
                <c:pt idx="7">
                  <c:v>422.6</c:v>
                </c:pt>
                <c:pt idx="8">
                  <c:v>422.4</c:v>
                </c:pt>
                <c:pt idx="9">
                  <c:v>427.3</c:v>
                </c:pt>
                <c:pt idx="10">
                  <c:v>415.4</c:v>
                </c:pt>
                <c:pt idx="11">
                  <c:v>419.5</c:v>
                </c:pt>
                <c:pt idx="12">
                  <c:v>420.4</c:v>
                </c:pt>
                <c:pt idx="13">
                  <c:v>420.8</c:v>
                </c:pt>
                <c:pt idx="14">
                  <c:v>418.7</c:v>
                </c:pt>
                <c:pt idx="15">
                  <c:v>426.3</c:v>
                </c:pt>
                <c:pt idx="16">
                  <c:v>421.7</c:v>
                </c:pt>
                <c:pt idx="17">
                  <c:v>421.9</c:v>
                </c:pt>
                <c:pt idx="18">
                  <c:v>418.9</c:v>
                </c:pt>
                <c:pt idx="19">
                  <c:v>421.6</c:v>
                </c:pt>
                <c:pt idx="20">
                  <c:v>417.5</c:v>
                </c:pt>
                <c:pt idx="21">
                  <c:v>421</c:v>
                </c:pt>
                <c:pt idx="22">
                  <c:v>422.3</c:v>
                </c:pt>
                <c:pt idx="23">
                  <c:v>422.84989737742308</c:v>
                </c:pt>
                <c:pt idx="24">
                  <c:v>424.72485002307343</c:v>
                </c:pt>
              </c:numCache>
            </c:numRef>
          </c:val>
          <c:smooth val="0"/>
          <c:extLst>
            <c:ext xmlns:c16="http://schemas.microsoft.com/office/drawing/2014/chart" uri="{C3380CC4-5D6E-409C-BE32-E72D297353CC}">
              <c16:uniqueId val="{00000000-4971-4B7D-9D15-B909AA446728}"/>
            </c:ext>
          </c:extLst>
        </c:ser>
        <c:dLbls>
          <c:showLegendKey val="0"/>
          <c:showVal val="0"/>
          <c:showCatName val="0"/>
          <c:showSerName val="0"/>
          <c:showPercent val="0"/>
          <c:showBubbleSize val="0"/>
        </c:dLbls>
        <c:smooth val="0"/>
        <c:axId val="1611752383"/>
        <c:axId val="1611762783"/>
      </c:lineChart>
      <c:catAx>
        <c:axId val="1611752383"/>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611762783"/>
        <c:crosses val="autoZero"/>
        <c:auto val="1"/>
        <c:lblAlgn val="ctr"/>
        <c:lblOffset val="100"/>
        <c:noMultiLvlLbl val="0"/>
      </c:catAx>
      <c:valAx>
        <c:axId val="1611762783"/>
        <c:scaling>
          <c:orientation val="minMax"/>
        </c:scaling>
        <c:delete val="1"/>
        <c:axPos val="l"/>
        <c:numFmt formatCode="0" sourceLinked="1"/>
        <c:majorTickMark val="out"/>
        <c:minorTickMark val="none"/>
        <c:tickLblPos val="nextTo"/>
        <c:crossAx val="1611752383"/>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'Earnings snaps'!$B$139</c:f>
              <c:strCache>
                <c:ptCount val="1"/>
                <c:pt idx="0">
                  <c:v>Unique subs y/y</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anchor="ctr" anchorCtr="1"/>
              <a:lstStyle/>
              <a:p>
                <a:pPr>
                  <a:defRPr sz="9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snaps'!$G$110:$AE$110</c:f>
              <c:strCache>
                <c:ptCount val="25"/>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pt idx="20">
                  <c:v>1Q25</c:v>
                </c:pt>
                <c:pt idx="21">
                  <c:v>2Q25</c:v>
                </c:pt>
                <c:pt idx="22">
                  <c:v>3Q25</c:v>
                </c:pt>
                <c:pt idx="23">
                  <c:v>4Q25</c:v>
                </c:pt>
                <c:pt idx="24">
                  <c:v>1Q26</c:v>
                </c:pt>
              </c:strCache>
            </c:strRef>
          </c:cat>
          <c:val>
            <c:numRef>
              <c:f>'Earnings snaps'!$G$139:$AE$139</c:f>
              <c:numCache>
                <c:formatCode>0.0%</c:formatCode>
                <c:ptCount val="25"/>
                <c:pt idx="0">
                  <c:v>6.8152703048936614E-2</c:v>
                </c:pt>
                <c:pt idx="1">
                  <c:v>2.3203026481714906E-2</c:v>
                </c:pt>
                <c:pt idx="2">
                  <c:v>2.0075282308657405E-2</c:v>
                </c:pt>
                <c:pt idx="3">
                  <c:v>-1.2429929320009858E-2</c:v>
                </c:pt>
                <c:pt idx="4">
                  <c:v>-1.319261213720313E-2</c:v>
                </c:pt>
                <c:pt idx="5">
                  <c:v>1.7500616218881104E-2</c:v>
                </c:pt>
                <c:pt idx="6">
                  <c:v>1.2300123001230068E-2</c:v>
                </c:pt>
                <c:pt idx="7">
                  <c:v>4.2941757156959692E-2</c:v>
                </c:pt>
                <c:pt idx="8">
                  <c:v>2.673796791443861E-2</c:v>
                </c:pt>
                <c:pt idx="9">
                  <c:v>3.5125968992248069E-2</c:v>
                </c:pt>
                <c:pt idx="10">
                  <c:v>9.4775212636695194E-3</c:v>
                </c:pt>
                <c:pt idx="11">
                  <c:v>-7.3355418835778785E-3</c:v>
                </c:pt>
                <c:pt idx="12">
                  <c:v>-4.7348484848485084E-3</c:v>
                </c:pt>
                <c:pt idx="13">
                  <c:v>-1.5211794991809025E-2</c:v>
                </c:pt>
                <c:pt idx="14">
                  <c:v>7.9441502166586186E-3</c:v>
                </c:pt>
                <c:pt idx="15">
                  <c:v>1.6209773539928474E-2</c:v>
                </c:pt>
                <c:pt idx="16">
                  <c:v>3.0922930542340854E-3</c:v>
                </c:pt>
                <c:pt idx="17">
                  <c:v>2.6140684410644877E-3</c:v>
                </c:pt>
                <c:pt idx="18">
                  <c:v>4.7766897540002518E-4</c:v>
                </c:pt>
                <c:pt idx="19">
                  <c:v>-1.1025099695050389E-2</c:v>
                </c:pt>
                <c:pt idx="20">
                  <c:v>-9.9596869812662581E-3</c:v>
                </c:pt>
                <c:pt idx="21">
                  <c:v>-2.1332069210713289E-3</c:v>
                </c:pt>
                <c:pt idx="22">
                  <c:v>8.1164955836716679E-3</c:v>
                </c:pt>
                <c:pt idx="23">
                  <c:v>2.9646522234891837E-3</c:v>
                </c:pt>
                <c:pt idx="24">
                  <c:v>1.7305029995385413E-2</c:v>
                </c:pt>
              </c:numCache>
            </c:numRef>
          </c:val>
          <c:smooth val="0"/>
          <c:extLst>
            <c:ext xmlns:c16="http://schemas.microsoft.com/office/drawing/2014/chart" uri="{C3380CC4-5D6E-409C-BE32-E72D297353CC}">
              <c16:uniqueId val="{00000000-C4F1-4F0B-9F92-C7CDAE9EBA21}"/>
            </c:ext>
          </c:extLst>
        </c:ser>
        <c:dLbls>
          <c:showLegendKey val="0"/>
          <c:showVal val="0"/>
          <c:showCatName val="0"/>
          <c:showSerName val="0"/>
          <c:showPercent val="0"/>
          <c:showBubbleSize val="0"/>
        </c:dLbls>
        <c:smooth val="0"/>
        <c:axId val="1611752383"/>
        <c:axId val="1611762783"/>
      </c:lineChart>
      <c:catAx>
        <c:axId val="1611752383"/>
        <c:scaling>
          <c:orientation val="minMax"/>
        </c:scaling>
        <c:delete val="0"/>
        <c:axPos val="b"/>
        <c:numFmt formatCode="General" sourceLinked="1"/>
        <c:majorTickMark val="out"/>
        <c:minorTickMark val="none"/>
        <c:tickLblPos val="low"/>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611762783"/>
        <c:crosses val="autoZero"/>
        <c:auto val="1"/>
        <c:lblAlgn val="ctr"/>
        <c:lblOffset val="100"/>
        <c:noMultiLvlLbl val="0"/>
      </c:catAx>
      <c:valAx>
        <c:axId val="1611762783"/>
        <c:scaling>
          <c:orientation val="minMax"/>
        </c:scaling>
        <c:delete val="1"/>
        <c:axPos val="l"/>
        <c:numFmt formatCode="0.0%" sourceLinked="1"/>
        <c:majorTickMark val="out"/>
        <c:minorTickMark val="none"/>
        <c:tickLblPos val="nextTo"/>
        <c:crossAx val="1611752383"/>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1"/>
          <c:order val="1"/>
          <c:tx>
            <c:strRef>
              <c:f>'Earnings snaps'!$B$150</c:f>
              <c:strCache>
                <c:ptCount val="1"/>
                <c:pt idx="0">
                  <c:v>Group margins (RHS)</c:v>
                </c:pt>
              </c:strCache>
            </c:strRef>
          </c:tx>
          <c:spPr>
            <a:solidFill>
              <a:sysClr val="windowText" lastClr="000000">
                <a:lumMod val="85000"/>
                <a:lumOff val="15000"/>
              </a:sysClr>
            </a:solidFill>
            <a:ln>
              <a:noFill/>
            </a:ln>
            <a:effectLst/>
          </c:spPr>
          <c:invertIfNegative val="0"/>
          <c:cat>
            <c:strRef>
              <c:f>'Earnings snaps'!$N$148:$AE$148</c:f>
              <c:strCache>
                <c:ptCount val="18"/>
                <c:pt idx="0">
                  <c:v>4Q21</c:v>
                </c:pt>
                <c:pt idx="1">
                  <c:v>1Q22</c:v>
                </c:pt>
                <c:pt idx="2">
                  <c:v>2Q22</c:v>
                </c:pt>
                <c:pt idx="3">
                  <c:v>3Q22</c:v>
                </c:pt>
                <c:pt idx="4">
                  <c:v>4Q22</c:v>
                </c:pt>
                <c:pt idx="5">
                  <c:v>1Q23</c:v>
                </c:pt>
                <c:pt idx="6">
                  <c:v>2Q23</c:v>
                </c:pt>
                <c:pt idx="7">
                  <c:v>3Q23</c:v>
                </c:pt>
                <c:pt idx="8">
                  <c:v>4Q23</c:v>
                </c:pt>
                <c:pt idx="9">
                  <c:v>1Q24</c:v>
                </c:pt>
                <c:pt idx="10">
                  <c:v>2Q24</c:v>
                </c:pt>
                <c:pt idx="11">
                  <c:v>3Q24</c:v>
                </c:pt>
                <c:pt idx="12">
                  <c:v>4Q24</c:v>
                </c:pt>
                <c:pt idx="13">
                  <c:v>1Q25</c:v>
                </c:pt>
                <c:pt idx="14">
                  <c:v>2Q25</c:v>
                </c:pt>
                <c:pt idx="15">
                  <c:v>3Q25</c:v>
                </c:pt>
                <c:pt idx="16">
                  <c:v>4Q25</c:v>
                </c:pt>
                <c:pt idx="17">
                  <c:v>1Q26</c:v>
                </c:pt>
              </c:strCache>
            </c:strRef>
          </c:cat>
          <c:val>
            <c:numRef>
              <c:f>'Earnings snaps'!$N$150:$AE$150</c:f>
              <c:numCache>
                <c:formatCode>0.0%</c:formatCode>
                <c:ptCount val="18"/>
                <c:pt idx="0">
                  <c:v>0.47689779020460499</c:v>
                </c:pt>
                <c:pt idx="1">
                  <c:v>0.49196562368855656</c:v>
                </c:pt>
                <c:pt idx="2">
                  <c:v>0.48757840299611477</c:v>
                </c:pt>
                <c:pt idx="3">
                  <c:v>0.47025086519956921</c:v>
                </c:pt>
                <c:pt idx="4">
                  <c:v>0.4341293129616513</c:v>
                </c:pt>
                <c:pt idx="5">
                  <c:v>0.45702028526095795</c:v>
                </c:pt>
                <c:pt idx="6">
                  <c:v>0.44582457585031321</c:v>
                </c:pt>
                <c:pt idx="7">
                  <c:v>0.44137868520442131</c:v>
                </c:pt>
                <c:pt idx="8">
                  <c:v>0.44024804406763651</c:v>
                </c:pt>
                <c:pt idx="9">
                  <c:v>0.46096268029856963</c:v>
                </c:pt>
                <c:pt idx="10">
                  <c:v>0.44317325883708764</c:v>
                </c:pt>
                <c:pt idx="11">
                  <c:v>0.43559281620209261</c:v>
                </c:pt>
                <c:pt idx="12">
                  <c:v>0.44269174438096021</c:v>
                </c:pt>
                <c:pt idx="13">
                  <c:v>0.46283455683944469</c:v>
                </c:pt>
                <c:pt idx="14">
                  <c:v>0.45446133286219614</c:v>
                </c:pt>
                <c:pt idx="15">
                  <c:v>0.44227351631842915</c:v>
                </c:pt>
                <c:pt idx="16">
                  <c:v>0.44047089793512967</c:v>
                </c:pt>
                <c:pt idx="17">
                  <c:v>0.46194849687798983</c:v>
                </c:pt>
              </c:numCache>
            </c:numRef>
          </c:val>
          <c:extLst>
            <c:ext xmlns:c16="http://schemas.microsoft.com/office/drawing/2014/chart" uri="{C3380CC4-5D6E-409C-BE32-E72D297353CC}">
              <c16:uniqueId val="{00000001-4E1C-4C81-9767-94B352AE0D9B}"/>
            </c:ext>
          </c:extLst>
        </c:ser>
        <c:ser>
          <c:idx val="3"/>
          <c:order val="3"/>
          <c:tx>
            <c:strRef>
              <c:f>'Earnings snaps'!$B$152</c:f>
              <c:strCache>
                <c:ptCount val="1"/>
                <c:pt idx="0">
                  <c:v>Core cable margins (RHS)</c:v>
                </c:pt>
              </c:strCache>
            </c:strRef>
          </c:tx>
          <c:spPr>
            <a:solidFill>
              <a:sysClr val="window" lastClr="FFFFFF">
                <a:lumMod val="85000"/>
              </a:sysClr>
            </a:solidFill>
            <a:ln>
              <a:noFill/>
            </a:ln>
            <a:effectLst/>
          </c:spPr>
          <c:invertIfNegative val="0"/>
          <c:cat>
            <c:strRef>
              <c:f>'Earnings snaps'!$N$148:$AE$148</c:f>
              <c:strCache>
                <c:ptCount val="18"/>
                <c:pt idx="0">
                  <c:v>4Q21</c:v>
                </c:pt>
                <c:pt idx="1">
                  <c:v>1Q22</c:v>
                </c:pt>
                <c:pt idx="2">
                  <c:v>2Q22</c:v>
                </c:pt>
                <c:pt idx="3">
                  <c:v>3Q22</c:v>
                </c:pt>
                <c:pt idx="4">
                  <c:v>4Q22</c:v>
                </c:pt>
                <c:pt idx="5">
                  <c:v>1Q23</c:v>
                </c:pt>
                <c:pt idx="6">
                  <c:v>2Q23</c:v>
                </c:pt>
                <c:pt idx="7">
                  <c:v>3Q23</c:v>
                </c:pt>
                <c:pt idx="8">
                  <c:v>4Q23</c:v>
                </c:pt>
                <c:pt idx="9">
                  <c:v>1Q24</c:v>
                </c:pt>
                <c:pt idx="10">
                  <c:v>2Q24</c:v>
                </c:pt>
                <c:pt idx="11">
                  <c:v>3Q24</c:v>
                </c:pt>
                <c:pt idx="12">
                  <c:v>4Q24</c:v>
                </c:pt>
                <c:pt idx="13">
                  <c:v>1Q25</c:v>
                </c:pt>
                <c:pt idx="14">
                  <c:v>2Q25</c:v>
                </c:pt>
                <c:pt idx="15">
                  <c:v>3Q25</c:v>
                </c:pt>
                <c:pt idx="16">
                  <c:v>4Q25</c:v>
                </c:pt>
                <c:pt idx="17">
                  <c:v>1Q26</c:v>
                </c:pt>
              </c:strCache>
            </c:strRef>
          </c:cat>
          <c:val>
            <c:numRef>
              <c:f>'Earnings snaps'!$N$152:$AE$152</c:f>
              <c:numCache>
                <c:formatCode>0.0%</c:formatCode>
                <c:ptCount val="18"/>
                <c:pt idx="0">
                  <c:v>0.49878467301175816</c:v>
                </c:pt>
                <c:pt idx="1">
                  <c:v>0.50813385131819622</c:v>
                </c:pt>
                <c:pt idx="2">
                  <c:v>0.50216019182483751</c:v>
                </c:pt>
                <c:pt idx="3">
                  <c:v>0.48587389807959752</c:v>
                </c:pt>
                <c:pt idx="4">
                  <c:v>0.46892834495878249</c:v>
                </c:pt>
                <c:pt idx="5">
                  <c:v>0.47336365350904852</c:v>
                </c:pt>
                <c:pt idx="6">
                  <c:v>0.46052113295416552</c:v>
                </c:pt>
                <c:pt idx="7">
                  <c:v>0.45452842442163971</c:v>
                </c:pt>
                <c:pt idx="8">
                  <c:v>0.4597280277814903</c:v>
                </c:pt>
                <c:pt idx="9">
                  <c:v>0.47293648425785983</c:v>
                </c:pt>
                <c:pt idx="10">
                  <c:v>0.46360842345517261</c:v>
                </c:pt>
                <c:pt idx="11">
                  <c:v>0.45175356429270236</c:v>
                </c:pt>
                <c:pt idx="12">
                  <c:v>0.45514007626286329</c:v>
                </c:pt>
              </c:numCache>
            </c:numRef>
          </c:val>
          <c:extLst>
            <c:ext xmlns:c16="http://schemas.microsoft.com/office/drawing/2014/chart" uri="{C3380CC4-5D6E-409C-BE32-E72D297353CC}">
              <c16:uniqueId val="{00000003-4E1C-4C81-9767-94B352AE0D9B}"/>
            </c:ext>
          </c:extLst>
        </c:ser>
        <c:dLbls>
          <c:showLegendKey val="0"/>
          <c:showVal val="0"/>
          <c:showCatName val="0"/>
          <c:showSerName val="0"/>
          <c:showPercent val="0"/>
          <c:showBubbleSize val="0"/>
        </c:dLbls>
        <c:gapWidth val="219"/>
        <c:axId val="1474876160"/>
        <c:axId val="1474867040"/>
      </c:barChart>
      <c:lineChart>
        <c:grouping val="standard"/>
        <c:varyColors val="0"/>
        <c:ser>
          <c:idx val="0"/>
          <c:order val="0"/>
          <c:tx>
            <c:strRef>
              <c:f>'Earnings snaps'!$B$149</c:f>
              <c:strCache>
                <c:ptCount val="1"/>
                <c:pt idx="0">
                  <c:v>Consolidated EBITDA growth (LHS)</c:v>
                </c:pt>
              </c:strCache>
            </c:strRef>
          </c:tx>
          <c:spPr>
            <a:ln w="28575" cap="rnd">
              <a:solidFill>
                <a:schemeClr val="accent1"/>
              </a:solidFill>
              <a:round/>
            </a:ln>
            <a:effectLst/>
          </c:spPr>
          <c:marker>
            <c:symbol val="none"/>
          </c:marker>
          <c:cat>
            <c:strRef>
              <c:f>'Earnings snaps'!$N$148:$AE$148</c:f>
              <c:strCache>
                <c:ptCount val="18"/>
                <c:pt idx="0">
                  <c:v>4Q21</c:v>
                </c:pt>
                <c:pt idx="1">
                  <c:v>1Q22</c:v>
                </c:pt>
                <c:pt idx="2">
                  <c:v>2Q22</c:v>
                </c:pt>
                <c:pt idx="3">
                  <c:v>3Q22</c:v>
                </c:pt>
                <c:pt idx="4">
                  <c:v>4Q22</c:v>
                </c:pt>
                <c:pt idx="5">
                  <c:v>1Q23</c:v>
                </c:pt>
                <c:pt idx="6">
                  <c:v>2Q23</c:v>
                </c:pt>
                <c:pt idx="7">
                  <c:v>3Q23</c:v>
                </c:pt>
                <c:pt idx="8">
                  <c:v>4Q23</c:v>
                </c:pt>
                <c:pt idx="9">
                  <c:v>1Q24</c:v>
                </c:pt>
                <c:pt idx="10">
                  <c:v>2Q24</c:v>
                </c:pt>
                <c:pt idx="11">
                  <c:v>3Q24</c:v>
                </c:pt>
                <c:pt idx="12">
                  <c:v>4Q24</c:v>
                </c:pt>
                <c:pt idx="13">
                  <c:v>1Q25</c:v>
                </c:pt>
                <c:pt idx="14">
                  <c:v>2Q25</c:v>
                </c:pt>
                <c:pt idx="15">
                  <c:v>3Q25</c:v>
                </c:pt>
                <c:pt idx="16">
                  <c:v>4Q25</c:v>
                </c:pt>
                <c:pt idx="17">
                  <c:v>1Q26</c:v>
                </c:pt>
              </c:strCache>
            </c:strRef>
          </c:cat>
          <c:val>
            <c:numRef>
              <c:f>'Earnings snaps'!$N$149:$AE$149</c:f>
              <c:numCache>
                <c:formatCode>0.0%</c:formatCode>
                <c:ptCount val="18"/>
                <c:pt idx="0">
                  <c:v>0.11560798292316177</c:v>
                </c:pt>
                <c:pt idx="1">
                  <c:v>7.5095097235112318E-2</c:v>
                </c:pt>
                <c:pt idx="2">
                  <c:v>8.190036532713374E-2</c:v>
                </c:pt>
                <c:pt idx="3">
                  <c:v>5.0537467535740621E-2</c:v>
                </c:pt>
                <c:pt idx="4">
                  <c:v>8.982001014520069E-3</c:v>
                </c:pt>
                <c:pt idx="5">
                  <c:v>1.2453817390679633E-2</c:v>
                </c:pt>
                <c:pt idx="6">
                  <c:v>9.1392380039059251E-3</c:v>
                </c:pt>
                <c:pt idx="7">
                  <c:v>4.3630639395005E-2</c:v>
                </c:pt>
                <c:pt idx="8">
                  <c:v>0.11004291305379343</c:v>
                </c:pt>
                <c:pt idx="9">
                  <c:v>0.12601634597293399</c:v>
                </c:pt>
                <c:pt idx="10">
                  <c:v>9.6781199826974529E-2</c:v>
                </c:pt>
                <c:pt idx="11">
                  <c:v>8.2428153475434085E-2</c:v>
                </c:pt>
                <c:pt idx="12">
                  <c:v>8.8864601541613464E-2</c:v>
                </c:pt>
                <c:pt idx="13">
                  <c:v>8.2338931327575748E-2</c:v>
                </c:pt>
                <c:pt idx="14">
                  <c:v>9.6536431537110889E-2</c:v>
                </c:pt>
                <c:pt idx="15">
                  <c:v>0.10247998128969771</c:v>
                </c:pt>
                <c:pt idx="16">
                  <c:v>0.153</c:v>
                </c:pt>
                <c:pt idx="17">
                  <c:v>8.502103969188135E-2</c:v>
                </c:pt>
              </c:numCache>
            </c:numRef>
          </c:val>
          <c:smooth val="0"/>
          <c:extLst>
            <c:ext xmlns:c16="http://schemas.microsoft.com/office/drawing/2014/chart" uri="{C3380CC4-5D6E-409C-BE32-E72D297353CC}">
              <c16:uniqueId val="{00000000-4E1C-4C81-9767-94B352AE0D9B}"/>
            </c:ext>
          </c:extLst>
        </c:ser>
        <c:ser>
          <c:idx val="2"/>
          <c:order val="2"/>
          <c:tx>
            <c:strRef>
              <c:f>'Earnings snaps'!$B$151</c:f>
              <c:strCache>
                <c:ptCount val="1"/>
                <c:pt idx="0">
                  <c:v>Core cable EBITDA growth (LHS)</c:v>
                </c:pt>
              </c:strCache>
            </c:strRef>
          </c:tx>
          <c:spPr>
            <a:ln w="28575" cap="rnd">
              <a:solidFill>
                <a:schemeClr val="accent3"/>
              </a:solidFill>
              <a:round/>
            </a:ln>
            <a:effectLst/>
          </c:spPr>
          <c:marker>
            <c:symbol val="none"/>
          </c:marker>
          <c:cat>
            <c:strRef>
              <c:f>'Earnings snaps'!$N$148:$AE$148</c:f>
              <c:strCache>
                <c:ptCount val="18"/>
                <c:pt idx="0">
                  <c:v>4Q21</c:v>
                </c:pt>
                <c:pt idx="1">
                  <c:v>1Q22</c:v>
                </c:pt>
                <c:pt idx="2">
                  <c:v>2Q22</c:v>
                </c:pt>
                <c:pt idx="3">
                  <c:v>3Q22</c:v>
                </c:pt>
                <c:pt idx="4">
                  <c:v>4Q22</c:v>
                </c:pt>
                <c:pt idx="5">
                  <c:v>1Q23</c:v>
                </c:pt>
                <c:pt idx="6">
                  <c:v>2Q23</c:v>
                </c:pt>
                <c:pt idx="7">
                  <c:v>3Q23</c:v>
                </c:pt>
                <c:pt idx="8">
                  <c:v>4Q23</c:v>
                </c:pt>
                <c:pt idx="9">
                  <c:v>1Q24</c:v>
                </c:pt>
                <c:pt idx="10">
                  <c:v>2Q24</c:v>
                </c:pt>
                <c:pt idx="11">
                  <c:v>3Q24</c:v>
                </c:pt>
                <c:pt idx="12">
                  <c:v>4Q24</c:v>
                </c:pt>
                <c:pt idx="13">
                  <c:v>1Q25</c:v>
                </c:pt>
                <c:pt idx="14">
                  <c:v>2Q25</c:v>
                </c:pt>
                <c:pt idx="15">
                  <c:v>3Q25</c:v>
                </c:pt>
                <c:pt idx="16">
                  <c:v>4Q25</c:v>
                </c:pt>
                <c:pt idx="17">
                  <c:v>1Q26</c:v>
                </c:pt>
              </c:strCache>
            </c:strRef>
          </c:cat>
          <c:val>
            <c:numRef>
              <c:f>'Earnings snaps'!$N$151:$AE$151</c:f>
              <c:numCache>
                <c:formatCode>0.0%</c:formatCode>
                <c:ptCount val="18"/>
                <c:pt idx="0">
                  <c:v>0.13363084598915265</c:v>
                </c:pt>
                <c:pt idx="1">
                  <c:v>7.8632397287918154E-2</c:v>
                </c:pt>
                <c:pt idx="2">
                  <c:v>8.0107822410147911E-2</c:v>
                </c:pt>
                <c:pt idx="3">
                  <c:v>4.6471352287487333E-2</c:v>
                </c:pt>
                <c:pt idx="4">
                  <c:v>2.9770583408494922E-3</c:v>
                </c:pt>
                <c:pt idx="5">
                  <c:v>8.0529148597552336E-3</c:v>
                </c:pt>
                <c:pt idx="6">
                  <c:v>9.2038549644968271E-3</c:v>
                </c:pt>
                <c:pt idx="7">
                  <c:v>5.3525631668893014E-2</c:v>
                </c:pt>
                <c:pt idx="8">
                  <c:v>0.11403042596348878</c:v>
                </c:pt>
                <c:pt idx="9">
                  <c:v>0.12387491360451675</c:v>
                </c:pt>
                <c:pt idx="10">
                  <c:v>0.11647652428804478</c:v>
                </c:pt>
                <c:pt idx="11">
                  <c:v>9.2151546847509147E-2</c:v>
                </c:pt>
                <c:pt idx="12">
                  <c:v>9.8888660280605611E-2</c:v>
                </c:pt>
              </c:numCache>
            </c:numRef>
          </c:val>
          <c:smooth val="0"/>
          <c:extLst>
            <c:ext xmlns:c16="http://schemas.microsoft.com/office/drawing/2014/chart" uri="{C3380CC4-5D6E-409C-BE32-E72D297353CC}">
              <c16:uniqueId val="{00000002-4E1C-4C81-9767-94B352AE0D9B}"/>
            </c:ext>
          </c:extLst>
        </c:ser>
        <c:dLbls>
          <c:showLegendKey val="0"/>
          <c:showVal val="0"/>
          <c:showCatName val="0"/>
          <c:showSerName val="0"/>
          <c:showPercent val="0"/>
          <c:showBubbleSize val="0"/>
        </c:dLbls>
        <c:marker val="1"/>
        <c:smooth val="0"/>
        <c:axId val="1474868000"/>
        <c:axId val="1474855040"/>
      </c:lineChart>
      <c:catAx>
        <c:axId val="1474868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en-US"/>
          </a:p>
        </c:txPr>
        <c:crossAx val="1474855040"/>
        <c:crosses val="autoZero"/>
        <c:auto val="1"/>
        <c:lblAlgn val="ctr"/>
        <c:lblOffset val="100"/>
        <c:noMultiLvlLbl val="0"/>
      </c:catAx>
      <c:valAx>
        <c:axId val="1474855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en-US"/>
          </a:p>
        </c:txPr>
        <c:crossAx val="1474868000"/>
        <c:crosses val="autoZero"/>
        <c:crossBetween val="between"/>
      </c:valAx>
      <c:valAx>
        <c:axId val="1474867040"/>
        <c:scaling>
          <c:orientation val="minMax"/>
          <c:min val="0"/>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en-US"/>
          </a:p>
        </c:txPr>
        <c:crossAx val="1474876160"/>
        <c:crosses val="max"/>
        <c:crossBetween val="between"/>
      </c:valAx>
      <c:catAx>
        <c:axId val="1474876160"/>
        <c:scaling>
          <c:orientation val="minMax"/>
        </c:scaling>
        <c:delete val="1"/>
        <c:axPos val="b"/>
        <c:numFmt formatCode="General" sourceLinked="1"/>
        <c:majorTickMark val="out"/>
        <c:minorTickMark val="none"/>
        <c:tickLblPos val="nextTo"/>
        <c:crossAx val="147486704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Roboto" panose="02000000000000000000" pitchFamily="2" charset="0"/>
              <a:ea typeface="Roboto" panose="02000000000000000000" pitchFamily="2" charset="0"/>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'Earnings snaps'!$B$188</c:f>
              <c:strCache>
                <c:ptCount val="1"/>
                <c:pt idx="0">
                  <c:v>Capex to sales</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snaps'!$K$187:$AA$187</c:f>
              <c:strCache>
                <c:ptCount val="17"/>
                <c:pt idx="0">
                  <c:v>1Q22</c:v>
                </c:pt>
                <c:pt idx="1">
                  <c:v>2Q22</c:v>
                </c:pt>
                <c:pt idx="2">
                  <c:v>3Q22</c:v>
                </c:pt>
                <c:pt idx="3">
                  <c:v>4Q22</c:v>
                </c:pt>
                <c:pt idx="4">
                  <c:v>1Q23</c:v>
                </c:pt>
                <c:pt idx="5">
                  <c:v>2Q23</c:v>
                </c:pt>
                <c:pt idx="6">
                  <c:v>3Q23</c:v>
                </c:pt>
                <c:pt idx="7">
                  <c:v>4Q23</c:v>
                </c:pt>
                <c:pt idx="8">
                  <c:v>1Q24</c:v>
                </c:pt>
                <c:pt idx="9">
                  <c:v>2Q24</c:v>
                </c:pt>
                <c:pt idx="10">
                  <c:v>3Q24</c:v>
                </c:pt>
                <c:pt idx="11">
                  <c:v>4Q24</c:v>
                </c:pt>
                <c:pt idx="12">
                  <c:v>1Q25</c:v>
                </c:pt>
                <c:pt idx="13">
                  <c:v>2Q25</c:v>
                </c:pt>
                <c:pt idx="14">
                  <c:v>3Q25</c:v>
                </c:pt>
                <c:pt idx="15">
                  <c:v>4Q25</c:v>
                </c:pt>
                <c:pt idx="16">
                  <c:v>1Q26</c:v>
                </c:pt>
              </c:strCache>
            </c:strRef>
          </c:cat>
          <c:val>
            <c:numRef>
              <c:f>'Earnings snaps'!$K$188:$AA$188</c:f>
              <c:numCache>
                <c:formatCode>0.0%</c:formatCode>
                <c:ptCount val="17"/>
                <c:pt idx="0">
                  <c:v>0.35657544938411495</c:v>
                </c:pt>
                <c:pt idx="1">
                  <c:v>0.41848857373526199</c:v>
                </c:pt>
                <c:pt idx="2">
                  <c:v>0.40739555447361803</c:v>
                </c:pt>
                <c:pt idx="3">
                  <c:v>0.5512150563800321</c:v>
                </c:pt>
                <c:pt idx="4">
                  <c:v>0.3124917857304646</c:v>
                </c:pt>
                <c:pt idx="5">
                  <c:v>0.3973585017224745</c:v>
                </c:pt>
                <c:pt idx="6">
                  <c:v>0.50649262401760253</c:v>
                </c:pt>
                <c:pt idx="7">
                  <c:v>0.50802611228752192</c:v>
                </c:pt>
                <c:pt idx="8">
                  <c:v>0.29481741296342473</c:v>
                </c:pt>
                <c:pt idx="9">
                  <c:v>0.33774991051797304</c:v>
                </c:pt>
                <c:pt idx="10">
                  <c:v>0.33530431383040421</c:v>
                </c:pt>
                <c:pt idx="11">
                  <c:v>0.2919577229225967</c:v>
                </c:pt>
                <c:pt idx="12">
                  <c:v>0.26815086855669656</c:v>
                </c:pt>
                <c:pt idx="13">
                  <c:v>0.21957673751847659</c:v>
                </c:pt>
                <c:pt idx="14">
                  <c:v>0.26644941193931004</c:v>
                </c:pt>
                <c:pt idx="15">
                  <c:v>0.2816950386972335</c:v>
                </c:pt>
                <c:pt idx="16">
                  <c:v>0.21257285616694269</c:v>
                </c:pt>
              </c:numCache>
            </c:numRef>
          </c:val>
          <c:extLst>
            <c:ext xmlns:c16="http://schemas.microsoft.com/office/drawing/2014/chart" uri="{C3380CC4-5D6E-409C-BE32-E72D297353CC}">
              <c16:uniqueId val="{00000000-A325-4D22-BC1F-61EAC2BE42D9}"/>
            </c:ext>
          </c:extLst>
        </c:ser>
        <c:dLbls>
          <c:showLegendKey val="0"/>
          <c:showVal val="0"/>
          <c:showCatName val="0"/>
          <c:showSerName val="0"/>
          <c:showPercent val="0"/>
          <c:showBubbleSize val="0"/>
        </c:dLbls>
        <c:gapWidth val="30"/>
        <c:axId val="1495160607"/>
        <c:axId val="1495161855"/>
        <c:extLst/>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'Earnings snaps'!$B$192</c:f>
              <c:strCache>
                <c:ptCount val="1"/>
                <c:pt idx="0">
                  <c:v>OpFCF</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snaps'!$K$187:$AA$187</c:f>
              <c:strCache>
                <c:ptCount val="17"/>
                <c:pt idx="0">
                  <c:v>1Q22</c:v>
                </c:pt>
                <c:pt idx="1">
                  <c:v>2Q22</c:v>
                </c:pt>
                <c:pt idx="2">
                  <c:v>3Q22</c:v>
                </c:pt>
                <c:pt idx="3">
                  <c:v>4Q22</c:v>
                </c:pt>
                <c:pt idx="4">
                  <c:v>1Q23</c:v>
                </c:pt>
                <c:pt idx="5">
                  <c:v>2Q23</c:v>
                </c:pt>
                <c:pt idx="6">
                  <c:v>3Q23</c:v>
                </c:pt>
                <c:pt idx="7">
                  <c:v>4Q23</c:v>
                </c:pt>
                <c:pt idx="8">
                  <c:v>1Q24</c:v>
                </c:pt>
                <c:pt idx="9">
                  <c:v>2Q24</c:v>
                </c:pt>
                <c:pt idx="10">
                  <c:v>3Q24</c:v>
                </c:pt>
                <c:pt idx="11">
                  <c:v>4Q24</c:v>
                </c:pt>
                <c:pt idx="12">
                  <c:v>1Q25</c:v>
                </c:pt>
                <c:pt idx="13">
                  <c:v>2Q25</c:v>
                </c:pt>
                <c:pt idx="14">
                  <c:v>3Q25</c:v>
                </c:pt>
                <c:pt idx="15">
                  <c:v>4Q25</c:v>
                </c:pt>
                <c:pt idx="16">
                  <c:v>1Q26</c:v>
                </c:pt>
              </c:strCache>
            </c:strRef>
          </c:cat>
          <c:val>
            <c:numRef>
              <c:f>'Earnings snaps'!$K$192:$AA$192</c:f>
              <c:numCache>
                <c:formatCode>0</c:formatCode>
                <c:ptCount val="17"/>
                <c:pt idx="0">
                  <c:v>888.48799999999983</c:v>
                </c:pt>
                <c:pt idx="1">
                  <c:v>461.60199999999986</c:v>
                </c:pt>
                <c:pt idx="2">
                  <c:v>423.44899999999961</c:v>
                </c:pt>
                <c:pt idx="3">
                  <c:v>-840.09700000000021</c:v>
                </c:pt>
                <c:pt idx="4">
                  <c:v>1033.6950000000002</c:v>
                </c:pt>
                <c:pt idx="5">
                  <c:v>357.3739999999998</c:v>
                </c:pt>
                <c:pt idx="6">
                  <c:v>-487.7510000000002</c:v>
                </c:pt>
                <c:pt idx="7">
                  <c:v>-532.32400000000007</c:v>
                </c:pt>
                <c:pt idx="8">
                  <c:v>1326.6039999999998</c:v>
                </c:pt>
                <c:pt idx="9">
                  <c:v>857.69400000000041</c:v>
                </c:pt>
                <c:pt idx="10">
                  <c:v>823.95800000000008</c:v>
                </c:pt>
                <c:pt idx="11">
                  <c:v>1281.9409999999998</c:v>
                </c:pt>
                <c:pt idx="12">
                  <c:v>1675.6610000000001</c:v>
                </c:pt>
                <c:pt idx="13">
                  <c:v>2043.3829999999998</c:v>
                </c:pt>
                <c:pt idx="14">
                  <c:v>1568.5300000000002</c:v>
                </c:pt>
                <c:pt idx="15">
                  <c:v>1461.0680000000002</c:v>
                </c:pt>
                <c:pt idx="16">
                  <c:v>2333.3559999999998</c:v>
                </c:pt>
              </c:numCache>
            </c:numRef>
          </c:val>
          <c:extLst>
            <c:ext xmlns:c16="http://schemas.microsoft.com/office/drawing/2014/chart" uri="{C3380CC4-5D6E-409C-BE32-E72D297353CC}">
              <c16:uniqueId val="{00000000-FD6A-4788-93DE-F17BC3340963}"/>
            </c:ext>
          </c:extLst>
        </c:ser>
        <c:dLbls>
          <c:showLegendKey val="0"/>
          <c:showVal val="0"/>
          <c:showCatName val="0"/>
          <c:showSerName val="0"/>
          <c:showPercent val="0"/>
          <c:showBubbleSize val="0"/>
        </c:dLbls>
        <c:gapWidth val="30"/>
        <c:axId val="1495160607"/>
        <c:axId val="1495161855"/>
        <c:extLst/>
      </c:barChart>
      <c:catAx>
        <c:axId val="14951606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E817-402A-ACA5-11778E6A433F}"/>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3-E817-402A-ACA5-11778E6A433F}"/>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5-E817-402A-ACA5-11778E6A433F}"/>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7-E817-402A-ACA5-11778E6A433F}"/>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'Market BB quarts'!$BB$52:$BB$55</c:f>
              <c:strCache>
                <c:ptCount val="4"/>
                <c:pt idx="0">
                  <c:v>Totalplay</c:v>
                </c:pt>
                <c:pt idx="1">
                  <c:v>MEGA</c:v>
                </c:pt>
                <c:pt idx="2">
                  <c:v>Televisa</c:v>
                </c:pt>
                <c:pt idx="3">
                  <c:v>Telmex FTTH</c:v>
                </c:pt>
              </c:strCache>
            </c:strRef>
          </c:cat>
          <c:val>
            <c:numRef>
              <c:f>'Market BB quarts'!$BC$52:$BC$55</c:f>
              <c:numCache>
                <c:formatCode>#,##0</c:formatCode>
                <c:ptCount val="4"/>
                <c:pt idx="0">
                  <c:v>13400</c:v>
                </c:pt>
                <c:pt idx="1">
                  <c:v>9292.1260000000002</c:v>
                </c:pt>
                <c:pt idx="2">
                  <c:v>17300</c:v>
                </c:pt>
                <c:pt idx="3">
                  <c:v>0</c:v>
                </c:pt>
              </c:numCache>
            </c:numRef>
          </c:val>
          <c:extLst>
            <c:ext xmlns:c16="http://schemas.microsoft.com/office/drawing/2014/chart" uri="{C3380CC4-5D6E-409C-BE32-E72D297353CC}">
              <c16:uniqueId val="{00000008-E817-402A-ACA5-11778E6A433F}"/>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1"/>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0342-4BFB-8AF2-66B0961FFD2B}"/>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3-0342-4BFB-8AF2-66B0961FFD2B}"/>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5-0342-4BFB-8AF2-66B0961FFD2B}"/>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7-0342-4BFB-8AF2-66B0961FFD2B}"/>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'Market BB quarts'!$BB$52:$BB$55</c:f>
              <c:strCache>
                <c:ptCount val="4"/>
                <c:pt idx="0">
                  <c:v>Totalplay</c:v>
                </c:pt>
                <c:pt idx="1">
                  <c:v>MEGA</c:v>
                </c:pt>
                <c:pt idx="2">
                  <c:v>Televisa</c:v>
                </c:pt>
                <c:pt idx="3">
                  <c:v>Telmex FTTH</c:v>
                </c:pt>
              </c:strCache>
            </c:strRef>
          </c:cat>
          <c:val>
            <c:numRef>
              <c:f>'Market BB quarts'!$BD$52:$BD$55</c:f>
              <c:numCache>
                <c:formatCode>#,##0</c:formatCode>
                <c:ptCount val="4"/>
                <c:pt idx="0">
                  <c:v>3208</c:v>
                </c:pt>
                <c:pt idx="1">
                  <c:v>3752.9119999999998</c:v>
                </c:pt>
                <c:pt idx="2">
                  <c:v>5591</c:v>
                </c:pt>
                <c:pt idx="3">
                  <c:v>0</c:v>
                </c:pt>
              </c:numCache>
            </c:numRef>
          </c:val>
          <c:extLst>
            <c:ext xmlns:c16="http://schemas.microsoft.com/office/drawing/2014/chart" uri="{C3380CC4-5D6E-409C-BE32-E72D297353CC}">
              <c16:uniqueId val="{00000008-0342-4BFB-8AF2-66B0961FFD2B}"/>
            </c:ext>
          </c:extLst>
        </c:ser>
        <c:ser>
          <c:idx val="0"/>
          <c:order val="1"/>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A-0342-4BFB-8AF2-66B0961FFD2B}"/>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C-0342-4BFB-8AF2-66B0961FFD2B}"/>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E-0342-4BFB-8AF2-66B0961FFD2B}"/>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10-0342-4BFB-8AF2-66B0961FFD2B}"/>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'Market BB quarts'!$BB$52:$BB$55</c:f>
              <c:strCache>
                <c:ptCount val="4"/>
                <c:pt idx="0">
                  <c:v>Totalplay</c:v>
                </c:pt>
                <c:pt idx="1">
                  <c:v>MEGA</c:v>
                </c:pt>
                <c:pt idx="2">
                  <c:v>Televisa</c:v>
                </c:pt>
                <c:pt idx="3">
                  <c:v>Telmex FTTH</c:v>
                </c:pt>
              </c:strCache>
            </c:strRef>
          </c:cat>
          <c:val>
            <c:numRef>
              <c:f>'Market BB quarts'!$BD$52:$BD$55</c:f>
              <c:numCache>
                <c:formatCode>#,##0</c:formatCode>
                <c:ptCount val="4"/>
                <c:pt idx="0">
                  <c:v>3208</c:v>
                </c:pt>
                <c:pt idx="1">
                  <c:v>3752.9119999999998</c:v>
                </c:pt>
                <c:pt idx="2">
                  <c:v>5591</c:v>
                </c:pt>
                <c:pt idx="3">
                  <c:v>0</c:v>
                </c:pt>
              </c:numCache>
            </c:numRef>
          </c:val>
          <c:extLst>
            <c:ext xmlns:c16="http://schemas.microsoft.com/office/drawing/2014/chart" uri="{C3380CC4-5D6E-409C-BE32-E72D297353CC}">
              <c16:uniqueId val="{00000011-0342-4BFB-8AF2-66B0961FFD2B}"/>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'Market BB quarts'!$B$34:$B$37</c:f>
              <c:strCache>
                <c:ptCount val="4"/>
                <c:pt idx="0">
                  <c:v>Totalplay</c:v>
                </c:pt>
                <c:pt idx="1">
                  <c:v>MEGA</c:v>
                </c:pt>
                <c:pt idx="2">
                  <c:v>Televisa</c:v>
                </c:pt>
                <c:pt idx="3">
                  <c:v>Telmex total BB</c:v>
                </c:pt>
              </c:strCache>
            </c:strRef>
          </c:cat>
          <c:val>
            <c:numRef>
              <c:f>'Market BB quarts'!$L$34:$L$37</c:f>
            </c:numRef>
          </c:val>
          <c:extLst>
            <c:ext xmlns:c16="http://schemas.microsoft.com/office/drawing/2014/chart" uri="{C3380CC4-5D6E-409C-BE32-E72D297353CC}">
              <c16:uniqueId val="{00000000-9F30-4A5A-8DA8-336FAC6389FA}"/>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rtl="0">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numRef>
              <c:f>Master!$L$3:$AD$3</c:f>
              <c:numCache>
                <c:formatCode>General</c:formatCode>
                <c:ptCount val="19"/>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numCache>
            </c:numRef>
          </c:cat>
          <c:val>
            <c:numRef>
              <c:f>Master!$L$20:$AD$20</c:f>
              <c:numCache>
                <c:formatCode>_-* #,##0_-;\-* #,##0_-;_-* "-"??_-;_-@_-</c:formatCode>
                <c:ptCount val="19"/>
                <c:pt idx="0">
                  <c:v>1057</c:v>
                </c:pt>
                <c:pt idx="1">
                  <c:v>1250</c:v>
                </c:pt>
                <c:pt idx="2">
                  <c:v>1558.6596881959911</c:v>
                </c:pt>
                <c:pt idx="3">
                  <c:v>1851.2081983720318</c:v>
                </c:pt>
                <c:pt idx="4">
                  <c:v>1877.4840745931269</c:v>
                </c:pt>
                <c:pt idx="5">
                  <c:v>2364.6981962095792</c:v>
                </c:pt>
                <c:pt idx="6">
                  <c:v>3181.64957479646</c:v>
                </c:pt>
                <c:pt idx="7">
                  <c:v>4070.5279947361491</c:v>
                </c:pt>
                <c:pt idx="8">
                  <c:v>4661.4850579178892</c:v>
                </c:pt>
                <c:pt idx="9">
                  <c:v>4991.6720000000005</c:v>
                </c:pt>
                <c:pt idx="10">
                  <c:v>5981.6769999999997</c:v>
                </c:pt>
                <c:pt idx="11">
                  <c:v>6853.018</c:v>
                </c:pt>
                <c:pt idx="12">
                  <c:v>7954.9509999999991</c:v>
                </c:pt>
                <c:pt idx="13">
                  <c:v>8803.8250000000007</c:v>
                </c:pt>
                <c:pt idx="14">
                  <c:v>9663.6387925350573</c:v>
                </c:pt>
                <c:pt idx="15">
                  <c:v>9760.6767804969986</c:v>
                </c:pt>
                <c:pt idx="16">
                  <c:v>9701.8705025970685</c:v>
                </c:pt>
                <c:pt idx="17">
                  <c:v>9775.9425208365865</c:v>
                </c:pt>
                <c:pt idx="18">
                  <c:v>9845.00339211153</c:v>
                </c:pt>
              </c:numCache>
            </c:numRef>
          </c:val>
          <c:extLst>
            <c:ext xmlns:c16="http://schemas.microsoft.com/office/drawing/2014/chart" uri="{C3380CC4-5D6E-409C-BE32-E72D297353CC}">
              <c16:uniqueId val="{00000000-0C0B-449C-A48F-19022DB9AD07}"/>
            </c:ext>
          </c:extLst>
        </c:ser>
        <c:dLbls>
          <c:showLegendKey val="0"/>
          <c:showVal val="0"/>
          <c:showCatName val="0"/>
          <c:showSerName val="0"/>
          <c:showPercent val="0"/>
          <c:showBubbleSize val="0"/>
        </c:dLbls>
        <c:gapWidth val="219"/>
        <c:overlap val="-27"/>
        <c:axId val="742234847"/>
        <c:axId val="308524431"/>
      </c:barChart>
      <c:catAx>
        <c:axId val="7422348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8524431"/>
        <c:crosses val="autoZero"/>
        <c:auto val="1"/>
        <c:lblAlgn val="ctr"/>
        <c:lblOffset val="100"/>
        <c:noMultiLvlLbl val="0"/>
      </c:catAx>
      <c:valAx>
        <c:axId val="308524431"/>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22348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quarts'!$O$33:$AA$33</c:f>
              <c:strCache>
                <c:ptCount val="9"/>
                <c:pt idx="0">
                  <c:v>Q1 24</c:v>
                </c:pt>
                <c:pt idx="1">
                  <c:v>Q2 24</c:v>
                </c:pt>
                <c:pt idx="2">
                  <c:v>Q3 24</c:v>
                </c:pt>
                <c:pt idx="3">
                  <c:v>Q4 24</c:v>
                </c:pt>
                <c:pt idx="4">
                  <c:v>Q1 25</c:v>
                </c:pt>
                <c:pt idx="5">
                  <c:v>Q2 25</c:v>
                </c:pt>
                <c:pt idx="6">
                  <c:v>Q3 25</c:v>
                </c:pt>
                <c:pt idx="7">
                  <c:v>Q4 25</c:v>
                </c:pt>
                <c:pt idx="8">
                  <c:v>Q1 26</c:v>
                </c:pt>
              </c:strCache>
            </c:strRef>
          </c:cat>
          <c:val>
            <c:numRef>
              <c:f>'Market BB quarts'!$O$46:$AA$46</c:f>
              <c:numCache>
                <c:formatCode>0.0%</c:formatCode>
                <c:ptCount val="9"/>
                <c:pt idx="0">
                  <c:v>0.66117154106834519</c:v>
                </c:pt>
                <c:pt idx="1">
                  <c:v>0.66885825434195623</c:v>
                </c:pt>
                <c:pt idx="2">
                  <c:v>0.67833968208257556</c:v>
                </c:pt>
                <c:pt idx="3">
                  <c:v>0.68506012590804755</c:v>
                </c:pt>
                <c:pt idx="4">
                  <c:v>0.68392694917904773</c:v>
                </c:pt>
                <c:pt idx="5">
                  <c:v>0.69289179427144454</c:v>
                </c:pt>
                <c:pt idx="6">
                  <c:v>0.7016591348152228</c:v>
                </c:pt>
                <c:pt idx="7">
                  <c:v>0.71041534556572028</c:v>
                </c:pt>
                <c:pt idx="8">
                  <c:v>0.71980884978442139</c:v>
                </c:pt>
              </c:numCache>
            </c:numRef>
          </c:val>
          <c:extLst>
            <c:ext xmlns:c16="http://schemas.microsoft.com/office/drawing/2014/chart" uri="{C3380CC4-5D6E-409C-BE32-E72D297353CC}">
              <c16:uniqueId val="{00000000-A325-4D22-BC1F-61EAC2BE42D9}"/>
            </c:ext>
          </c:extLst>
        </c:ser>
        <c:dLbls>
          <c:showLegendKey val="0"/>
          <c:showVal val="0"/>
          <c:showCatName val="0"/>
          <c:showSerName val="0"/>
          <c:showPercent val="0"/>
          <c:showBubbleSize val="0"/>
        </c:dLbls>
        <c:gapWidth val="30"/>
        <c:axId val="1495160607"/>
        <c:axId val="1495161855"/>
        <c:extLst/>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quarts'!$O$33:$AA$33</c:f>
              <c:strCache>
                <c:ptCount val="9"/>
                <c:pt idx="0">
                  <c:v>Q1 24</c:v>
                </c:pt>
                <c:pt idx="1">
                  <c:v>Q2 24</c:v>
                </c:pt>
                <c:pt idx="2">
                  <c:v>Q3 24</c:v>
                </c:pt>
                <c:pt idx="3">
                  <c:v>Q4 24</c:v>
                </c:pt>
                <c:pt idx="4">
                  <c:v>Q1 25</c:v>
                </c:pt>
                <c:pt idx="5">
                  <c:v>Q2 25</c:v>
                </c:pt>
                <c:pt idx="6">
                  <c:v>Q3 25</c:v>
                </c:pt>
                <c:pt idx="7">
                  <c:v>Q4 25</c:v>
                </c:pt>
                <c:pt idx="8">
                  <c:v>Q1 26</c:v>
                </c:pt>
              </c:strCache>
            </c:strRef>
          </c:cat>
          <c:val>
            <c:numRef>
              <c:f>'Market BB quarts'!$O$61:$AA$61</c:f>
              <c:numCache>
                <c:formatCode>#,##0</c:formatCode>
                <c:ptCount val="9"/>
                <c:pt idx="0">
                  <c:v>615.19900000000052</c:v>
                </c:pt>
                <c:pt idx="1">
                  <c:v>351.46500000000015</c:v>
                </c:pt>
                <c:pt idx="2">
                  <c:v>422.96900000000096</c:v>
                </c:pt>
                <c:pt idx="3">
                  <c:v>308.33399999999892</c:v>
                </c:pt>
                <c:pt idx="4">
                  <c:v>368.59499999999753</c:v>
                </c:pt>
                <c:pt idx="5">
                  <c:v>401.82600000000093</c:v>
                </c:pt>
                <c:pt idx="6">
                  <c:v>392.125</c:v>
                </c:pt>
                <c:pt idx="7">
                  <c:v>390.22300000000178</c:v>
                </c:pt>
                <c:pt idx="8">
                  <c:v>415.26299999999901</c:v>
                </c:pt>
              </c:numCache>
            </c:numRef>
          </c:val>
          <c:extLst>
            <c:ext xmlns:c16="http://schemas.microsoft.com/office/drawing/2014/chart" uri="{C3380CC4-5D6E-409C-BE32-E72D297353CC}">
              <c16:uniqueId val="{00000000-A325-4D22-BC1F-61EAC2BE42D9}"/>
            </c:ext>
          </c:extLst>
        </c:ser>
        <c:dLbls>
          <c:showLegendKey val="0"/>
          <c:showVal val="0"/>
          <c:showCatName val="0"/>
          <c:showSerName val="0"/>
          <c:showPercent val="0"/>
          <c:showBubbleSize val="0"/>
        </c:dLbls>
        <c:gapWidth val="30"/>
        <c:axId val="1495160607"/>
        <c:axId val="1495161855"/>
        <c:extLst/>
      </c:barChart>
      <c:catAx>
        <c:axId val="14951606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'Market BB quarts'!$B$50</c:f>
              <c:strCache>
                <c:ptCount val="1"/>
                <c:pt idx="0">
                  <c:v>Totalplay</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quarts'!$O$33:$AA$33</c:f>
              <c:strCache>
                <c:ptCount val="9"/>
                <c:pt idx="0">
                  <c:v>Q1 24</c:v>
                </c:pt>
                <c:pt idx="1">
                  <c:v>Q2 24</c:v>
                </c:pt>
                <c:pt idx="2">
                  <c:v>Q3 24</c:v>
                </c:pt>
                <c:pt idx="3">
                  <c:v>Q4 24</c:v>
                </c:pt>
                <c:pt idx="4">
                  <c:v>Q1 25</c:v>
                </c:pt>
                <c:pt idx="5">
                  <c:v>Q2 25</c:v>
                </c:pt>
                <c:pt idx="6">
                  <c:v>Q3 25</c:v>
                </c:pt>
                <c:pt idx="7">
                  <c:v>Q4 25</c:v>
                </c:pt>
                <c:pt idx="8">
                  <c:v>Q1 26</c:v>
                </c:pt>
              </c:strCache>
            </c:strRef>
          </c:cat>
          <c:val>
            <c:numRef>
              <c:f>'Market BB quarts'!$O$50:$AA$50</c:f>
              <c:numCache>
                <c:formatCode>0.0%</c:formatCode>
                <c:ptCount val="9"/>
                <c:pt idx="0">
                  <c:v>0.18670874782208638</c:v>
                </c:pt>
                <c:pt idx="1">
                  <c:v>0.18806331467430373</c:v>
                </c:pt>
                <c:pt idx="2">
                  <c:v>0.18937366839709749</c:v>
                </c:pt>
                <c:pt idx="3">
                  <c:v>0.19071144981263211</c:v>
                </c:pt>
                <c:pt idx="4">
                  <c:v>0.19210699147939872</c:v>
                </c:pt>
                <c:pt idx="5">
                  <c:v>0.19050075789802459</c:v>
                </c:pt>
                <c:pt idx="6">
                  <c:v>0.18896895230649383</c:v>
                </c:pt>
                <c:pt idx="7">
                  <c:v>0.18807887029850803</c:v>
                </c:pt>
                <c:pt idx="8">
                  <c:v>0.18933672216748479</c:v>
                </c:pt>
              </c:numCache>
            </c:numRef>
          </c:val>
          <c:smooth val="0"/>
          <c:extLst>
            <c:ext xmlns:c16="http://schemas.microsoft.com/office/drawing/2014/chart" uri="{C3380CC4-5D6E-409C-BE32-E72D297353CC}">
              <c16:uniqueId val="{00000000-0B52-44FD-927F-AEC4424F78FC}"/>
            </c:ext>
          </c:extLst>
        </c:ser>
        <c:ser>
          <c:idx val="1"/>
          <c:order val="1"/>
          <c:tx>
            <c:strRef>
              <c:f>'Market BB quarts'!$B$51</c:f>
              <c:strCache>
                <c:ptCount val="1"/>
                <c:pt idx="0">
                  <c:v>MEGA</c:v>
                </c:pt>
              </c:strCache>
            </c:strRef>
          </c:tx>
          <c:spPr>
            <a:ln w="25400" cap="rnd">
              <a:solidFill>
                <a:srgbClr val="79909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lumMod val="65000"/>
                      </a:schemeClr>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quarts'!$O$33:$AA$33</c:f>
              <c:strCache>
                <c:ptCount val="9"/>
                <c:pt idx="0">
                  <c:v>Q1 24</c:v>
                </c:pt>
                <c:pt idx="1">
                  <c:v>Q2 24</c:v>
                </c:pt>
                <c:pt idx="2">
                  <c:v>Q3 24</c:v>
                </c:pt>
                <c:pt idx="3">
                  <c:v>Q4 24</c:v>
                </c:pt>
                <c:pt idx="4">
                  <c:v>Q1 25</c:v>
                </c:pt>
                <c:pt idx="5">
                  <c:v>Q2 25</c:v>
                </c:pt>
                <c:pt idx="6">
                  <c:v>Q3 25</c:v>
                </c:pt>
                <c:pt idx="7">
                  <c:v>Q4 25</c:v>
                </c:pt>
                <c:pt idx="8">
                  <c:v>Q1 26</c:v>
                </c:pt>
              </c:strCache>
            </c:strRef>
          </c:cat>
          <c:val>
            <c:numRef>
              <c:f>'Market BB quarts'!$O$51:$AA$51</c:f>
              <c:numCache>
                <c:formatCode>0.0%</c:formatCode>
                <c:ptCount val="9"/>
                <c:pt idx="0">
                  <c:v>0.18539924123342447</c:v>
                </c:pt>
                <c:pt idx="1">
                  <c:v>0.18636053257998875</c:v>
                </c:pt>
                <c:pt idx="2">
                  <c:v>0.19016631029134273</c:v>
                </c:pt>
                <c:pt idx="3">
                  <c:v>0.19410800648250837</c:v>
                </c:pt>
                <c:pt idx="4">
                  <c:v>0.19513934697684782</c:v>
                </c:pt>
                <c:pt idx="5">
                  <c:v>0.19705974164187701</c:v>
                </c:pt>
                <c:pt idx="6">
                  <c:v>0.19885689031766693</c:v>
                </c:pt>
                <c:pt idx="7">
                  <c:v>0.20075989534667837</c:v>
                </c:pt>
                <c:pt idx="8">
                  <c:v>0.20136993334215586</c:v>
                </c:pt>
              </c:numCache>
            </c:numRef>
          </c:val>
          <c:smooth val="0"/>
          <c:extLst>
            <c:ext xmlns:c16="http://schemas.microsoft.com/office/drawing/2014/chart" uri="{C3380CC4-5D6E-409C-BE32-E72D297353CC}">
              <c16:uniqueId val="{00000001-0B52-44FD-927F-AEC4424F78FC}"/>
            </c:ext>
          </c:extLst>
        </c:ser>
        <c:ser>
          <c:idx val="2"/>
          <c:order val="2"/>
          <c:tx>
            <c:strRef>
              <c:f>'Market BB quarts'!$B$52</c:f>
              <c:strCache>
                <c:ptCount val="1"/>
                <c:pt idx="0">
                  <c:v>Televisa</c:v>
                </c:pt>
              </c:strCache>
            </c:strRef>
          </c:tx>
          <c:spPr>
            <a:ln w="25400" cap="rnd">
              <a:solidFill>
                <a:srgbClr val="F9663E"/>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6">
                        <a:lumMod val="75000"/>
                      </a:schemeClr>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quarts'!$O$33:$AA$33</c:f>
              <c:strCache>
                <c:ptCount val="9"/>
                <c:pt idx="0">
                  <c:v>Q1 24</c:v>
                </c:pt>
                <c:pt idx="1">
                  <c:v>Q2 24</c:v>
                </c:pt>
                <c:pt idx="2">
                  <c:v>Q3 24</c:v>
                </c:pt>
                <c:pt idx="3">
                  <c:v>Q4 24</c:v>
                </c:pt>
                <c:pt idx="4">
                  <c:v>Q1 25</c:v>
                </c:pt>
                <c:pt idx="5">
                  <c:v>Q2 25</c:v>
                </c:pt>
                <c:pt idx="6">
                  <c:v>Q3 25</c:v>
                </c:pt>
                <c:pt idx="7">
                  <c:v>Q4 25</c:v>
                </c:pt>
                <c:pt idx="8">
                  <c:v>Q1 26</c:v>
                </c:pt>
              </c:strCache>
            </c:strRef>
          </c:cat>
          <c:val>
            <c:numRef>
              <c:f>'Market BB quarts'!$O$52:$AA$52</c:f>
              <c:numCache>
                <c:formatCode>0.0%</c:formatCode>
                <c:ptCount val="9"/>
                <c:pt idx="0">
                  <c:v>0.2164501999795915</c:v>
                </c:pt>
                <c:pt idx="1">
                  <c:v>0.21400696618956502</c:v>
                </c:pt>
                <c:pt idx="2">
                  <c:v>0.21107436072712391</c:v>
                </c:pt>
                <c:pt idx="3">
                  <c:v>0.20558394647362871</c:v>
                </c:pt>
                <c:pt idx="4">
                  <c:v>0.2026513865650221</c:v>
                </c:pt>
                <c:pt idx="5">
                  <c:v>0.19998403489917019</c:v>
                </c:pt>
                <c:pt idx="6">
                  <c:v>0.19799179038390249</c:v>
                </c:pt>
                <c:pt idx="7">
                  <c:v>0.19617051502177535</c:v>
                </c:pt>
                <c:pt idx="8">
                  <c:v>0.19424570452112502</c:v>
                </c:pt>
              </c:numCache>
            </c:numRef>
          </c:val>
          <c:smooth val="0"/>
          <c:extLst>
            <c:ext xmlns:c16="http://schemas.microsoft.com/office/drawing/2014/chart" uri="{C3380CC4-5D6E-409C-BE32-E72D297353CC}">
              <c16:uniqueId val="{00000002-0B52-44FD-927F-AEC4424F78FC}"/>
            </c:ext>
          </c:extLst>
        </c:ser>
        <c:ser>
          <c:idx val="3"/>
          <c:order val="3"/>
          <c:tx>
            <c:strRef>
              <c:f>'Market BB quarts'!$B$53</c:f>
              <c:strCache>
                <c:ptCount val="1"/>
                <c:pt idx="0">
                  <c:v>Telmex copper/VDSL/FTTH</c:v>
                </c:pt>
              </c:strCache>
            </c:strRef>
          </c:tx>
          <c:spPr>
            <a:ln w="25400" cap="rnd">
              <a:solidFill>
                <a:srgbClr val="C7FE02"/>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C7F502"/>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quarts'!$O$33:$AA$33</c:f>
              <c:strCache>
                <c:ptCount val="9"/>
                <c:pt idx="0">
                  <c:v>Q1 24</c:v>
                </c:pt>
                <c:pt idx="1">
                  <c:v>Q2 24</c:v>
                </c:pt>
                <c:pt idx="2">
                  <c:v>Q3 24</c:v>
                </c:pt>
                <c:pt idx="3">
                  <c:v>Q4 24</c:v>
                </c:pt>
                <c:pt idx="4">
                  <c:v>Q1 25</c:v>
                </c:pt>
                <c:pt idx="5">
                  <c:v>Q2 25</c:v>
                </c:pt>
                <c:pt idx="6">
                  <c:v>Q3 25</c:v>
                </c:pt>
                <c:pt idx="7">
                  <c:v>Q4 25</c:v>
                </c:pt>
                <c:pt idx="8">
                  <c:v>Q1 26</c:v>
                </c:pt>
              </c:strCache>
            </c:strRef>
          </c:cat>
          <c:val>
            <c:numRef>
              <c:f>'Market BB quarts'!$O$53:$AA$53</c:f>
              <c:numCache>
                <c:formatCode>0.0%</c:formatCode>
                <c:ptCount val="9"/>
                <c:pt idx="0">
                  <c:v>0.41144181096489763</c:v>
                </c:pt>
                <c:pt idx="1">
                  <c:v>0.41156918655614244</c:v>
                </c:pt>
                <c:pt idx="2">
                  <c:v>0.40938566058443582</c:v>
                </c:pt>
                <c:pt idx="3">
                  <c:v>0.40959659723123076</c:v>
                </c:pt>
                <c:pt idx="4">
                  <c:v>0.41010227497873142</c:v>
                </c:pt>
                <c:pt idx="5">
                  <c:v>0.41245546556092827</c:v>
                </c:pt>
                <c:pt idx="6">
                  <c:v>0.41418236699193678</c:v>
                </c:pt>
                <c:pt idx="7">
                  <c:v>0.41499071933303822</c:v>
                </c:pt>
                <c:pt idx="8">
                  <c:v>0.41504763996923433</c:v>
                </c:pt>
              </c:numCache>
            </c:numRef>
          </c:val>
          <c:smooth val="0"/>
          <c:extLst>
            <c:ext xmlns:c16="http://schemas.microsoft.com/office/drawing/2014/chart" uri="{C3380CC4-5D6E-409C-BE32-E72D297353CC}">
              <c16:uniqueId val="{00000003-0B52-44FD-927F-AEC4424F78FC}"/>
            </c:ext>
          </c:extLst>
        </c:ser>
        <c:dLbls>
          <c:showLegendKey val="0"/>
          <c:showVal val="0"/>
          <c:showCatName val="0"/>
          <c:showSerName val="0"/>
          <c:showPercent val="0"/>
          <c:showBubbleSize val="0"/>
        </c:dLbls>
        <c:smooth val="0"/>
        <c:axId val="1240507664"/>
        <c:axId val="1240508624"/>
      </c:lineChart>
      <c:catAx>
        <c:axId val="1240507664"/>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240508624"/>
        <c:crosses val="autoZero"/>
        <c:auto val="1"/>
        <c:lblAlgn val="ctr"/>
        <c:lblOffset val="100"/>
        <c:noMultiLvlLbl val="0"/>
      </c:catAx>
      <c:valAx>
        <c:axId val="1240508624"/>
        <c:scaling>
          <c:orientation val="minMax"/>
        </c:scaling>
        <c:delete val="1"/>
        <c:axPos val="l"/>
        <c:numFmt formatCode="0.0%" sourceLinked="1"/>
        <c:majorTickMark val="out"/>
        <c:minorTickMark val="none"/>
        <c:tickLblPos val="nextTo"/>
        <c:crossAx val="124050766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'Market BB quarts'!$B$76</c:f>
              <c:strCache>
                <c:ptCount val="1"/>
                <c:pt idx="0">
                  <c:v>MegaCable ARPU</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quarts'!$O$33:$AA$33</c:f>
              <c:strCache>
                <c:ptCount val="9"/>
                <c:pt idx="0">
                  <c:v>Q1 24</c:v>
                </c:pt>
                <c:pt idx="1">
                  <c:v>Q2 24</c:v>
                </c:pt>
                <c:pt idx="2">
                  <c:v>Q3 24</c:v>
                </c:pt>
                <c:pt idx="3">
                  <c:v>Q4 24</c:v>
                </c:pt>
                <c:pt idx="4">
                  <c:v>Q1 25</c:v>
                </c:pt>
                <c:pt idx="5">
                  <c:v>Q2 25</c:v>
                </c:pt>
                <c:pt idx="6">
                  <c:v>Q3 25</c:v>
                </c:pt>
                <c:pt idx="7">
                  <c:v>Q4 25</c:v>
                </c:pt>
                <c:pt idx="8">
                  <c:v>Q1 26</c:v>
                </c:pt>
              </c:strCache>
            </c:strRef>
          </c:cat>
          <c:val>
            <c:numRef>
              <c:f>'Market BB quarts'!$O$76:$AA$76</c:f>
              <c:numCache>
                <c:formatCode>0</c:formatCode>
                <c:ptCount val="9"/>
                <c:pt idx="0">
                  <c:v>421.7</c:v>
                </c:pt>
                <c:pt idx="1">
                  <c:v>421.9</c:v>
                </c:pt>
                <c:pt idx="2">
                  <c:v>418.9</c:v>
                </c:pt>
                <c:pt idx="3">
                  <c:v>421.6</c:v>
                </c:pt>
                <c:pt idx="4">
                  <c:v>417.5</c:v>
                </c:pt>
                <c:pt idx="5">
                  <c:v>421</c:v>
                </c:pt>
                <c:pt idx="6">
                  <c:v>422.3</c:v>
                </c:pt>
                <c:pt idx="7">
                  <c:v>422.84989737742308</c:v>
                </c:pt>
                <c:pt idx="8">
                  <c:v>424.72485002307343</c:v>
                </c:pt>
              </c:numCache>
            </c:numRef>
          </c:val>
          <c:extLst>
            <c:ext xmlns:c16="http://schemas.microsoft.com/office/drawing/2014/chart" uri="{C3380CC4-5D6E-409C-BE32-E72D297353CC}">
              <c16:uniqueId val="{00000000-C048-4945-9A25-E003034BC101}"/>
            </c:ext>
          </c:extLst>
        </c:ser>
        <c:ser>
          <c:idx val="1"/>
          <c:order val="1"/>
          <c:tx>
            <c:strRef>
              <c:f>'Market BB quarts'!$B$77</c:f>
              <c:strCache>
                <c:ptCount val="1"/>
                <c:pt idx="0">
                  <c:v>TotalPlay ARPU (rep)</c:v>
                </c:pt>
              </c:strCache>
            </c:strRef>
          </c:tx>
          <c:spPr>
            <a:solidFill>
              <a:srgbClr val="F9663E"/>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quarts'!$O$33:$AA$33</c:f>
              <c:strCache>
                <c:ptCount val="9"/>
                <c:pt idx="0">
                  <c:v>Q1 24</c:v>
                </c:pt>
                <c:pt idx="1">
                  <c:v>Q2 24</c:v>
                </c:pt>
                <c:pt idx="2">
                  <c:v>Q3 24</c:v>
                </c:pt>
                <c:pt idx="3">
                  <c:v>Q4 24</c:v>
                </c:pt>
                <c:pt idx="4">
                  <c:v>Q1 25</c:v>
                </c:pt>
                <c:pt idx="5">
                  <c:v>Q2 25</c:v>
                </c:pt>
                <c:pt idx="6">
                  <c:v>Q3 25</c:v>
                </c:pt>
                <c:pt idx="7">
                  <c:v>Q4 25</c:v>
                </c:pt>
                <c:pt idx="8">
                  <c:v>Q1 26</c:v>
                </c:pt>
              </c:strCache>
            </c:strRef>
          </c:cat>
          <c:val>
            <c:numRef>
              <c:f>'Market BB quarts'!$O$77:$AA$77</c:f>
              <c:numCache>
                <c:formatCode>General</c:formatCode>
                <c:ptCount val="9"/>
                <c:pt idx="0">
                  <c:v>617</c:v>
                </c:pt>
                <c:pt idx="1">
                  <c:v>612</c:v>
                </c:pt>
                <c:pt idx="2">
                  <c:v>617</c:v>
                </c:pt>
                <c:pt idx="3">
                  <c:v>607</c:v>
                </c:pt>
                <c:pt idx="4">
                  <c:v>597</c:v>
                </c:pt>
                <c:pt idx="5">
                  <c:v>607</c:v>
                </c:pt>
                <c:pt idx="6">
                  <c:v>598</c:v>
                </c:pt>
                <c:pt idx="7">
                  <c:v>595</c:v>
                </c:pt>
                <c:pt idx="8">
                  <c:v>588</c:v>
                </c:pt>
              </c:numCache>
            </c:numRef>
          </c:val>
          <c:extLst>
            <c:ext xmlns:c16="http://schemas.microsoft.com/office/drawing/2014/chart" uri="{C3380CC4-5D6E-409C-BE32-E72D297353CC}">
              <c16:uniqueId val="{00000001-C048-4945-9A25-E003034BC101}"/>
            </c:ext>
          </c:extLst>
        </c:ser>
        <c:ser>
          <c:idx val="2"/>
          <c:order val="2"/>
          <c:tx>
            <c:strRef>
              <c:f>'Market BB quarts'!$B$78</c:f>
              <c:strCache>
                <c:ptCount val="1"/>
                <c:pt idx="0">
                  <c:v>Televisa Revs/Av Subs*</c:v>
                </c:pt>
              </c:strCache>
            </c:strRef>
          </c:tx>
          <c:spPr>
            <a:solidFill>
              <a:schemeClr val="bg1">
                <a:lumMod val="75000"/>
              </a:schemeClr>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quarts'!$O$33:$AA$33</c:f>
              <c:strCache>
                <c:ptCount val="9"/>
                <c:pt idx="0">
                  <c:v>Q1 24</c:v>
                </c:pt>
                <c:pt idx="1">
                  <c:v>Q2 24</c:v>
                </c:pt>
                <c:pt idx="2">
                  <c:v>Q3 24</c:v>
                </c:pt>
                <c:pt idx="3">
                  <c:v>Q4 24</c:v>
                </c:pt>
                <c:pt idx="4">
                  <c:v>Q1 25</c:v>
                </c:pt>
                <c:pt idx="5">
                  <c:v>Q2 25</c:v>
                </c:pt>
                <c:pt idx="6">
                  <c:v>Q3 25</c:v>
                </c:pt>
                <c:pt idx="7">
                  <c:v>Q4 25</c:v>
                </c:pt>
                <c:pt idx="8">
                  <c:v>Q1 26</c:v>
                </c:pt>
              </c:strCache>
            </c:strRef>
          </c:cat>
          <c:val>
            <c:numRef>
              <c:f>'Market BB quarts'!$O$78:$AA$78</c:f>
              <c:numCache>
                <c:formatCode>0</c:formatCode>
                <c:ptCount val="9"/>
                <c:pt idx="0">
                  <c:v>602.44441521382305</c:v>
                </c:pt>
                <c:pt idx="1">
                  <c:v>601.00121106599295</c:v>
                </c:pt>
                <c:pt idx="2">
                  <c:v>586.35430362358136</c:v>
                </c:pt>
                <c:pt idx="3">
                  <c:v>586.46165364103615</c:v>
                </c:pt>
                <c:pt idx="4">
                  <c:v>580.5032832609968</c:v>
                </c:pt>
                <c:pt idx="5">
                  <c:v>577.91574209427324</c:v>
                </c:pt>
                <c:pt idx="6">
                  <c:v>577.46255958106769</c:v>
                </c:pt>
                <c:pt idx="7">
                  <c:v>572</c:v>
                </c:pt>
                <c:pt idx="8">
                  <c:v>568</c:v>
                </c:pt>
              </c:numCache>
            </c:numRef>
          </c:val>
          <c:extLst>
            <c:ext xmlns:c16="http://schemas.microsoft.com/office/drawing/2014/chart" uri="{C3380CC4-5D6E-409C-BE32-E72D297353CC}">
              <c16:uniqueId val="{00000002-C048-4945-9A25-E003034BC101}"/>
            </c:ext>
          </c:extLst>
        </c:ser>
        <c:dLbls>
          <c:showLegendKey val="0"/>
          <c:showVal val="0"/>
          <c:showCatName val="0"/>
          <c:showSerName val="0"/>
          <c:showPercent val="0"/>
          <c:showBubbleSize val="0"/>
        </c:dLbls>
        <c:gapWidth val="30"/>
        <c:overlap val="-27"/>
        <c:axId val="1240681904"/>
        <c:axId val="1240687184"/>
      </c:barChart>
      <c:catAx>
        <c:axId val="1240681904"/>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240687184"/>
        <c:crosses val="autoZero"/>
        <c:auto val="1"/>
        <c:lblAlgn val="ctr"/>
        <c:lblOffset val="100"/>
        <c:noMultiLvlLbl val="0"/>
      </c:catAx>
      <c:valAx>
        <c:axId val="1240687184"/>
        <c:scaling>
          <c:orientation val="minMax"/>
        </c:scaling>
        <c:delete val="1"/>
        <c:axPos val="l"/>
        <c:numFmt formatCode="0" sourceLinked="1"/>
        <c:majorTickMark val="out"/>
        <c:minorTickMark val="none"/>
        <c:tickLblPos val="nextTo"/>
        <c:crossAx val="124068190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val>
            <c:numRef>
              <c:f>'Market BB quarts'!$G$61:$O$61</c:f>
            </c:numRef>
          </c:val>
          <c:extLst>
            <c:ext xmlns:c16="http://schemas.microsoft.com/office/drawing/2014/chart" uri="{C3380CC4-5D6E-409C-BE32-E72D297353CC}">
              <c16:uniqueId val="{00000000-AAF4-4ABA-98A1-F60D27B8D319}"/>
            </c:ext>
          </c:extLst>
        </c:ser>
        <c:dLbls>
          <c:showLegendKey val="0"/>
          <c:showVal val="0"/>
          <c:showCatName val="0"/>
          <c:showSerName val="0"/>
          <c:showPercent val="0"/>
          <c:showBubbleSize val="0"/>
        </c:dLbls>
        <c:gapWidth val="219"/>
        <c:overlap val="-27"/>
        <c:axId val="1014584879"/>
        <c:axId val="1014597359"/>
      </c:barChart>
      <c:catAx>
        <c:axId val="1014584879"/>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4597359"/>
        <c:crosses val="autoZero"/>
        <c:auto val="1"/>
        <c:lblAlgn val="ctr"/>
        <c:lblOffset val="100"/>
        <c:noMultiLvlLbl val="0"/>
      </c:catAx>
      <c:valAx>
        <c:axId val="101459735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458487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'Market BB quarts'!$B$57</c:f>
              <c:strCache>
                <c:ptCount val="1"/>
                <c:pt idx="0">
                  <c:v>Totalplay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'Market BB quarts'!$K$33:$P$33</c:f>
            </c:multiLvlStrRef>
          </c:cat>
          <c:val>
            <c:numRef>
              <c:f>'Market BB quarts'!$K$57:$P$57</c:f>
            </c:numRef>
          </c:val>
          <c:extLst>
            <c:ext xmlns:c16="http://schemas.microsoft.com/office/drawing/2014/chart" uri="{C3380CC4-5D6E-409C-BE32-E72D297353CC}">
              <c16:uniqueId val="{00000000-895E-43B6-8F6D-4B4444231EFD}"/>
            </c:ext>
          </c:extLst>
        </c:ser>
        <c:ser>
          <c:idx val="1"/>
          <c:order val="1"/>
          <c:tx>
            <c:strRef>
              <c:f>'Market BB quarts'!$B$58</c:f>
              <c:strCache>
                <c:ptCount val="1"/>
                <c:pt idx="0">
                  <c:v>MEGA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'Market BB quarts'!$K$33:$P$33</c:f>
            </c:multiLvlStrRef>
          </c:cat>
          <c:val>
            <c:numRef>
              <c:f>'Market BB quarts'!$K$58:$P$58</c:f>
            </c:numRef>
          </c:val>
          <c:extLst>
            <c:ext xmlns:c16="http://schemas.microsoft.com/office/drawing/2014/chart" uri="{C3380CC4-5D6E-409C-BE32-E72D297353CC}">
              <c16:uniqueId val="{00000001-895E-43B6-8F6D-4B4444231EFD}"/>
            </c:ext>
          </c:extLst>
        </c:ser>
        <c:ser>
          <c:idx val="2"/>
          <c:order val="2"/>
          <c:tx>
            <c:strRef>
              <c:f>'Market BB quarts'!$B$59</c:f>
              <c:strCache>
                <c:ptCount val="1"/>
                <c:pt idx="0">
                  <c:v>Televisa</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'Market BB quarts'!$K$33:$P$33</c:f>
            </c:multiLvlStrRef>
          </c:cat>
          <c:val>
            <c:numRef>
              <c:f>'Market BB quarts'!$K$59:$P$59</c:f>
            </c:numRef>
          </c:val>
          <c:extLst>
            <c:ext xmlns:c16="http://schemas.microsoft.com/office/drawing/2014/chart" uri="{C3380CC4-5D6E-409C-BE32-E72D297353CC}">
              <c16:uniqueId val="{00000002-895E-43B6-8F6D-4B4444231EFD}"/>
            </c:ext>
          </c:extLst>
        </c:ser>
        <c:ser>
          <c:idx val="3"/>
          <c:order val="3"/>
          <c:tx>
            <c:strRef>
              <c:f>'Market BB quarts'!$B$60</c:f>
              <c:strCache>
                <c:ptCount val="1"/>
                <c:pt idx="0">
                  <c:v>Telmex</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'Market BB quarts'!$K$33:$P$33</c:f>
            </c:multiLvlStrRef>
          </c:cat>
          <c:val>
            <c:numRef>
              <c:f>'Market BB quarts'!$K$60:$P$60</c:f>
            </c:numRef>
          </c:val>
          <c:extLst>
            <c:ext xmlns:c16="http://schemas.microsoft.com/office/drawing/2014/chart" uri="{C3380CC4-5D6E-409C-BE32-E72D297353CC}">
              <c16:uniqueId val="{00000003-895E-43B6-8F6D-4B4444231EFD}"/>
            </c:ext>
          </c:extLst>
        </c:ser>
        <c:dLbls>
          <c:showLegendKey val="0"/>
          <c:showVal val="0"/>
          <c:showCatName val="0"/>
          <c:showSerName val="0"/>
          <c:showPercent val="0"/>
          <c:showBubbleSize val="0"/>
        </c:dLbls>
        <c:gapWidth val="30"/>
        <c:overlap val="-27"/>
        <c:axId val="1015532079"/>
        <c:axId val="1015532559"/>
      </c:barChart>
      <c:catAx>
        <c:axId val="1015532079"/>
        <c:scaling>
          <c:orientation val="minMax"/>
        </c:scaling>
        <c:delete val="0"/>
        <c:axPos val="b"/>
        <c:numFmt formatCode="General" sourceLinked="1"/>
        <c:majorTickMark val="out"/>
        <c:minorTickMark val="none"/>
        <c:tickLblPos val="low"/>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015532559"/>
        <c:crosses val="autoZero"/>
        <c:auto val="1"/>
        <c:lblAlgn val="ctr"/>
        <c:lblOffset val="100"/>
        <c:noMultiLvlLbl val="0"/>
      </c:catAx>
      <c:valAx>
        <c:axId val="1015532559"/>
        <c:scaling>
          <c:orientation val="minMax"/>
        </c:scaling>
        <c:delete val="1"/>
        <c:axPos val="l"/>
        <c:numFmt formatCode="#,##0" sourceLinked="1"/>
        <c:majorTickMark val="out"/>
        <c:minorTickMark val="none"/>
        <c:tickLblPos val="nextTo"/>
        <c:crossAx val="1015532079"/>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'Market BB quarts'!$F$157:$F$161</c:f>
            </c:numRef>
          </c:val>
          <c:extLst>
            <c:ext xmlns:c15="http://schemas.microsoft.com/office/drawing/2012/chart" uri="{02D57815-91ED-43cb-92C2-25804820EDAC}">
              <c15:filteredCategoryTitle>
                <c15:cat>
                  <c:multiLvlStrRef>
                    <c:extLst>
                      <c:ext uri="{02D57815-91ED-43cb-92C2-25804820EDAC}">
                        <c15:formulaRef>
                          <c15:sqref>'Market BB quarts'!$E$157:$E$161</c15:sqref>
                        </c15:formulaRef>
                      </c:ext>
                    </c:extLst>
                  </c:multiLvlStrRef>
                </c15:cat>
              </c15:filteredCategoryTitle>
            </c:ext>
            <c:ext xmlns:c16="http://schemas.microsoft.com/office/drawing/2014/chart" uri="{C3380CC4-5D6E-409C-BE32-E72D297353CC}">
              <c16:uniqueId val="{00000000-AE06-4F69-AE21-E15A35DFDC76}"/>
            </c:ext>
          </c:extLst>
        </c:ser>
        <c:dLbls>
          <c:showLegendKey val="0"/>
          <c:showVal val="0"/>
          <c:showCatName val="0"/>
          <c:showSerName val="0"/>
          <c:showPercent val="0"/>
          <c:showBubbleSize val="0"/>
        </c:dLbls>
        <c:gapWidth val="30"/>
        <c:overlap val="-27"/>
        <c:axId val="1015495599"/>
        <c:axId val="1015503759"/>
      </c:barChart>
      <c:catAx>
        <c:axId val="1015495599"/>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015503759"/>
        <c:crosses val="autoZero"/>
        <c:auto val="1"/>
        <c:lblAlgn val="ctr"/>
        <c:lblOffset val="100"/>
        <c:noMultiLvlLbl val="0"/>
      </c:catAx>
      <c:valAx>
        <c:axId val="1015503759"/>
        <c:scaling>
          <c:orientation val="minMax"/>
        </c:scaling>
        <c:delete val="1"/>
        <c:axPos val="l"/>
        <c:numFmt formatCode="0%" sourceLinked="1"/>
        <c:majorTickMark val="out"/>
        <c:minorTickMark val="none"/>
        <c:tickLblPos val="nextTo"/>
        <c:crossAx val="1015495599"/>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1"/>
    <c:plotArea>
      <c:layout/>
      <c:barChart>
        <c:barDir val="col"/>
        <c:grouping val="clustered"/>
        <c:varyColors val="0"/>
        <c:ser>
          <c:idx val="0"/>
          <c:order val="0"/>
          <c:tx>
            <c:strRef>
              <c:f>'Market BB quarts'!$B$187</c:f>
              <c:strCache>
                <c:ptCount val="1"/>
                <c:pt idx="0">
                  <c:v>MEGA homes passed</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404040"/>
                    </a:solidFill>
                    <a:latin typeface="Roboto" pitchFamily="2" charset="0"/>
                    <a:ea typeface="Roboto" pitchFamily="2"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quarts'!$K$186:$AB$186</c:f>
              <c:strCache>
                <c:ptCount val="4"/>
                <c:pt idx="0">
                  <c:v>1Q23</c:v>
                </c:pt>
                <c:pt idx="1">
                  <c:v>2Q23</c:v>
                </c:pt>
                <c:pt idx="2">
                  <c:v>3Q23</c:v>
                </c:pt>
                <c:pt idx="3">
                  <c:v>4Q23</c:v>
                </c:pt>
              </c:strCache>
            </c:strRef>
          </c:cat>
          <c:val>
            <c:numRef>
              <c:f>'Market BB quarts'!$K$187:$AB$187</c:f>
              <c:numCache>
                <c:formatCode>#,##0</c:formatCode>
                <c:ptCount val="10"/>
                <c:pt idx="0">
                  <c:v>12487.578</c:v>
                </c:pt>
                <c:pt idx="1">
                  <c:v>13450.7</c:v>
                </c:pt>
                <c:pt idx="2">
                  <c:v>14552.598</c:v>
                </c:pt>
                <c:pt idx="3">
                  <c:v>15437.906999999999</c:v>
                </c:pt>
              </c:numCache>
            </c:numRef>
          </c:val>
          <c:extLst>
            <c:ext xmlns:c16="http://schemas.microsoft.com/office/drawing/2014/chart" uri="{C3380CC4-5D6E-409C-BE32-E72D297353CC}">
              <c16:uniqueId val="{00000000-7705-4F33-B2A2-A491159F3B5C}"/>
            </c:ext>
          </c:extLst>
        </c:ser>
        <c:dLbls>
          <c:showLegendKey val="0"/>
          <c:showVal val="1"/>
          <c:showCatName val="0"/>
          <c:showSerName val="0"/>
          <c:showPercent val="0"/>
          <c:showBubbleSize val="0"/>
        </c:dLbls>
        <c:gapWidth val="75"/>
        <c:axId val="436501656"/>
        <c:axId val="436497392"/>
      </c:barChart>
      <c:lineChart>
        <c:grouping val="standard"/>
        <c:varyColors val="0"/>
        <c:ser>
          <c:idx val="1"/>
          <c:order val="1"/>
          <c:tx>
            <c:strRef>
              <c:f>'Market BB quarts'!$B$188</c:f>
              <c:strCache>
                <c:ptCount val="1"/>
                <c:pt idx="0">
                  <c:v>Homes added</c:v>
                </c:pt>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404040"/>
                    </a:solidFill>
                    <a:latin typeface="Roboto" pitchFamily="2" charset="0"/>
                    <a:ea typeface="Roboto" pitchFamily="2"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quarts'!$K$186:$AB$186</c:f>
              <c:strCache>
                <c:ptCount val="4"/>
                <c:pt idx="0">
                  <c:v>1Q23</c:v>
                </c:pt>
                <c:pt idx="1">
                  <c:v>2Q23</c:v>
                </c:pt>
                <c:pt idx="2">
                  <c:v>3Q23</c:v>
                </c:pt>
                <c:pt idx="3">
                  <c:v>4Q23</c:v>
                </c:pt>
              </c:strCache>
            </c:strRef>
          </c:cat>
          <c:val>
            <c:numRef>
              <c:f>'Market BB quarts'!$K$188:$AB$188</c:f>
              <c:numCache>
                <c:formatCode>#,##0</c:formatCode>
                <c:ptCount val="10"/>
                <c:pt idx="0">
                  <c:v>927.35999999999876</c:v>
                </c:pt>
                <c:pt idx="1">
                  <c:v>963.12200000000121</c:v>
                </c:pt>
                <c:pt idx="2">
                  <c:v>1101.8979999999992</c:v>
                </c:pt>
                <c:pt idx="3">
                  <c:v>885.30899999999929</c:v>
                </c:pt>
              </c:numCache>
            </c:numRef>
          </c:val>
          <c:smooth val="0"/>
          <c:extLst>
            <c:ext xmlns:c16="http://schemas.microsoft.com/office/drawing/2014/chart" uri="{C3380CC4-5D6E-409C-BE32-E72D297353CC}">
              <c16:uniqueId val="{00000001-7705-4F33-B2A2-A491159F3B5C}"/>
            </c:ext>
          </c:extLst>
        </c:ser>
        <c:dLbls>
          <c:showLegendKey val="0"/>
          <c:showVal val="1"/>
          <c:showCatName val="0"/>
          <c:showSerName val="0"/>
          <c:showPercent val="0"/>
          <c:showBubbleSize val="0"/>
        </c:dLbls>
        <c:marker val="1"/>
        <c:smooth val="0"/>
        <c:axId val="505393440"/>
        <c:axId val="505389176"/>
      </c:lineChart>
      <c:catAx>
        <c:axId val="436501656"/>
        <c:scaling>
          <c:orientation val="minMax"/>
        </c:scaling>
        <c:delete val="0"/>
        <c:axPos val="b"/>
        <c:numFmt formatCode="General" sourceLinked="1"/>
        <c:majorTickMark val="none"/>
        <c:minorTickMark val="none"/>
        <c:tickLblPos val="nextTo"/>
        <c:spPr>
          <a:noFill/>
          <a:ln w="9525" cap="flat" cmpd="sng" algn="ctr">
            <a:solidFill>
              <a:srgbClr val="D9D9D9"/>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Roboto" pitchFamily="2" charset="0"/>
                <a:ea typeface="Roboto" pitchFamily="2" charset="0"/>
                <a:cs typeface="+mn-cs"/>
              </a:defRPr>
            </a:pPr>
            <a:endParaRPr lang="en-US"/>
          </a:p>
        </c:txPr>
        <c:crossAx val="436497392"/>
        <c:crosses val="autoZero"/>
        <c:auto val="1"/>
        <c:lblAlgn val="ctr"/>
        <c:lblOffset val="100"/>
        <c:noMultiLvlLbl val="0"/>
      </c:catAx>
      <c:valAx>
        <c:axId val="436497392"/>
        <c:scaling>
          <c:orientation val="minMax"/>
        </c:scaling>
        <c:delete val="0"/>
        <c:axPos val="l"/>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436501656"/>
        <c:crosses val="autoZero"/>
        <c:crossBetween val="between"/>
      </c:valAx>
      <c:valAx>
        <c:axId val="505389176"/>
        <c:scaling>
          <c:orientation val="minMax"/>
        </c:scaling>
        <c:delete val="0"/>
        <c:axPos val="r"/>
        <c:numFmt formatCode="#,##0" sourceLinked="1"/>
        <c:majorTickMark val="out"/>
        <c:minorTickMark val="none"/>
        <c:tickLblPos val="none"/>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505393440"/>
        <c:crosses val="max"/>
        <c:crossBetween val="between"/>
      </c:valAx>
      <c:catAx>
        <c:axId val="505393440"/>
        <c:scaling>
          <c:orientation val="minMax"/>
        </c:scaling>
        <c:delete val="1"/>
        <c:axPos val="b"/>
        <c:numFmt formatCode="General" sourceLinked="1"/>
        <c:majorTickMark val="out"/>
        <c:minorTickMark val="none"/>
        <c:tickLblPos val="nextTo"/>
        <c:crossAx val="50538917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Roboto" panose="02000000000000000000" pitchFamily="2" charset="0"/>
              <a:ea typeface="Roboto" panose="02000000000000000000"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sz="1200">
          <a:solidFill>
            <a:schemeClr val="tx1"/>
          </a:solidFill>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'Market BB quarts'!$B$212</c:f>
              <c:strCache>
                <c:ptCount val="1"/>
                <c:pt idx="0">
                  <c:v>TV</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'Market BB quarts'!$C$211:$F$211</c:f>
            </c:multiLvlStrRef>
          </c:cat>
          <c:val>
            <c:numRef>
              <c:f>'Market BB quarts'!$C$212:$F$212</c:f>
            </c:numRef>
          </c:val>
          <c:extLst>
            <c:ext xmlns:c16="http://schemas.microsoft.com/office/drawing/2014/chart" uri="{C3380CC4-5D6E-409C-BE32-E72D297353CC}">
              <c16:uniqueId val="{00000000-3847-4986-8373-DD0E19E8F0E7}"/>
            </c:ext>
          </c:extLst>
        </c:ser>
        <c:ser>
          <c:idx val="1"/>
          <c:order val="1"/>
          <c:tx>
            <c:strRef>
              <c:f>'Market BB quarts'!$B$213</c:f>
              <c:strCache>
                <c:ptCount val="1"/>
                <c:pt idx="0">
                  <c:v>Totalplay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'Market BB quarts'!$C$211:$F$211</c:f>
            </c:multiLvlStrRef>
          </c:cat>
          <c:val>
            <c:numRef>
              <c:f>'Market BB quarts'!$C$213:$F$213</c:f>
            </c:numRef>
          </c:val>
          <c:extLst>
            <c:ext xmlns:c16="http://schemas.microsoft.com/office/drawing/2014/chart" uri="{C3380CC4-5D6E-409C-BE32-E72D297353CC}">
              <c16:uniqueId val="{00000002-3847-4986-8373-DD0E19E8F0E7}"/>
            </c:ext>
          </c:extLst>
        </c:ser>
        <c:ser>
          <c:idx val="2"/>
          <c:order val="2"/>
          <c:tx>
            <c:strRef>
              <c:f>'Market BB quarts'!$B$214</c:f>
              <c:strCache>
                <c:ptCount val="1"/>
                <c:pt idx="0">
                  <c:v>MEGA</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'Market BB quarts'!$C$211:$F$211</c:f>
            </c:multiLvlStrRef>
          </c:cat>
          <c:val>
            <c:numRef>
              <c:f>'Market BB quarts'!$C$214:$F$214</c:f>
            </c:numRef>
          </c:val>
          <c:extLst>
            <c:ext xmlns:c16="http://schemas.microsoft.com/office/drawing/2014/chart" uri="{C3380CC4-5D6E-409C-BE32-E72D297353CC}">
              <c16:uniqueId val="{00000004-3847-4986-8373-DD0E19E8F0E7}"/>
            </c:ext>
          </c:extLst>
        </c:ser>
        <c:ser>
          <c:idx val="3"/>
          <c:order val="3"/>
          <c:tx>
            <c:strRef>
              <c:f>'Market BB quarts'!$B$215</c:f>
              <c:strCache>
                <c:ptCount val="1"/>
                <c:pt idx="0">
                  <c:v>Telmex</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'Market BB quarts'!$C$211:$F$211</c:f>
            </c:multiLvlStrRef>
          </c:cat>
          <c:val>
            <c:numRef>
              <c:f>'Market BB quarts'!$C$215:$F$215</c:f>
            </c:numRef>
          </c:val>
          <c:extLst>
            <c:ext xmlns:c16="http://schemas.microsoft.com/office/drawing/2014/chart" uri="{C3380CC4-5D6E-409C-BE32-E72D297353CC}">
              <c16:uniqueId val="{00000006-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'Market BB quarts'!$B$253</c:f>
              <c:strCache>
                <c:ptCount val="1"/>
                <c:pt idx="0">
                  <c:v>MEGA </c:v>
                </c:pt>
              </c:strCache>
            </c:strRef>
          </c:tx>
          <c:spPr>
            <a:ln w="28575" cap="rnd">
              <a:solidFill>
                <a:srgbClr val="263238"/>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quarts'!$K$252:$AB$252</c:f>
              <c:strCache>
                <c:ptCount val="4"/>
                <c:pt idx="0">
                  <c:v>1Q23</c:v>
                </c:pt>
                <c:pt idx="1">
                  <c:v>2Q23</c:v>
                </c:pt>
                <c:pt idx="2">
                  <c:v>3Q23</c:v>
                </c:pt>
                <c:pt idx="3">
                  <c:v>4Q23</c:v>
                </c:pt>
              </c:strCache>
            </c:strRef>
          </c:cat>
          <c:val>
            <c:numRef>
              <c:f>'Market BB quarts'!$K$253:$AB$253</c:f>
              <c:numCache>
                <c:formatCode>0.0%</c:formatCode>
                <c:ptCount val="10"/>
                <c:pt idx="0">
                  <c:v>8.9869508623792393E-2</c:v>
                </c:pt>
                <c:pt idx="1">
                  <c:v>0.10365045966389808</c:v>
                </c:pt>
                <c:pt idx="2">
                  <c:v>0.11189830314752292</c:v>
                </c:pt>
                <c:pt idx="3">
                  <c:v>9.461512366868674E-2</c:v>
                </c:pt>
              </c:numCache>
            </c:numRef>
          </c:val>
          <c:smooth val="0"/>
          <c:extLst>
            <c:ext xmlns:c16="http://schemas.microsoft.com/office/drawing/2014/chart" uri="{C3380CC4-5D6E-409C-BE32-E72D297353CC}">
              <c16:uniqueId val="{00000000-96AF-4D4E-A9CA-D5AA75EDF64E}"/>
            </c:ext>
          </c:extLst>
        </c:ser>
        <c:ser>
          <c:idx val="1"/>
          <c:order val="1"/>
          <c:tx>
            <c:strRef>
              <c:f>'Market BB quarts'!$B$255</c:f>
              <c:strCache>
                <c:ptCount val="1"/>
                <c:pt idx="0">
                  <c:v>TV (Cable)</c:v>
                </c:pt>
              </c:strCache>
            </c:strRef>
          </c:tx>
          <c:spPr>
            <a:ln w="28575" cap="rnd">
              <a:solidFill>
                <a:srgbClr val="79909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quarts'!$K$252:$AB$252</c:f>
              <c:strCache>
                <c:ptCount val="4"/>
                <c:pt idx="0">
                  <c:v>1Q23</c:v>
                </c:pt>
                <c:pt idx="1">
                  <c:v>2Q23</c:v>
                </c:pt>
                <c:pt idx="2">
                  <c:v>3Q23</c:v>
                </c:pt>
                <c:pt idx="3">
                  <c:v>4Q23</c:v>
                </c:pt>
              </c:strCache>
            </c:strRef>
          </c:cat>
          <c:val>
            <c:numRef>
              <c:f>'Market BB quarts'!$K$255:$AB$255</c:f>
              <c:numCache>
                <c:formatCode>0.0%</c:formatCode>
                <c:ptCount val="10"/>
                <c:pt idx="0">
                  <c:v>2.695582193231405E-2</c:v>
                </c:pt>
                <c:pt idx="1">
                  <c:v>3.0489191489361911E-2</c:v>
                </c:pt>
                <c:pt idx="2">
                  <c:v>2.6026303049862864E-2</c:v>
                </c:pt>
                <c:pt idx="3">
                  <c:v>2.6662801986633511E-2</c:v>
                </c:pt>
              </c:numCache>
            </c:numRef>
          </c:val>
          <c:smooth val="0"/>
          <c:extLst>
            <c:ext xmlns:c16="http://schemas.microsoft.com/office/drawing/2014/chart" uri="{C3380CC4-5D6E-409C-BE32-E72D297353CC}">
              <c16:uniqueId val="{00000001-96AF-4D4E-A9CA-D5AA75EDF64E}"/>
            </c:ext>
          </c:extLst>
        </c:ser>
        <c:ser>
          <c:idx val="2"/>
          <c:order val="2"/>
          <c:tx>
            <c:strRef>
              <c:f>'Market BB quarts'!$B$254</c:f>
              <c:strCache>
                <c:ptCount val="1"/>
                <c:pt idx="0">
                  <c:v>MEGA - Residential</c:v>
                </c:pt>
              </c:strCache>
            </c:strRef>
          </c:tx>
          <c:spPr>
            <a:ln w="28575" cap="rnd">
              <a:solidFill>
                <a:srgbClr val="263238"/>
              </a:solidFill>
              <a:prstDash val="sysDash"/>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quarts'!$K$252:$AB$252</c:f>
              <c:strCache>
                <c:ptCount val="4"/>
                <c:pt idx="0">
                  <c:v>1Q23</c:v>
                </c:pt>
                <c:pt idx="1">
                  <c:v>2Q23</c:v>
                </c:pt>
                <c:pt idx="2">
                  <c:v>3Q23</c:v>
                </c:pt>
                <c:pt idx="3">
                  <c:v>4Q23</c:v>
                </c:pt>
              </c:strCache>
            </c:strRef>
          </c:cat>
          <c:val>
            <c:numRef>
              <c:f>'Market BB quarts'!$K$254:$AB$254</c:f>
              <c:numCache>
                <c:formatCode>0.0%</c:formatCode>
                <c:ptCount val="10"/>
                <c:pt idx="0">
                  <c:v>7.2923940366890427E-2</c:v>
                </c:pt>
                <c:pt idx="1">
                  <c:v>9.4708799224996865E-2</c:v>
                </c:pt>
                <c:pt idx="2">
                  <c:v>0.13977077522163039</c:v>
                </c:pt>
                <c:pt idx="3">
                  <c:v>0.14525422522682807</c:v>
                </c:pt>
              </c:numCache>
            </c:numRef>
          </c:val>
          <c:smooth val="0"/>
          <c:extLst>
            <c:ext xmlns:c16="http://schemas.microsoft.com/office/drawing/2014/chart" uri="{C3380CC4-5D6E-409C-BE32-E72D297353CC}">
              <c16:uniqueId val="{00000000-A3EC-4BD8-A2F4-787A7F557DCB}"/>
            </c:ext>
          </c:extLst>
        </c:ser>
        <c:ser>
          <c:idx val="3"/>
          <c:order val="3"/>
          <c:tx>
            <c:strRef>
              <c:f>'Market BB quarts'!$B$256</c:f>
              <c:strCache>
                <c:ptCount val="1"/>
                <c:pt idx="0">
                  <c:v>TV (Residential Cable)</c:v>
                </c:pt>
              </c:strCache>
            </c:strRef>
          </c:tx>
          <c:spPr>
            <a:ln w="28575" cap="rnd">
              <a:solidFill>
                <a:srgbClr val="799098"/>
              </a:solidFill>
              <a:prstDash val="sysDash"/>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quarts'!$K$252:$AB$252</c:f>
              <c:strCache>
                <c:ptCount val="4"/>
                <c:pt idx="0">
                  <c:v>1Q23</c:v>
                </c:pt>
                <c:pt idx="1">
                  <c:v>2Q23</c:v>
                </c:pt>
                <c:pt idx="2">
                  <c:v>3Q23</c:v>
                </c:pt>
                <c:pt idx="3">
                  <c:v>4Q23</c:v>
                </c:pt>
              </c:strCache>
            </c:strRef>
          </c:cat>
          <c:val>
            <c:numRef>
              <c:f>'Market BB quarts'!$K$256:$AB$256</c:f>
              <c:numCache>
                <c:formatCode>0.0%</c:formatCode>
                <c:ptCount val="10"/>
                <c:pt idx="0">
                  <c:v>4.0164131379036405E-2</c:v>
                </c:pt>
                <c:pt idx="1">
                  <c:v>3.0000000000000027E-2</c:v>
                </c:pt>
                <c:pt idx="2">
                  <c:v>3.0000000000000027E-2</c:v>
                </c:pt>
                <c:pt idx="3">
                  <c:v>3.0000000000000027E-2</c:v>
                </c:pt>
              </c:numCache>
            </c:numRef>
          </c:val>
          <c:smooth val="0"/>
          <c:extLst>
            <c:ext xmlns:c16="http://schemas.microsoft.com/office/drawing/2014/chart" uri="{C3380CC4-5D6E-409C-BE32-E72D297353CC}">
              <c16:uniqueId val="{00000001-A3EC-4BD8-A2F4-787A7F557DCB}"/>
            </c:ext>
          </c:extLst>
        </c:ser>
        <c:dLbls>
          <c:showLegendKey val="0"/>
          <c:showVal val="1"/>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Core revenue</c:v>
          </c:tx>
          <c:spPr>
            <a:ln w="28575" cap="rnd">
              <a:solidFill>
                <a:schemeClr val="accent1"/>
              </a:solidFill>
              <a:round/>
            </a:ln>
            <a:effectLst/>
          </c:spPr>
          <c:marker>
            <c:symbol val="none"/>
          </c:marker>
          <c:cat>
            <c:multiLvlStrRef>
              <c:f>Quarts!$CM$4:$CU$4</c:f>
            </c:multiLvlStrRef>
          </c:cat>
          <c:val>
            <c:numRef>
              <c:f>Quarts!$CM$104:$CU$104</c:f>
            </c:numRef>
          </c:val>
          <c:smooth val="0"/>
          <c:extLst>
            <c:ext xmlns:c16="http://schemas.microsoft.com/office/drawing/2014/chart" uri="{C3380CC4-5D6E-409C-BE32-E72D297353CC}">
              <c16:uniqueId val="{00000000-BF99-47C3-B8BC-579B6860EFEF}"/>
            </c:ext>
          </c:extLst>
        </c:ser>
        <c:ser>
          <c:idx val="1"/>
          <c:order val="1"/>
          <c:tx>
            <c:v>Core EBITDA</c:v>
          </c:tx>
          <c:spPr>
            <a:ln w="28575" cap="rnd">
              <a:solidFill>
                <a:schemeClr val="accent2"/>
              </a:solidFill>
              <a:round/>
            </a:ln>
            <a:effectLst/>
          </c:spPr>
          <c:marker>
            <c:symbol val="none"/>
          </c:marker>
          <c:cat>
            <c:multiLvlStrRef>
              <c:f>Quarts!$CM$4:$CU$4</c:f>
            </c:multiLvlStrRef>
          </c:cat>
          <c:val>
            <c:numRef>
              <c:f>Quarts!$CM$111:$CU$111</c:f>
            </c:numRef>
          </c:val>
          <c:smooth val="0"/>
          <c:extLst>
            <c:ext xmlns:c16="http://schemas.microsoft.com/office/drawing/2014/chart" uri="{C3380CC4-5D6E-409C-BE32-E72D297353CC}">
              <c16:uniqueId val="{00000001-BF99-47C3-B8BC-579B6860EFEF}"/>
            </c:ext>
          </c:extLst>
        </c:ser>
        <c:dLbls>
          <c:showLegendKey val="0"/>
          <c:showVal val="0"/>
          <c:showCatName val="0"/>
          <c:showSerName val="0"/>
          <c:showPercent val="0"/>
          <c:showBubbleSize val="0"/>
        </c:dLbls>
        <c:marker val="1"/>
        <c:smooth val="0"/>
        <c:axId val="899544752"/>
        <c:axId val="982325200"/>
      </c:lineChart>
      <c:catAx>
        <c:axId val="899544752"/>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82325200"/>
        <c:crosses val="autoZero"/>
        <c:auto val="1"/>
        <c:lblAlgn val="ctr"/>
        <c:lblOffset val="100"/>
        <c:noMultiLvlLbl val="0"/>
      </c:catAx>
      <c:valAx>
        <c:axId val="982325200"/>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GB"/>
                  <a:t>y/y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99544752"/>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'Market BB quarts'!$B$299</c:f>
              <c:strCache>
                <c:ptCount val="1"/>
                <c:pt idx="0">
                  <c:v>MEGA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'Market BB quarts'!$C$298:$H$298</c:f>
            </c:multiLvlStrRef>
          </c:cat>
          <c:val>
            <c:numRef>
              <c:f>'Market BB quarts'!$C$299:$H$299</c:f>
            </c:numRef>
          </c:val>
          <c:extLst>
            <c:ext xmlns:c16="http://schemas.microsoft.com/office/drawing/2014/chart" uri="{C3380CC4-5D6E-409C-BE32-E72D297353CC}">
              <c16:uniqueId val="{00000000-3847-4986-8373-DD0E19E8F0E7}"/>
            </c:ext>
          </c:extLst>
        </c:ser>
        <c:ser>
          <c:idx val="1"/>
          <c:order val="1"/>
          <c:tx>
            <c:strRef>
              <c:f>'Market BB quarts'!$B$301</c:f>
              <c:strCache>
                <c:ptCount val="1"/>
                <c:pt idx="0">
                  <c:v>TV (Cable)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'Market BB quarts'!$C$298:$H$298</c:f>
            </c:multiLvlStrRef>
          </c:cat>
          <c:val>
            <c:numRef>
              <c:f>'Market BB quarts'!$C$301:$H$301</c:f>
            </c:numRef>
          </c:val>
          <c:extLst>
            <c:ext xmlns:c16="http://schemas.microsoft.com/office/drawing/2014/chart" uri="{C3380CC4-5D6E-409C-BE32-E72D297353CC}">
              <c16:uniqueId val="{00000002-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3"/>
          <c:order val="0"/>
          <c:tx>
            <c:strRef>
              <c:f>'Market BB quarts'!$B$282</c:f>
              <c:strCache>
                <c:ptCount val="1"/>
                <c:pt idx="0">
                  <c:v>MEGA (Cable)</c:v>
                </c:pt>
              </c:strCache>
            </c:strRef>
          </c:tx>
          <c:spPr>
            <a:ln w="28575" cap="rnd">
              <a:solidFill>
                <a:srgbClr val="263238"/>
              </a:solidFill>
              <a:prstDash val="solid"/>
              <a:round/>
            </a:ln>
            <a:effectLst/>
          </c:spPr>
          <c:marker>
            <c:symbol val="none"/>
          </c:marker>
          <c:cat>
            <c:strRef>
              <c:f>'Market BB quarts'!$C$280:$AB$280</c:f>
              <c:strCache>
                <c:ptCount val="4"/>
                <c:pt idx="0">
                  <c:v>1Q23</c:v>
                </c:pt>
                <c:pt idx="1">
                  <c:v>2Q23</c:v>
                </c:pt>
                <c:pt idx="2">
                  <c:v>3Q23</c:v>
                </c:pt>
                <c:pt idx="3">
                  <c:v>4Q23</c:v>
                </c:pt>
              </c:strCache>
            </c:strRef>
          </c:cat>
          <c:val>
            <c:numRef>
              <c:f>'Market BB quarts'!$C$282:$AB$282</c:f>
              <c:numCache>
                <c:formatCode>0.0%</c:formatCode>
                <c:ptCount val="10"/>
                <c:pt idx="0">
                  <c:v>8.0529148597552336E-3</c:v>
                </c:pt>
                <c:pt idx="1">
                  <c:v>9.2038549644968271E-3</c:v>
                </c:pt>
                <c:pt idx="2">
                  <c:v>5.3525631668893014E-2</c:v>
                </c:pt>
                <c:pt idx="3">
                  <c:v>0.11403042596348878</c:v>
                </c:pt>
              </c:numCache>
            </c:numRef>
          </c:val>
          <c:smooth val="0"/>
          <c:extLst>
            <c:ext xmlns:c16="http://schemas.microsoft.com/office/drawing/2014/chart" uri="{C3380CC4-5D6E-409C-BE32-E72D297353CC}">
              <c16:uniqueId val="{00000000-86CB-414B-ABEA-2A92DFA0C11A}"/>
            </c:ext>
          </c:extLst>
        </c:ser>
        <c:ser>
          <c:idx val="1"/>
          <c:order val="1"/>
          <c:tx>
            <c:strRef>
              <c:f>'Market BB quarts'!$B$283</c:f>
              <c:strCache>
                <c:ptCount val="1"/>
                <c:pt idx="0">
                  <c:v>TV (Cable)</c:v>
                </c:pt>
              </c:strCache>
            </c:strRef>
          </c:tx>
          <c:spPr>
            <a:ln w="28575" cap="rnd">
              <a:solidFill>
                <a:srgbClr val="799098"/>
              </a:solidFill>
              <a:prstDash val="solid"/>
              <a:round/>
            </a:ln>
            <a:effectLst/>
          </c:spPr>
          <c:marker>
            <c:symbol val="none"/>
          </c:marker>
          <c:cat>
            <c:strRef>
              <c:f>'Market BB quarts'!$C$280:$AB$280</c:f>
              <c:strCache>
                <c:ptCount val="4"/>
                <c:pt idx="0">
                  <c:v>1Q23</c:v>
                </c:pt>
                <c:pt idx="1">
                  <c:v>2Q23</c:v>
                </c:pt>
                <c:pt idx="2">
                  <c:v>3Q23</c:v>
                </c:pt>
                <c:pt idx="3">
                  <c:v>4Q23</c:v>
                </c:pt>
              </c:strCache>
            </c:strRef>
          </c:cat>
          <c:val>
            <c:numRef>
              <c:f>'Market BB quarts'!$C$283:$AB$283</c:f>
              <c:numCache>
                <c:formatCode>0.0%</c:formatCode>
                <c:ptCount val="10"/>
                <c:pt idx="0">
                  <c:v>-4.478541160404137E-3</c:v>
                </c:pt>
                <c:pt idx="1">
                  <c:v>-3.0655519205137538E-2</c:v>
                </c:pt>
                <c:pt idx="2">
                  <c:v>7.6540998290042239E-3</c:v>
                </c:pt>
                <c:pt idx="3">
                  <c:v>-2.3277098116339934E-2</c:v>
                </c:pt>
              </c:numCache>
            </c:numRef>
          </c:val>
          <c:smooth val="0"/>
          <c:extLst>
            <c:ext xmlns:c16="http://schemas.microsoft.com/office/drawing/2014/chart" uri="{C3380CC4-5D6E-409C-BE32-E72D297353CC}">
              <c16:uniqueId val="{00000001-96AF-4D4E-A9CA-D5AA75EDF64E}"/>
            </c:ext>
          </c:extLst>
        </c:ser>
        <c:ser>
          <c:idx val="2"/>
          <c:order val="2"/>
          <c:tx>
            <c:strRef>
              <c:f>'Market BB quarts'!$B$285</c:f>
              <c:strCache>
                <c:ptCount val="1"/>
                <c:pt idx="0">
                  <c:v>Inflation</c:v>
                </c:pt>
              </c:strCache>
            </c:strRef>
          </c:tx>
          <c:spPr>
            <a:ln w="38100" cap="rnd">
              <a:solidFill>
                <a:srgbClr val="F9663E"/>
              </a:solidFill>
              <a:round/>
            </a:ln>
            <a:effectLst/>
          </c:spPr>
          <c:marker>
            <c:symbol val="none"/>
          </c:marker>
          <c:cat>
            <c:strRef>
              <c:f>'Market BB quarts'!$C$280:$AB$280</c:f>
              <c:strCache>
                <c:ptCount val="4"/>
                <c:pt idx="0">
                  <c:v>1Q23</c:v>
                </c:pt>
                <c:pt idx="1">
                  <c:v>2Q23</c:v>
                </c:pt>
                <c:pt idx="2">
                  <c:v>3Q23</c:v>
                </c:pt>
                <c:pt idx="3">
                  <c:v>4Q23</c:v>
                </c:pt>
              </c:strCache>
            </c:strRef>
          </c:cat>
          <c:val>
            <c:numRef>
              <c:f>'Market BB quarts'!$C$285:$AB$285</c:f>
              <c:numCache>
                <c:formatCode>0.0%</c:formatCode>
                <c:ptCount val="10"/>
                <c:pt idx="0">
                  <c:v>7.4593333333333331E-2</c:v>
                </c:pt>
                <c:pt idx="1">
                  <c:v>5.7146666666666672E-2</c:v>
                </c:pt>
              </c:numCache>
            </c:numRef>
          </c:val>
          <c:smooth val="0"/>
          <c:extLst>
            <c:ext xmlns:c16="http://schemas.microsoft.com/office/drawing/2014/chart" uri="{C3380CC4-5D6E-409C-BE32-E72D297353CC}">
              <c16:uniqueId val="{00000002-96AF-4D4E-A9CA-D5AA75EDF64E}"/>
            </c:ext>
          </c:extLst>
        </c:ser>
        <c:dLbls>
          <c:showLegendKey val="0"/>
          <c:showVal val="0"/>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'Market BB quarts'!$B$327</c:f>
              <c:strCache>
                <c:ptCount val="1"/>
                <c:pt idx="0">
                  <c:v>MEGA </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'Market BB quarts'!$C$326:$J$326</c:f>
            </c:multiLvlStrRef>
          </c:cat>
          <c:val>
            <c:numRef>
              <c:f>'Market BB quarts'!$C$327:$J$327</c:f>
            </c:numRef>
          </c:val>
          <c:smooth val="0"/>
          <c:extLst>
            <c:ext xmlns:c16="http://schemas.microsoft.com/office/drawing/2014/chart" uri="{C3380CC4-5D6E-409C-BE32-E72D297353CC}">
              <c16:uniqueId val="{00000000-96AF-4D4E-A9CA-D5AA75EDF64E}"/>
            </c:ext>
          </c:extLst>
        </c:ser>
        <c:ser>
          <c:idx val="1"/>
          <c:order val="1"/>
          <c:tx>
            <c:strRef>
              <c:f>'Market BB quarts'!$B$328</c:f>
              <c:strCache>
                <c:ptCount val="1"/>
                <c:pt idx="0">
                  <c:v>TV (cable)</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'Market BB quarts'!$C$326:$J$326</c:f>
            </c:multiLvlStrRef>
          </c:cat>
          <c:val>
            <c:numRef>
              <c:f>'Market BB quarts'!$C$328:$J$328</c:f>
            </c:numRef>
          </c:val>
          <c:smooth val="0"/>
          <c:extLst>
            <c:ext xmlns:c16="http://schemas.microsoft.com/office/drawing/2014/chart" uri="{C3380CC4-5D6E-409C-BE32-E72D297353CC}">
              <c16:uniqueId val="{00000001-96AF-4D4E-A9CA-D5AA75EDF64E}"/>
            </c:ext>
          </c:extLst>
        </c:ser>
        <c:ser>
          <c:idx val="2"/>
          <c:order val="2"/>
          <c:tx>
            <c:strRef>
              <c:f>'Market BB quarts'!$B$329</c:f>
              <c:strCache>
                <c:ptCount val="1"/>
                <c:pt idx="0">
                  <c:v>Totalplay</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'Market BB quarts'!$C$326:$J$326</c:f>
            </c:multiLvlStrRef>
          </c:cat>
          <c:val>
            <c:numRef>
              <c:f>'Market BB quarts'!$C$329:$J$329</c:f>
            </c:numRef>
          </c:val>
          <c:smooth val="0"/>
          <c:extLst>
            <c:ext xmlns:c16="http://schemas.microsoft.com/office/drawing/2014/chart" uri="{C3380CC4-5D6E-409C-BE32-E72D297353CC}">
              <c16:uniqueId val="{00000000-683D-4877-A805-40FF0C019859}"/>
            </c:ext>
          </c:extLst>
        </c:ser>
        <c:dLbls>
          <c:showLegendKey val="0"/>
          <c:showVal val="1"/>
          <c:showCatName val="0"/>
          <c:showSerName val="0"/>
          <c:showPercent val="0"/>
          <c:showBubbleSize val="0"/>
        </c:dLbls>
        <c:marker val="1"/>
        <c:smooth val="0"/>
        <c:axId val="1495160607"/>
        <c:axId val="1495161855"/>
      </c:line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'Market BB quarts'!$B$335</c:f>
              <c:strCache>
                <c:ptCount val="1"/>
                <c:pt idx="0">
                  <c:v>MEGA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'Market BB quarts'!$C$334:$G$334</c:f>
            </c:multiLvlStrRef>
          </c:cat>
          <c:val>
            <c:numRef>
              <c:f>'Market BB quarts'!$C$335:$G$335</c:f>
            </c:numRef>
          </c:val>
          <c:extLst>
            <c:ext xmlns:c16="http://schemas.microsoft.com/office/drawing/2014/chart" uri="{C3380CC4-5D6E-409C-BE32-E72D297353CC}">
              <c16:uniqueId val="{00000000-3847-4986-8373-DD0E19E8F0E7}"/>
            </c:ext>
          </c:extLst>
        </c:ser>
        <c:ser>
          <c:idx val="1"/>
          <c:order val="1"/>
          <c:tx>
            <c:strRef>
              <c:f>'Market BB quarts'!$B$336</c:f>
              <c:strCache>
                <c:ptCount val="1"/>
                <c:pt idx="0">
                  <c:v>TV (cable)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'Market BB quarts'!$C$334:$G$334</c:f>
            </c:multiLvlStrRef>
          </c:cat>
          <c:val>
            <c:numRef>
              <c:f>'Market BB quarts'!$C$336:$G$336</c:f>
            </c:numRef>
          </c:val>
          <c:extLst>
            <c:ext xmlns:c16="http://schemas.microsoft.com/office/drawing/2014/chart" uri="{C3380CC4-5D6E-409C-BE32-E72D297353CC}">
              <c16:uniqueId val="{00000002-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1"/>
          <c:order val="0"/>
          <c:tx>
            <c:strRef>
              <c:f>'Market BB quarts'!$B$300</c:f>
              <c:strCache>
                <c:ptCount val="1"/>
                <c:pt idx="0">
                  <c:v>MEGA (Cable)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'Market BB quarts'!$C$298:$H$298</c:f>
            </c:multiLvlStrRef>
          </c:cat>
          <c:val>
            <c:numRef>
              <c:f>'Market BB quarts'!$C$300:$H$300</c:f>
            </c:numRef>
          </c:val>
          <c:extLst>
            <c:ext xmlns:c16="http://schemas.microsoft.com/office/drawing/2014/chart" uri="{C3380CC4-5D6E-409C-BE32-E72D297353CC}">
              <c16:uniqueId val="{00000002-3847-4986-8373-DD0E19E8F0E7}"/>
            </c:ext>
          </c:extLst>
        </c:ser>
        <c:ser>
          <c:idx val="2"/>
          <c:order val="1"/>
          <c:tx>
            <c:strRef>
              <c:f>'Market BB quarts'!$B$301</c:f>
              <c:strCache>
                <c:ptCount val="1"/>
                <c:pt idx="0">
                  <c:v>TV (Cable)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'Market BB quarts'!$C$298:$H$298</c:f>
            </c:multiLvlStrRef>
          </c:cat>
          <c:val>
            <c:numRef>
              <c:f>'Market BB quarts'!$C$301:$H$301</c:f>
            </c:numRef>
          </c:val>
          <c:extLst>
            <c:ext xmlns:c16="http://schemas.microsoft.com/office/drawing/2014/chart" uri="{C3380CC4-5D6E-409C-BE32-E72D297353CC}">
              <c16:uniqueId val="{00000004-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0891086218967533E-2"/>
          <c:y val="5.0065637233065396E-2"/>
          <c:w val="0.94336634193189284"/>
          <c:h val="0.73903438903616303"/>
        </c:manualLayout>
      </c:layout>
      <c:lineChart>
        <c:grouping val="standard"/>
        <c:varyColors val="0"/>
        <c:ser>
          <c:idx val="1"/>
          <c:order val="0"/>
          <c:tx>
            <c:strRef>
              <c:f>'Market BB quarts'!$B$11</c:f>
              <c:strCache>
                <c:ptCount val="1"/>
                <c:pt idx="0">
                  <c:v>MEGA</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quarts'!$AH$2:$AN$2</c:f>
              <c:strCache>
                <c:ptCount val="7"/>
                <c:pt idx="0">
                  <c:v>Q1 22</c:v>
                </c:pt>
                <c:pt idx="1">
                  <c:v>Q2 22</c:v>
                </c:pt>
                <c:pt idx="2">
                  <c:v>Q3 22</c:v>
                </c:pt>
                <c:pt idx="3">
                  <c:v>Q4 22</c:v>
                </c:pt>
                <c:pt idx="4">
                  <c:v>Q1 23</c:v>
                </c:pt>
                <c:pt idx="5">
                  <c:v>Q2 23</c:v>
                </c:pt>
                <c:pt idx="6">
                  <c:v>Q3 23</c:v>
                </c:pt>
              </c:strCache>
            </c:strRef>
          </c:cat>
          <c:val>
            <c:numRef>
              <c:f>'Market BB quarts'!$AH$11:$AN$11</c:f>
              <c:numCache>
                <c:formatCode>0.0%</c:formatCode>
                <c:ptCount val="7"/>
                <c:pt idx="0">
                  <c:v>7.5095097235112318E-2</c:v>
                </c:pt>
                <c:pt idx="1">
                  <c:v>8.190036532713374E-2</c:v>
                </c:pt>
                <c:pt idx="2">
                  <c:v>5.0537467535740621E-2</c:v>
                </c:pt>
                <c:pt idx="3">
                  <c:v>8.982001014520069E-3</c:v>
                </c:pt>
                <c:pt idx="4">
                  <c:v>1.2453817390679633E-2</c:v>
                </c:pt>
                <c:pt idx="5">
                  <c:v>9.1392380039059251E-3</c:v>
                </c:pt>
                <c:pt idx="6">
                  <c:v>4.3630639395005E-2</c:v>
                </c:pt>
              </c:numCache>
            </c:numRef>
          </c:val>
          <c:smooth val="0"/>
          <c:extLst>
            <c:ext xmlns:c16="http://schemas.microsoft.com/office/drawing/2014/chart" uri="{C3380CC4-5D6E-409C-BE32-E72D297353CC}">
              <c16:uniqueId val="{00000001-96AF-4D4E-A9CA-D5AA75EDF64E}"/>
            </c:ext>
          </c:extLst>
        </c:ser>
        <c:ser>
          <c:idx val="2"/>
          <c:order val="1"/>
          <c:tx>
            <c:v>Izzy (TV retail cable)</c:v>
          </c:tx>
          <c:spPr>
            <a:ln w="25400" cap="rnd">
              <a:solidFill>
                <a:srgbClr val="F9663E"/>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quarts'!$AH$2:$AN$2</c:f>
              <c:strCache>
                <c:ptCount val="7"/>
                <c:pt idx="0">
                  <c:v>Q1 22</c:v>
                </c:pt>
                <c:pt idx="1">
                  <c:v>Q2 22</c:v>
                </c:pt>
                <c:pt idx="2">
                  <c:v>Q3 22</c:v>
                </c:pt>
                <c:pt idx="3">
                  <c:v>Q4 22</c:v>
                </c:pt>
                <c:pt idx="4">
                  <c:v>Q1 23</c:v>
                </c:pt>
                <c:pt idx="5">
                  <c:v>Q2 23</c:v>
                </c:pt>
                <c:pt idx="6">
                  <c:v>Q3 23</c:v>
                </c:pt>
              </c:strCache>
            </c:strRef>
          </c:cat>
          <c:val>
            <c:numRef>
              <c:f>'Market BB quarts'!$AH$12:$AN$12</c:f>
              <c:numCache>
                <c:formatCode>0.0%</c:formatCode>
                <c:ptCount val="7"/>
                <c:pt idx="0">
                  <c:v>5.8691439293733882E-2</c:v>
                </c:pt>
                <c:pt idx="1">
                  <c:v>-4.1661941483329468E-2</c:v>
                </c:pt>
                <c:pt idx="2">
                  <c:v>-3.8753574598165752E-2</c:v>
                </c:pt>
                <c:pt idx="3">
                  <c:v>-0.12191983153215091</c:v>
                </c:pt>
                <c:pt idx="4">
                  <c:v>-2.266321875817201E-2</c:v>
                </c:pt>
                <c:pt idx="5">
                  <c:v>-2.7335256268027797E-2</c:v>
                </c:pt>
                <c:pt idx="6">
                  <c:v>-8.7695644527815197E-2</c:v>
                </c:pt>
              </c:numCache>
            </c:numRef>
          </c:val>
          <c:smooth val="0"/>
          <c:extLst>
            <c:ext xmlns:c16="http://schemas.microsoft.com/office/drawing/2014/chart" uri="{C3380CC4-5D6E-409C-BE32-E72D297353CC}">
              <c16:uniqueId val="{00000002-96AF-4D4E-A9CA-D5AA75EDF64E}"/>
            </c:ext>
          </c:extLst>
        </c:ser>
        <c:ser>
          <c:idx val="3"/>
          <c:order val="2"/>
          <c:tx>
            <c:v>Total Televisa cable</c:v>
          </c:tx>
          <c:spPr>
            <a:ln w="25400" cap="rnd">
              <a:solidFill>
                <a:srgbClr val="79909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quarts'!$AH$2:$AN$2</c:f>
              <c:strCache>
                <c:ptCount val="7"/>
                <c:pt idx="0">
                  <c:v>Q1 22</c:v>
                </c:pt>
                <c:pt idx="1">
                  <c:v>Q2 22</c:v>
                </c:pt>
                <c:pt idx="2">
                  <c:v>Q3 22</c:v>
                </c:pt>
                <c:pt idx="3">
                  <c:v>Q4 22</c:v>
                </c:pt>
                <c:pt idx="4">
                  <c:v>Q1 23</c:v>
                </c:pt>
                <c:pt idx="5">
                  <c:v>Q2 23</c:v>
                </c:pt>
                <c:pt idx="6">
                  <c:v>Q3 23</c:v>
                </c:pt>
              </c:strCache>
            </c:strRef>
          </c:cat>
          <c:val>
            <c:numRef>
              <c:f>'Market BB quarts'!#REF!</c:f>
              <c:numCache>
                <c:formatCode>0%</c:formatCode>
                <c:ptCount val="1"/>
                <c:pt idx="0">
                  <c:v>1</c:v>
                </c:pt>
              </c:numCache>
            </c:numRef>
          </c:val>
          <c:smooth val="0"/>
          <c:extLst>
            <c:ext xmlns:c16="http://schemas.microsoft.com/office/drawing/2014/chart" uri="{C3380CC4-5D6E-409C-BE32-E72D297353CC}">
              <c16:uniqueId val="{00000003-96AF-4D4E-A9CA-D5AA75EDF64E}"/>
            </c:ext>
          </c:extLst>
        </c:ser>
        <c:dLbls>
          <c:showLegendKey val="0"/>
          <c:showVal val="1"/>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out"/>
        <c:minorTickMark val="none"/>
        <c:tickLblPos val="nextTo"/>
        <c:crossAx val="1495160607"/>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extLst/>
  </c:chart>
  <c:spPr>
    <a:no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'Market BB quarts'!$B$22</c:f>
              <c:strCache>
                <c:ptCount val="1"/>
                <c:pt idx="0">
                  <c:v>Totalplay</c:v>
                </c:pt>
              </c:strCache>
            </c:strRef>
          </c:tx>
          <c:spPr>
            <a:solidFill>
              <a:schemeClr val="accent1"/>
            </a:solidFill>
            <a:ln>
              <a:noFill/>
            </a:ln>
            <a:effectLst/>
          </c:spPr>
          <c:invertIfNegative val="0"/>
          <c:cat>
            <c:multiLvlStrRef>
              <c:f>'Market BB quarts'!$C$2:$Q$2</c:f>
            </c:multiLvlStrRef>
          </c:cat>
          <c:val>
            <c:numRef>
              <c:f>'Market BB quarts'!$C$22:$Q$22</c:f>
            </c:numRef>
          </c:val>
          <c:extLst>
            <c:ext xmlns:c16="http://schemas.microsoft.com/office/drawing/2014/chart" uri="{C3380CC4-5D6E-409C-BE32-E72D297353CC}">
              <c16:uniqueId val="{00000000-0306-4CC0-91C2-1B0DB078D93D}"/>
            </c:ext>
          </c:extLst>
        </c:ser>
        <c:ser>
          <c:idx val="1"/>
          <c:order val="1"/>
          <c:tx>
            <c:strRef>
              <c:f>'Market BB quarts'!$B$23</c:f>
              <c:strCache>
                <c:ptCount val="1"/>
                <c:pt idx="0">
                  <c:v>MEGA</c:v>
                </c:pt>
              </c:strCache>
            </c:strRef>
          </c:tx>
          <c:spPr>
            <a:solidFill>
              <a:schemeClr val="accent2"/>
            </a:solidFill>
            <a:ln>
              <a:noFill/>
            </a:ln>
            <a:effectLst/>
          </c:spPr>
          <c:invertIfNegative val="0"/>
          <c:cat>
            <c:multiLvlStrRef>
              <c:f>'Market BB quarts'!$C$2:$Q$2</c:f>
            </c:multiLvlStrRef>
          </c:cat>
          <c:val>
            <c:numRef>
              <c:f>'Market BB quarts'!$C$23:$Q$23</c:f>
            </c:numRef>
          </c:val>
          <c:extLst>
            <c:ext xmlns:c16="http://schemas.microsoft.com/office/drawing/2014/chart" uri="{C3380CC4-5D6E-409C-BE32-E72D297353CC}">
              <c16:uniqueId val="{00000001-0306-4CC0-91C2-1B0DB078D93D}"/>
            </c:ext>
          </c:extLst>
        </c:ser>
        <c:ser>
          <c:idx val="2"/>
          <c:order val="2"/>
          <c:tx>
            <c:strRef>
              <c:f>'Market BB quarts'!$B$24</c:f>
              <c:strCache>
                <c:ptCount val="1"/>
                <c:pt idx="0">
                  <c:v>Televisa</c:v>
                </c:pt>
              </c:strCache>
            </c:strRef>
          </c:tx>
          <c:spPr>
            <a:solidFill>
              <a:schemeClr val="accent3"/>
            </a:solidFill>
            <a:ln>
              <a:noFill/>
            </a:ln>
            <a:effectLst/>
          </c:spPr>
          <c:invertIfNegative val="0"/>
          <c:cat>
            <c:multiLvlStrRef>
              <c:f>'Market BB quarts'!$C$2:$Q$2</c:f>
            </c:multiLvlStrRef>
          </c:cat>
          <c:val>
            <c:numRef>
              <c:f>'Market BB quarts'!$C$24:$Q$24</c:f>
            </c:numRef>
          </c:val>
          <c:extLst>
            <c:ext xmlns:c16="http://schemas.microsoft.com/office/drawing/2014/chart" uri="{C3380CC4-5D6E-409C-BE32-E72D297353CC}">
              <c16:uniqueId val="{00000002-0306-4CC0-91C2-1B0DB078D93D}"/>
            </c:ext>
          </c:extLst>
        </c:ser>
        <c:dLbls>
          <c:showLegendKey val="0"/>
          <c:showVal val="0"/>
          <c:showCatName val="0"/>
          <c:showSerName val="0"/>
          <c:showPercent val="0"/>
          <c:showBubbleSize val="0"/>
        </c:dLbls>
        <c:gapWidth val="30"/>
        <c:overlap val="100"/>
        <c:axId val="1330196976"/>
        <c:axId val="303094720"/>
      </c:barChart>
      <c:catAx>
        <c:axId val="1330196976"/>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303094720"/>
        <c:crosses val="autoZero"/>
        <c:auto val="1"/>
        <c:lblAlgn val="ctr"/>
        <c:lblOffset val="100"/>
        <c:noMultiLvlLbl val="0"/>
      </c:catAx>
      <c:valAx>
        <c:axId val="303094720"/>
        <c:scaling>
          <c:orientation val="minMax"/>
        </c:scaling>
        <c:delete val="1"/>
        <c:axPos val="l"/>
        <c:numFmt formatCode="#,##0" sourceLinked="1"/>
        <c:majorTickMark val="out"/>
        <c:minorTickMark val="none"/>
        <c:tickLblPos val="nextTo"/>
        <c:crossAx val="133019697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2.3302180913995937E-2"/>
          <c:y val="3.6452239477383956E-2"/>
          <c:w val="0.95339563817200812"/>
          <c:h val="0.72805507341068754"/>
        </c:manualLayout>
      </c:layout>
      <c:lineChart>
        <c:grouping val="standard"/>
        <c:varyColors val="0"/>
        <c:ser>
          <c:idx val="1"/>
          <c:order val="0"/>
          <c:tx>
            <c:strRef>
              <c:f>'Market BB quarts'!$B$4</c:f>
              <c:strCache>
                <c:ptCount val="1"/>
                <c:pt idx="0">
                  <c:v>Megacable (Mass mkt)</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quarts'!$AH$2:$AO$2</c:f>
              <c:strCache>
                <c:ptCount val="8"/>
                <c:pt idx="0">
                  <c:v>Q1 22</c:v>
                </c:pt>
                <c:pt idx="1">
                  <c:v>Q2 22</c:v>
                </c:pt>
                <c:pt idx="2">
                  <c:v>Q3 22</c:v>
                </c:pt>
                <c:pt idx="3">
                  <c:v>Q4 22</c:v>
                </c:pt>
                <c:pt idx="4">
                  <c:v>Q1 23</c:v>
                </c:pt>
                <c:pt idx="5">
                  <c:v>Q2 23</c:v>
                </c:pt>
                <c:pt idx="6">
                  <c:v>Q3 23</c:v>
                </c:pt>
                <c:pt idx="7">
                  <c:v>Q4 23</c:v>
                </c:pt>
              </c:strCache>
            </c:strRef>
          </c:cat>
          <c:val>
            <c:numRef>
              <c:f>'Market BB quarts'!$AH$4:$AO$4</c:f>
              <c:numCache>
                <c:formatCode>0.0%</c:formatCode>
                <c:ptCount val="8"/>
                <c:pt idx="0">
                  <c:v>9.3221592856135072E-2</c:v>
                </c:pt>
                <c:pt idx="1">
                  <c:v>9.275740115239417E-2</c:v>
                </c:pt>
                <c:pt idx="2">
                  <c:v>6.4684167318125319E-2</c:v>
                </c:pt>
                <c:pt idx="3">
                  <c:v>5.2376956520599371E-2</c:v>
                </c:pt>
                <c:pt idx="4">
                  <c:v>7.2923940366890427E-2</c:v>
                </c:pt>
                <c:pt idx="5">
                  <c:v>9.4708799224996865E-2</c:v>
                </c:pt>
                <c:pt idx="6">
                  <c:v>0.13977077522163039</c:v>
                </c:pt>
                <c:pt idx="7">
                  <c:v>0.14525422522682807</c:v>
                </c:pt>
              </c:numCache>
            </c:numRef>
          </c:val>
          <c:smooth val="0"/>
          <c:extLst>
            <c:ext xmlns:c16="http://schemas.microsoft.com/office/drawing/2014/chart" uri="{C3380CC4-5D6E-409C-BE32-E72D297353CC}">
              <c16:uniqueId val="{00000000-702D-49EB-A127-F0F19370B115}"/>
            </c:ext>
          </c:extLst>
        </c:ser>
        <c:ser>
          <c:idx val="2"/>
          <c:order val="1"/>
          <c:spPr>
            <a:ln w="25400" cap="rnd">
              <a:solidFill>
                <a:srgbClr val="F9663E"/>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quarts'!$AH$2:$AO$2</c:f>
              <c:strCache>
                <c:ptCount val="8"/>
                <c:pt idx="0">
                  <c:v>Q1 22</c:v>
                </c:pt>
                <c:pt idx="1">
                  <c:v>Q2 22</c:v>
                </c:pt>
                <c:pt idx="2">
                  <c:v>Q3 22</c:v>
                </c:pt>
                <c:pt idx="3">
                  <c:v>Q4 22</c:v>
                </c:pt>
                <c:pt idx="4">
                  <c:v>Q1 23</c:v>
                </c:pt>
                <c:pt idx="5">
                  <c:v>Q2 23</c:v>
                </c:pt>
                <c:pt idx="6">
                  <c:v>Q3 23</c:v>
                </c:pt>
                <c:pt idx="7">
                  <c:v>Q4 23</c:v>
                </c:pt>
              </c:strCache>
            </c:strRef>
          </c:cat>
          <c:val>
            <c:numRef>
              <c:f>'Market BB quarts'!$AH$5:$AO$5</c:f>
              <c:numCache>
                <c:formatCode>0.0%</c:formatCode>
                <c:ptCount val="8"/>
                <c:pt idx="0">
                  <c:v>3.3979933110367844E-2</c:v>
                </c:pt>
                <c:pt idx="1">
                  <c:v>3.7917652626597187E-2</c:v>
                </c:pt>
                <c:pt idx="2">
                  <c:v>1.9495518802550071E-2</c:v>
                </c:pt>
                <c:pt idx="3">
                  <c:v>9.1601808478829483E-3</c:v>
                </c:pt>
                <c:pt idx="4">
                  <c:v>4.0164131379036405E-2</c:v>
                </c:pt>
                <c:pt idx="5">
                  <c:v>4.3171372291529897E-2</c:v>
                </c:pt>
                <c:pt idx="6">
                  <c:v>1.7853906108392215E-2</c:v>
                </c:pt>
                <c:pt idx="7">
                  <c:v>-2.6306338660441186E-3</c:v>
                </c:pt>
              </c:numCache>
            </c:numRef>
          </c:val>
          <c:smooth val="0"/>
          <c:extLst>
            <c:ext xmlns:c16="http://schemas.microsoft.com/office/drawing/2014/chart" uri="{C3380CC4-5D6E-409C-BE32-E72D297353CC}">
              <c16:uniqueId val="{00000001-702D-49EB-A127-F0F19370B115}"/>
            </c:ext>
          </c:extLst>
        </c:ser>
        <c:ser>
          <c:idx val="3"/>
          <c:order val="2"/>
          <c:tx>
            <c:v>Total Televisa cable</c:v>
          </c:tx>
          <c:spPr>
            <a:ln w="25400" cap="rnd">
              <a:solidFill>
                <a:srgbClr val="79909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quarts'!$AH$2:$AO$2</c:f>
              <c:strCache>
                <c:ptCount val="8"/>
                <c:pt idx="0">
                  <c:v>Q1 22</c:v>
                </c:pt>
                <c:pt idx="1">
                  <c:v>Q2 22</c:v>
                </c:pt>
                <c:pt idx="2">
                  <c:v>Q3 22</c:v>
                </c:pt>
                <c:pt idx="3">
                  <c:v>Q4 22</c:v>
                </c:pt>
                <c:pt idx="4">
                  <c:v>Q1 23</c:v>
                </c:pt>
                <c:pt idx="5">
                  <c:v>Q2 23</c:v>
                </c:pt>
                <c:pt idx="6">
                  <c:v>Q3 23</c:v>
                </c:pt>
                <c:pt idx="7">
                  <c:v>Q4 23</c:v>
                </c:pt>
              </c:strCache>
            </c:strRef>
          </c:cat>
          <c:val>
            <c:numRef>
              <c:f>'Market BB quarts'!#REF!</c:f>
              <c:numCache>
                <c:formatCode>0%</c:formatCode>
                <c:ptCount val="1"/>
                <c:pt idx="0">
                  <c:v>1</c:v>
                </c:pt>
              </c:numCache>
            </c:numRef>
          </c:val>
          <c:smooth val="0"/>
          <c:extLst>
            <c:ext xmlns:c16="http://schemas.microsoft.com/office/drawing/2014/chart" uri="{C3380CC4-5D6E-409C-BE32-E72D297353CC}">
              <c16:uniqueId val="{00000002-702D-49EB-A127-F0F19370B115}"/>
            </c:ext>
          </c:extLst>
        </c:ser>
        <c:ser>
          <c:idx val="0"/>
          <c:order val="3"/>
          <c:tx>
            <c:strRef>
              <c:f>'Market BB quarts'!$B$6</c:f>
              <c:strCache>
                <c:ptCount val="1"/>
                <c:pt idx="0">
                  <c:v>Telmex (AMX)</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595959"/>
                    </a:solidFill>
                    <a:latin typeface="Helvetica Neue"/>
                    <a:ea typeface="Helvetica Neue"/>
                    <a:cs typeface="Helvetica Neue"/>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quarts'!$AH$2:$AO$2</c:f>
              <c:strCache>
                <c:ptCount val="8"/>
                <c:pt idx="0">
                  <c:v>Q1 22</c:v>
                </c:pt>
                <c:pt idx="1">
                  <c:v>Q2 22</c:v>
                </c:pt>
                <c:pt idx="2">
                  <c:v>Q3 22</c:v>
                </c:pt>
                <c:pt idx="3">
                  <c:v>Q4 22</c:v>
                </c:pt>
                <c:pt idx="4">
                  <c:v>Q1 23</c:v>
                </c:pt>
                <c:pt idx="5">
                  <c:v>Q2 23</c:v>
                </c:pt>
                <c:pt idx="6">
                  <c:v>Q3 23</c:v>
                </c:pt>
                <c:pt idx="7">
                  <c:v>Q4 23</c:v>
                </c:pt>
              </c:strCache>
            </c:strRef>
          </c:cat>
          <c:val>
            <c:numRef>
              <c:f>'Market BB quarts'!$AH$6:$AO$6</c:f>
              <c:numCache>
                <c:formatCode>0.0%</c:formatCode>
                <c:ptCount val="8"/>
                <c:pt idx="0">
                  <c:v>-3.1724355270760007E-2</c:v>
                </c:pt>
                <c:pt idx="1">
                  <c:v>-2.5495153813737903E-2</c:v>
                </c:pt>
                <c:pt idx="2">
                  <c:v>2.6353238813050517E-3</c:v>
                </c:pt>
                <c:pt idx="3">
                  <c:v>-1.2732870636121718E-2</c:v>
                </c:pt>
                <c:pt idx="4">
                  <c:v>4.1117439652834209E-2</c:v>
                </c:pt>
                <c:pt idx="5">
                  <c:v>5.589189189189181E-2</c:v>
                </c:pt>
                <c:pt idx="6">
                  <c:v>3.5903905798244207E-2</c:v>
                </c:pt>
                <c:pt idx="7">
                  <c:v>5.9358317035784092E-2</c:v>
                </c:pt>
              </c:numCache>
            </c:numRef>
          </c:val>
          <c:smooth val="0"/>
          <c:extLst>
            <c:ext xmlns:c16="http://schemas.microsoft.com/office/drawing/2014/chart" uri="{C3380CC4-5D6E-409C-BE32-E72D297353CC}">
              <c16:uniqueId val="{00000003-702D-49EB-A127-F0F19370B115}"/>
            </c:ext>
          </c:extLst>
        </c:ser>
        <c:ser>
          <c:idx val="4"/>
          <c:order val="4"/>
          <c:tx>
            <c:strRef>
              <c:f>'Market BB quarts'!$B$3</c:f>
              <c:strCache>
                <c:ptCount val="1"/>
                <c:pt idx="0">
                  <c:v>TotalPlay (Residential)</c:v>
                </c:pt>
              </c:strCache>
            </c:strRef>
          </c:tx>
          <c:spPr>
            <a:ln w="28575" cap="rnd">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595959"/>
                    </a:solidFill>
                    <a:latin typeface="Helvetica Neue"/>
                    <a:ea typeface="Helvetica Neue"/>
                    <a:cs typeface="Helvetica Neue"/>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quarts'!$AH$2:$AO$2</c:f>
              <c:strCache>
                <c:ptCount val="8"/>
                <c:pt idx="0">
                  <c:v>Q1 22</c:v>
                </c:pt>
                <c:pt idx="1">
                  <c:v>Q2 22</c:v>
                </c:pt>
                <c:pt idx="2">
                  <c:v>Q3 22</c:v>
                </c:pt>
                <c:pt idx="3">
                  <c:v>Q4 22</c:v>
                </c:pt>
                <c:pt idx="4">
                  <c:v>Q1 23</c:v>
                </c:pt>
                <c:pt idx="5">
                  <c:v>Q2 23</c:v>
                </c:pt>
                <c:pt idx="6">
                  <c:v>Q3 23</c:v>
                </c:pt>
                <c:pt idx="7">
                  <c:v>Q4 23</c:v>
                </c:pt>
              </c:strCache>
            </c:strRef>
          </c:cat>
          <c:val>
            <c:numRef>
              <c:f>'Market BB quarts'!$AH$3:$AO$3</c:f>
              <c:numCache>
                <c:formatCode>0.0%</c:formatCode>
                <c:ptCount val="8"/>
                <c:pt idx="0">
                  <c:v>0.44080183754437252</c:v>
                </c:pt>
                <c:pt idx="1">
                  <c:v>0.39863065804488396</c:v>
                </c:pt>
                <c:pt idx="2">
                  <c:v>0.40641711229946531</c:v>
                </c:pt>
                <c:pt idx="3">
                  <c:v>0.37559377559377549</c:v>
                </c:pt>
                <c:pt idx="4">
                  <c:v>0.18840579710144922</c:v>
                </c:pt>
                <c:pt idx="5">
                  <c:v>0.15868914876257811</c:v>
                </c:pt>
                <c:pt idx="6">
                  <c:v>0.1212927756653992</c:v>
                </c:pt>
                <c:pt idx="7">
                  <c:v>6.5134555846630082E-2</c:v>
                </c:pt>
              </c:numCache>
            </c:numRef>
          </c:val>
          <c:smooth val="0"/>
          <c:extLst>
            <c:ext xmlns:c16="http://schemas.microsoft.com/office/drawing/2014/chart" uri="{C3380CC4-5D6E-409C-BE32-E72D297353CC}">
              <c16:uniqueId val="{00000004-702D-49EB-A127-F0F19370B115}"/>
            </c:ext>
          </c:extLst>
        </c:ser>
        <c:dLbls>
          <c:showLegendKey val="0"/>
          <c:showVal val="1"/>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out"/>
        <c:minorTickMark val="none"/>
        <c:tickLblPos val="low"/>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out"/>
        <c:minorTickMark val="none"/>
        <c:tickLblPos val="nextTo"/>
        <c:crossAx val="1495160607"/>
        <c:crosses val="autoZero"/>
        <c:crossBetween val="between"/>
      </c:valAx>
      <c:spPr>
        <a:noFill/>
        <a:ln w="25400">
          <a:noFill/>
        </a:ln>
        <a:effectLst/>
      </c:spPr>
    </c:plotArea>
    <c:legend>
      <c:legendPos val="b"/>
      <c:layout>
        <c:manualLayout>
          <c:xMode val="edge"/>
          <c:yMode val="edge"/>
          <c:x val="6.5836417355571095E-2"/>
          <c:y val="0.82152701745010703"/>
          <c:w val="0.88876969989226284"/>
          <c:h val="9.9265945310681628E-2"/>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extLst/>
  </c:chart>
  <c:spPr>
    <a:no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'Market BB quarts'!$B$406</c:f>
              <c:strCache>
                <c:ptCount val="1"/>
                <c:pt idx="0">
                  <c:v>MEGA</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quarts'!$O$405:$S$405</c:f>
              <c:strCache>
                <c:ptCount val="1"/>
                <c:pt idx="0">
                  <c:v>2028E</c:v>
                </c:pt>
              </c:strCache>
            </c:strRef>
          </c:cat>
          <c:val>
            <c:numRef>
              <c:f>'Market BB quarts'!$O$406:$S$406</c:f>
              <c:numCache>
                <c:formatCode>0%</c:formatCode>
                <c:ptCount val="1"/>
                <c:pt idx="0">
                  <c:v>5.8598833575568943E-2</c:v>
                </c:pt>
              </c:numCache>
            </c:numRef>
          </c:val>
          <c:extLst>
            <c:ext xmlns:c16="http://schemas.microsoft.com/office/drawing/2014/chart" uri="{C3380CC4-5D6E-409C-BE32-E72D297353CC}">
              <c16:uniqueId val="{00000000-3847-4986-8373-DD0E19E8F0E7}"/>
            </c:ext>
          </c:extLst>
        </c:ser>
        <c:ser>
          <c:idx val="1"/>
          <c:order val="1"/>
          <c:tx>
            <c:strRef>
              <c:f>'Market BB quarts'!$B$407</c:f>
              <c:strCache>
                <c:ptCount val="1"/>
                <c:pt idx="0">
                  <c:v>Totalplay</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quarts'!$O$405:$S$405</c:f>
              <c:strCache>
                <c:ptCount val="1"/>
                <c:pt idx="0">
                  <c:v>2028E</c:v>
                </c:pt>
              </c:strCache>
            </c:strRef>
          </c:cat>
          <c:val>
            <c:numRef>
              <c:f>'Market BB quarts'!$O$407:$S$407</c:f>
              <c:numCache>
                <c:formatCode>0%</c:formatCode>
                <c:ptCount val="1"/>
                <c:pt idx="0">
                  <c:v>5.0111412464130645E-2</c:v>
                </c:pt>
              </c:numCache>
            </c:numRef>
          </c:val>
          <c:extLst>
            <c:ext xmlns:c16="http://schemas.microsoft.com/office/drawing/2014/chart" uri="{C3380CC4-5D6E-409C-BE32-E72D297353CC}">
              <c16:uniqueId val="{00000002-3847-4986-8373-DD0E19E8F0E7}"/>
            </c:ext>
          </c:extLst>
        </c:ser>
        <c:ser>
          <c:idx val="2"/>
          <c:order val="2"/>
          <c:tx>
            <c:strRef>
              <c:f>'Market BB quarts'!$B$408</c:f>
              <c:strCache>
                <c:ptCount val="1"/>
                <c:pt idx="0">
                  <c:v>Telmex</c:v>
                </c:pt>
              </c:strCache>
            </c:strRef>
          </c:tx>
          <c:spPr>
            <a:solidFill>
              <a:srgbClr val="F966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quarts'!$O$405:$S$405</c:f>
              <c:strCache>
                <c:ptCount val="1"/>
                <c:pt idx="0">
                  <c:v>2028E</c:v>
                </c:pt>
              </c:strCache>
            </c:strRef>
          </c:cat>
          <c:val>
            <c:numRef>
              <c:f>'Market BB quarts'!$O$408:$S$408</c:f>
              <c:numCache>
                <c:formatCode>0%</c:formatCode>
                <c:ptCount val="1"/>
                <c:pt idx="0">
                  <c:v>3.0085805116642383E-2</c:v>
                </c:pt>
              </c:numCache>
            </c:numRef>
          </c:val>
          <c:extLst>
            <c:ext xmlns:c16="http://schemas.microsoft.com/office/drawing/2014/chart" uri="{C3380CC4-5D6E-409C-BE32-E72D297353CC}">
              <c16:uniqueId val="{00000004-3847-4986-8373-DD0E19E8F0E7}"/>
            </c:ext>
          </c:extLst>
        </c:ser>
        <c:ser>
          <c:idx val="3"/>
          <c:order val="3"/>
          <c:tx>
            <c:strRef>
              <c:f>'Market BB quarts'!$B$409</c:f>
              <c:strCache>
                <c:ptCount val="1"/>
                <c:pt idx="0">
                  <c:v>TV</c:v>
                </c:pt>
              </c:strCache>
            </c:strRef>
          </c:tx>
          <c:spPr>
            <a:solidFill>
              <a:srgbClr val="C7FE0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quarts'!$O$405:$S$405</c:f>
              <c:strCache>
                <c:ptCount val="1"/>
                <c:pt idx="0">
                  <c:v>2028E</c:v>
                </c:pt>
              </c:strCache>
            </c:strRef>
          </c:cat>
          <c:val>
            <c:numRef>
              <c:f>'Market BB quarts'!$O$409:$S$409</c:f>
              <c:numCache>
                <c:formatCode>0%</c:formatCode>
                <c:ptCount val="1"/>
                <c:pt idx="0">
                  <c:v>3.2499999999999973E-2</c:v>
                </c:pt>
              </c:numCache>
            </c:numRef>
          </c:val>
          <c:extLst>
            <c:ext xmlns:c16="http://schemas.microsoft.com/office/drawing/2014/chart" uri="{C3380CC4-5D6E-409C-BE32-E72D297353CC}">
              <c16:uniqueId val="{00000006-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'Market BB quarts'!$B$388</c:f>
              <c:strCache>
                <c:ptCount val="1"/>
                <c:pt idx="0">
                  <c:v>Capex to sales</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quarts'!$C$387:$U$387</c:f>
              <c:strCache>
                <c:ptCount val="3"/>
                <c:pt idx="0">
                  <c:v>2028E</c:v>
                </c:pt>
                <c:pt idx="1">
                  <c:v>2029E</c:v>
                </c:pt>
                <c:pt idx="2">
                  <c:v>2030E</c:v>
                </c:pt>
              </c:strCache>
            </c:strRef>
          </c:cat>
          <c:val>
            <c:numRef>
              <c:f>'Market BB quarts'!$C$388:$U$388</c:f>
              <c:numCache>
                <c:formatCode>0%</c:formatCode>
                <c:ptCount val="3"/>
                <c:pt idx="0">
                  <c:v>0.23</c:v>
                </c:pt>
                <c:pt idx="1">
                  <c:v>0.21999999999999997</c:v>
                </c:pt>
                <c:pt idx="2">
                  <c:v>0.20999999999999996</c:v>
                </c:pt>
              </c:numCache>
            </c:numRef>
          </c:val>
          <c:extLst>
            <c:ext xmlns:c16="http://schemas.microsoft.com/office/drawing/2014/chart" uri="{C3380CC4-5D6E-409C-BE32-E72D297353CC}">
              <c16:uniqueId val="{00000000-A325-4D22-BC1F-61EAC2BE42D9}"/>
            </c:ext>
          </c:extLst>
        </c:ser>
        <c:dLbls>
          <c:showLegendKey val="0"/>
          <c:showVal val="0"/>
          <c:showCatName val="0"/>
          <c:showSerName val="0"/>
          <c:showPercent val="0"/>
          <c:showBubbleSize val="0"/>
        </c:dLbls>
        <c:gapWidth val="30"/>
        <c:axId val="1495160607"/>
        <c:axId val="1495161855"/>
        <c:extLst/>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'Earnings snaps'!$B$48</c:f>
              <c:strCache>
                <c:ptCount val="1"/>
                <c:pt idx="0">
                  <c:v>TV</c:v>
                </c:pt>
              </c:strCache>
            </c:strRef>
          </c:tx>
          <c:spPr>
            <a:solidFill>
              <a:srgbClr val="263238"/>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snaps'!$I$29:$V$29</c:f>
              <c:strCache>
                <c:ptCount val="14"/>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strCache>
            </c:strRef>
          </c:cat>
          <c:val>
            <c:numRef>
              <c:f>'Earnings snaps'!$I$48:$V$48</c:f>
              <c:numCache>
                <c:formatCode>0</c:formatCode>
                <c:ptCount val="14"/>
                <c:pt idx="0">
                  <c:v>100.07200000000012</c:v>
                </c:pt>
                <c:pt idx="1">
                  <c:v>51.174999999999727</c:v>
                </c:pt>
                <c:pt idx="2">
                  <c:v>23.619999999999891</c:v>
                </c:pt>
                <c:pt idx="3">
                  <c:v>21.733000000000175</c:v>
                </c:pt>
                <c:pt idx="4">
                  <c:v>58.19399999999996</c:v>
                </c:pt>
                <c:pt idx="5">
                  <c:v>23.626000000000204</c:v>
                </c:pt>
                <c:pt idx="6">
                  <c:v>2.1779999999998836</c:v>
                </c:pt>
                <c:pt idx="7">
                  <c:v>1.4800000000000182</c:v>
                </c:pt>
                <c:pt idx="8">
                  <c:v>48.710000000000036</c:v>
                </c:pt>
                <c:pt idx="9">
                  <c:v>83.42699999999968</c:v>
                </c:pt>
                <c:pt idx="10">
                  <c:v>86.297000000000025</c:v>
                </c:pt>
                <c:pt idx="11">
                  <c:v>83.932000000000244</c:v>
                </c:pt>
                <c:pt idx="12">
                  <c:v>43.041999999999916</c:v>
                </c:pt>
                <c:pt idx="13">
                  <c:v>25.204000000000178</c:v>
                </c:pt>
              </c:numCache>
            </c:numRef>
          </c:val>
          <c:extLst>
            <c:ext xmlns:c16="http://schemas.microsoft.com/office/drawing/2014/chart" uri="{C3380CC4-5D6E-409C-BE32-E72D297353CC}">
              <c16:uniqueId val="{00000000-2657-4ED7-BCBA-24F30D9A0101}"/>
            </c:ext>
          </c:extLst>
        </c:ser>
        <c:ser>
          <c:idx val="1"/>
          <c:order val="1"/>
          <c:tx>
            <c:strRef>
              <c:f>'Earnings snaps'!$B$49</c:f>
              <c:strCache>
                <c:ptCount val="1"/>
                <c:pt idx="0">
                  <c:v>Internet</c:v>
                </c:pt>
              </c:strCache>
            </c:strRef>
          </c:tx>
          <c:spPr>
            <a:solidFill>
              <a:srgbClr val="F9663E"/>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snaps'!$I$29:$V$29</c:f>
              <c:strCache>
                <c:ptCount val="14"/>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strCache>
            </c:strRef>
          </c:cat>
          <c:val>
            <c:numRef>
              <c:f>'Earnings snaps'!$I$49:$V$49</c:f>
              <c:numCache>
                <c:formatCode>0</c:formatCode>
                <c:ptCount val="14"/>
                <c:pt idx="0">
                  <c:v>184.5949999999998</c:v>
                </c:pt>
                <c:pt idx="1">
                  <c:v>96.329000000000178</c:v>
                </c:pt>
                <c:pt idx="2">
                  <c:v>79.415999999999713</c:v>
                </c:pt>
                <c:pt idx="3">
                  <c:v>58.160000000000309</c:v>
                </c:pt>
                <c:pt idx="4">
                  <c:v>105.01199999999972</c:v>
                </c:pt>
                <c:pt idx="5">
                  <c:v>80.981000000000222</c:v>
                </c:pt>
                <c:pt idx="6">
                  <c:v>59.403999999999996</c:v>
                </c:pt>
                <c:pt idx="7">
                  <c:v>19.177999999999884</c:v>
                </c:pt>
                <c:pt idx="8">
                  <c:v>100.65700000000015</c:v>
                </c:pt>
                <c:pt idx="9">
                  <c:v>124.72799999999961</c:v>
                </c:pt>
                <c:pt idx="10">
                  <c:v>147.30500000000029</c:v>
                </c:pt>
                <c:pt idx="11">
                  <c:v>163.3119999999999</c:v>
                </c:pt>
                <c:pt idx="12">
                  <c:v>117.12700000000041</c:v>
                </c:pt>
                <c:pt idx="13">
                  <c:v>155.94799999999941</c:v>
                </c:pt>
              </c:numCache>
            </c:numRef>
          </c:val>
          <c:extLst>
            <c:ext xmlns:c16="http://schemas.microsoft.com/office/drawing/2014/chart" uri="{C3380CC4-5D6E-409C-BE32-E72D297353CC}">
              <c16:uniqueId val="{00000001-2657-4ED7-BCBA-24F30D9A0101}"/>
            </c:ext>
          </c:extLst>
        </c:ser>
        <c:ser>
          <c:idx val="2"/>
          <c:order val="2"/>
          <c:tx>
            <c:strRef>
              <c:f>'Earnings snaps'!$B$50</c:f>
              <c:strCache>
                <c:ptCount val="1"/>
                <c:pt idx="0">
                  <c:v>Voice</c:v>
                </c:pt>
              </c:strCache>
            </c:strRef>
          </c:tx>
          <c:spPr>
            <a:solidFill>
              <a:srgbClr val="C7FE02"/>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snaps'!$I$29:$V$29</c:f>
              <c:strCache>
                <c:ptCount val="14"/>
                <c:pt idx="0">
                  <c:v>3Q20</c:v>
                </c:pt>
                <c:pt idx="1">
                  <c:v>4Q20</c:v>
                </c:pt>
                <c:pt idx="2">
                  <c:v>1Q21</c:v>
                </c:pt>
                <c:pt idx="3">
                  <c:v>2Q21</c:v>
                </c:pt>
                <c:pt idx="4">
                  <c:v>3Q21</c:v>
                </c:pt>
                <c:pt idx="5">
                  <c:v>4Q21</c:v>
                </c:pt>
                <c:pt idx="6">
                  <c:v>1Q22</c:v>
                </c:pt>
                <c:pt idx="7">
                  <c:v>2Q22</c:v>
                </c:pt>
                <c:pt idx="8">
                  <c:v>3Q22</c:v>
                </c:pt>
                <c:pt idx="9">
                  <c:v>4Q22</c:v>
                </c:pt>
                <c:pt idx="10">
                  <c:v>1Q23</c:v>
                </c:pt>
                <c:pt idx="11">
                  <c:v>2Q23</c:v>
                </c:pt>
                <c:pt idx="12">
                  <c:v>3Q23</c:v>
                </c:pt>
                <c:pt idx="13">
                  <c:v>4Q23</c:v>
                </c:pt>
              </c:strCache>
            </c:strRef>
          </c:cat>
          <c:val>
            <c:numRef>
              <c:f>'Earnings snaps'!$I$50:$V$50</c:f>
              <c:numCache>
                <c:formatCode>0</c:formatCode>
                <c:ptCount val="14"/>
                <c:pt idx="0">
                  <c:v>243.48100000000022</c:v>
                </c:pt>
                <c:pt idx="1">
                  <c:v>115.21699999999964</c:v>
                </c:pt>
                <c:pt idx="2">
                  <c:v>100.67900000000009</c:v>
                </c:pt>
                <c:pt idx="3">
                  <c:v>78.423000000000229</c:v>
                </c:pt>
                <c:pt idx="4">
                  <c:v>128.63999999999987</c:v>
                </c:pt>
                <c:pt idx="5">
                  <c:v>96.579000000000178</c:v>
                </c:pt>
                <c:pt idx="6">
                  <c:v>58.096999999999753</c:v>
                </c:pt>
                <c:pt idx="7">
                  <c:v>45.121000000000095</c:v>
                </c:pt>
                <c:pt idx="8">
                  <c:v>128.92599999999993</c:v>
                </c:pt>
                <c:pt idx="9">
                  <c:v>140.86200000000008</c:v>
                </c:pt>
                <c:pt idx="10">
                  <c:v>174.46199999999999</c:v>
                </c:pt>
                <c:pt idx="11">
                  <c:v>184.279</c:v>
                </c:pt>
                <c:pt idx="12">
                  <c:v>143.56700000000001</c:v>
                </c:pt>
                <c:pt idx="13">
                  <c:v>175.62199999999984</c:v>
                </c:pt>
              </c:numCache>
            </c:numRef>
          </c:val>
          <c:extLst>
            <c:ext xmlns:c16="http://schemas.microsoft.com/office/drawing/2014/chart" uri="{C3380CC4-5D6E-409C-BE32-E72D297353CC}">
              <c16:uniqueId val="{00000002-2657-4ED7-BCBA-24F30D9A0101}"/>
            </c:ext>
          </c:extLst>
        </c:ser>
        <c:dLbls>
          <c:showLegendKey val="0"/>
          <c:showVal val="0"/>
          <c:showCatName val="0"/>
          <c:showSerName val="0"/>
          <c:showPercent val="0"/>
          <c:showBubbleSize val="0"/>
        </c:dLbls>
        <c:gapWidth val="30"/>
        <c:overlap val="-27"/>
        <c:axId val="749532744"/>
        <c:axId val="749537992"/>
      </c:barChart>
      <c:catAx>
        <c:axId val="749532744"/>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749537992"/>
        <c:crosses val="autoZero"/>
        <c:auto val="1"/>
        <c:lblAlgn val="ctr"/>
        <c:lblOffset val="100"/>
        <c:noMultiLvlLbl val="0"/>
      </c:catAx>
      <c:valAx>
        <c:axId val="749537992"/>
        <c:scaling>
          <c:orientation val="minMax"/>
        </c:scaling>
        <c:delete val="1"/>
        <c:axPos val="l"/>
        <c:numFmt formatCode="0" sourceLinked="1"/>
        <c:majorTickMark val="out"/>
        <c:minorTickMark val="none"/>
        <c:tickLblPos val="nextTo"/>
        <c:crossAx val="74953274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'Market BB quarts'!$B$393</c:f>
              <c:strCache>
                <c:ptCount val="1"/>
                <c:pt idx="0">
                  <c:v>OpFCF (MNX bn)</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quarts'!$C$392:$U$392</c:f>
              <c:strCache>
                <c:ptCount val="3"/>
                <c:pt idx="0">
                  <c:v>2028E</c:v>
                </c:pt>
                <c:pt idx="1">
                  <c:v>2029E</c:v>
                </c:pt>
                <c:pt idx="2">
                  <c:v>2030E</c:v>
                </c:pt>
              </c:strCache>
            </c:strRef>
          </c:cat>
          <c:val>
            <c:numRef>
              <c:f>'Market BB quarts'!$C$393:$U$393</c:f>
              <c:numCache>
                <c:formatCode>#,##0.0</c:formatCode>
                <c:ptCount val="3"/>
                <c:pt idx="0">
                  <c:v>10.434048178706401</c:v>
                </c:pt>
                <c:pt idx="1">
                  <c:v>11.640484999369328</c:v>
                </c:pt>
                <c:pt idx="2">
                  <c:v>12.808826894838408</c:v>
                </c:pt>
              </c:numCache>
            </c:numRef>
          </c:val>
          <c:extLst>
            <c:ext xmlns:c16="http://schemas.microsoft.com/office/drawing/2014/chart" uri="{C3380CC4-5D6E-409C-BE32-E72D297353CC}">
              <c16:uniqueId val="{00000000-A325-4D22-BC1F-61EAC2BE42D9}"/>
            </c:ext>
          </c:extLst>
        </c:ser>
        <c:dLbls>
          <c:showLegendKey val="0"/>
          <c:showVal val="0"/>
          <c:showCatName val="0"/>
          <c:showSerName val="0"/>
          <c:showPercent val="0"/>
          <c:showBubbleSize val="0"/>
        </c:dLbls>
        <c:gapWidth val="30"/>
        <c:axId val="1495160607"/>
        <c:axId val="1495161855"/>
        <c:extLst/>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'Market BB quarts'!$B$3</c:f>
              <c:strCache>
                <c:ptCount val="1"/>
                <c:pt idx="0">
                  <c:v>TotalPlay (Residential)</c:v>
                </c:pt>
              </c:strCache>
            </c:strRef>
          </c:tx>
          <c:spPr>
            <a:ln w="28575" cap="rnd">
              <a:solidFill>
                <a:srgbClr val="263238"/>
              </a:solidFill>
              <a:round/>
            </a:ln>
            <a:effectLst/>
          </c:spPr>
          <c:marker>
            <c:symbol val="none"/>
          </c:marker>
          <c:dLbls>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30-470E-AF56-E468FA0123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quarts'!$AL$2:$AX$2</c:f>
              <c:strCache>
                <c:ptCount val="13"/>
                <c:pt idx="0">
                  <c:v>Q1 23</c:v>
                </c:pt>
                <c:pt idx="1">
                  <c:v>Q2 23</c:v>
                </c:pt>
                <c:pt idx="2">
                  <c:v>Q3 23</c:v>
                </c:pt>
                <c:pt idx="3">
                  <c:v>Q4 23</c:v>
                </c:pt>
                <c:pt idx="4">
                  <c:v>Q1 24</c:v>
                </c:pt>
                <c:pt idx="5">
                  <c:v>Q2 24</c:v>
                </c:pt>
                <c:pt idx="6">
                  <c:v>Q3 24</c:v>
                </c:pt>
                <c:pt idx="7">
                  <c:v>Q4 24</c:v>
                </c:pt>
                <c:pt idx="8">
                  <c:v>Q1 25</c:v>
                </c:pt>
                <c:pt idx="9">
                  <c:v>Q2 25</c:v>
                </c:pt>
                <c:pt idx="10">
                  <c:v>Q3 25</c:v>
                </c:pt>
                <c:pt idx="11">
                  <c:v>Q4 25</c:v>
                </c:pt>
                <c:pt idx="12">
                  <c:v>Q1 26</c:v>
                </c:pt>
              </c:strCache>
            </c:strRef>
          </c:cat>
          <c:val>
            <c:numRef>
              <c:f>'Market BB quarts'!$AL$3:$AX$3</c:f>
              <c:numCache>
                <c:formatCode>0.0%</c:formatCode>
                <c:ptCount val="13"/>
                <c:pt idx="0">
                  <c:v>0.18840579710144922</c:v>
                </c:pt>
                <c:pt idx="1">
                  <c:v>0.15868914876257811</c:v>
                </c:pt>
                <c:pt idx="2">
                  <c:v>0.1212927756653992</c:v>
                </c:pt>
                <c:pt idx="3">
                  <c:v>6.5134555846630082E-2</c:v>
                </c:pt>
                <c:pt idx="4">
                  <c:v>0.10975609756097571</c:v>
                </c:pt>
                <c:pt idx="5">
                  <c:v>7.9216054453702611E-2</c:v>
                </c:pt>
                <c:pt idx="6">
                  <c:v>7.8783768509099072E-2</c:v>
                </c:pt>
                <c:pt idx="7">
                  <c:v>7.9373951928451758E-2</c:v>
                </c:pt>
                <c:pt idx="8">
                  <c:v>5.1648351648351687E-2</c:v>
                </c:pt>
                <c:pt idx="9">
                  <c:v>7.7207481513701604E-2</c:v>
                </c:pt>
                <c:pt idx="10">
                  <c:v>2.9652137468566542E-2</c:v>
                </c:pt>
                <c:pt idx="11">
                  <c:v>3.2314862765406627E-2</c:v>
                </c:pt>
                <c:pt idx="12">
                  <c:v>2.9049111807732508E-2</c:v>
                </c:pt>
              </c:numCache>
            </c:numRef>
          </c:val>
          <c:smooth val="0"/>
          <c:extLst>
            <c:ext xmlns:c16="http://schemas.microsoft.com/office/drawing/2014/chart" uri="{C3380CC4-5D6E-409C-BE32-E72D297353CC}">
              <c16:uniqueId val="{00000000-96AF-4D4E-A9CA-D5AA75EDF64E}"/>
            </c:ext>
          </c:extLst>
        </c:ser>
        <c:ser>
          <c:idx val="1"/>
          <c:order val="1"/>
          <c:tx>
            <c:strRef>
              <c:f>'Market BB quarts'!$B$4</c:f>
              <c:strCache>
                <c:ptCount val="1"/>
                <c:pt idx="0">
                  <c:v>Megacable (Mass mkt)</c:v>
                </c:pt>
              </c:strCache>
            </c:strRef>
          </c:tx>
          <c:spPr>
            <a:ln w="28575" cap="rnd">
              <a:solidFill>
                <a:srgbClr val="799098"/>
              </a:solidFill>
              <a:prstDash val="solid"/>
              <a:round/>
            </a:ln>
            <a:effectLst/>
          </c:spPr>
          <c:marker>
            <c:symbol val="none"/>
          </c:marker>
          <c:dLbls>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30-470E-AF56-E468FA0123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quarts'!$AL$2:$AX$2</c:f>
              <c:strCache>
                <c:ptCount val="13"/>
                <c:pt idx="0">
                  <c:v>Q1 23</c:v>
                </c:pt>
                <c:pt idx="1">
                  <c:v>Q2 23</c:v>
                </c:pt>
                <c:pt idx="2">
                  <c:v>Q3 23</c:v>
                </c:pt>
                <c:pt idx="3">
                  <c:v>Q4 23</c:v>
                </c:pt>
                <c:pt idx="4">
                  <c:v>Q1 24</c:v>
                </c:pt>
                <c:pt idx="5">
                  <c:v>Q2 24</c:v>
                </c:pt>
                <c:pt idx="6">
                  <c:v>Q3 24</c:v>
                </c:pt>
                <c:pt idx="7">
                  <c:v>Q4 24</c:v>
                </c:pt>
                <c:pt idx="8">
                  <c:v>Q1 25</c:v>
                </c:pt>
                <c:pt idx="9">
                  <c:v>Q2 25</c:v>
                </c:pt>
                <c:pt idx="10">
                  <c:v>Q3 25</c:v>
                </c:pt>
                <c:pt idx="11">
                  <c:v>Q4 25</c:v>
                </c:pt>
                <c:pt idx="12">
                  <c:v>Q1 26</c:v>
                </c:pt>
              </c:strCache>
            </c:strRef>
          </c:cat>
          <c:val>
            <c:numRef>
              <c:f>'Market BB quarts'!$AL$4:$AX$4</c:f>
              <c:numCache>
                <c:formatCode>0.0%</c:formatCode>
                <c:ptCount val="13"/>
                <c:pt idx="0">
                  <c:v>7.2923940366890427E-2</c:v>
                </c:pt>
                <c:pt idx="1">
                  <c:v>9.4708799224996865E-2</c:v>
                </c:pt>
                <c:pt idx="2">
                  <c:v>0.13977077522163039</c:v>
                </c:pt>
                <c:pt idx="3">
                  <c:v>0.14525422522682807</c:v>
                </c:pt>
                <c:pt idx="4">
                  <c:v>0.13108332634455988</c:v>
                </c:pt>
                <c:pt idx="5">
                  <c:v>0.11036349068518558</c:v>
                </c:pt>
                <c:pt idx="6">
                  <c:v>0.1028242657209586</c:v>
                </c:pt>
                <c:pt idx="7">
                  <c:v>0.10100700989238964</c:v>
                </c:pt>
                <c:pt idx="8">
                  <c:v>9.2983769475284861E-2</c:v>
                </c:pt>
                <c:pt idx="9">
                  <c:v>0.10604497905149035</c:v>
                </c:pt>
                <c:pt idx="10">
                  <c:v>0.11244997273337276</c:v>
                </c:pt>
                <c:pt idx="11">
                  <c:v>0.10348005503615831</c:v>
                </c:pt>
                <c:pt idx="12">
                  <c:v>0.1127985538244165</c:v>
                </c:pt>
              </c:numCache>
            </c:numRef>
          </c:val>
          <c:smooth val="0"/>
          <c:extLst>
            <c:ext xmlns:c16="http://schemas.microsoft.com/office/drawing/2014/chart" uri="{C3380CC4-5D6E-409C-BE32-E72D297353CC}">
              <c16:uniqueId val="{00000001-96AF-4D4E-A9CA-D5AA75EDF64E}"/>
            </c:ext>
          </c:extLst>
        </c:ser>
        <c:ser>
          <c:idx val="2"/>
          <c:order val="2"/>
          <c:tx>
            <c:strRef>
              <c:f>'Market BB quarts'!$B$5</c:f>
              <c:strCache>
                <c:ptCount val="1"/>
                <c:pt idx="0">
                  <c:v>Televisa (Retail)</c:v>
                </c:pt>
              </c:strCache>
            </c:strRef>
          </c:tx>
          <c:spPr>
            <a:ln w="28575" cap="rnd">
              <a:solidFill>
                <a:srgbClr val="F9663E"/>
              </a:solidFill>
              <a:round/>
            </a:ln>
            <a:effectLst/>
          </c:spPr>
          <c:marker>
            <c:symbol val="none"/>
          </c:marker>
          <c:dLbls>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30-470E-AF56-E468FA0123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quarts'!$AL$2:$AX$2</c:f>
              <c:strCache>
                <c:ptCount val="13"/>
                <c:pt idx="0">
                  <c:v>Q1 23</c:v>
                </c:pt>
                <c:pt idx="1">
                  <c:v>Q2 23</c:v>
                </c:pt>
                <c:pt idx="2">
                  <c:v>Q3 23</c:v>
                </c:pt>
                <c:pt idx="3">
                  <c:v>Q4 23</c:v>
                </c:pt>
                <c:pt idx="4">
                  <c:v>Q1 24</c:v>
                </c:pt>
                <c:pt idx="5">
                  <c:v>Q2 24</c:v>
                </c:pt>
                <c:pt idx="6">
                  <c:v>Q3 24</c:v>
                </c:pt>
                <c:pt idx="7">
                  <c:v>Q4 24</c:v>
                </c:pt>
                <c:pt idx="8">
                  <c:v>Q1 25</c:v>
                </c:pt>
                <c:pt idx="9">
                  <c:v>Q2 25</c:v>
                </c:pt>
                <c:pt idx="10">
                  <c:v>Q3 25</c:v>
                </c:pt>
                <c:pt idx="11">
                  <c:v>Q4 25</c:v>
                </c:pt>
                <c:pt idx="12">
                  <c:v>Q1 26</c:v>
                </c:pt>
              </c:strCache>
            </c:strRef>
          </c:cat>
          <c:val>
            <c:numRef>
              <c:f>'Market BB quarts'!$AL$5:$AX$5</c:f>
              <c:numCache>
                <c:formatCode>0.0%</c:formatCode>
                <c:ptCount val="13"/>
                <c:pt idx="0">
                  <c:v>4.0164131379036405E-2</c:v>
                </c:pt>
                <c:pt idx="1">
                  <c:v>4.3171372291529897E-2</c:v>
                </c:pt>
                <c:pt idx="2">
                  <c:v>1.7853906108392215E-2</c:v>
                </c:pt>
                <c:pt idx="3">
                  <c:v>-2.6306338660441186E-3</c:v>
                </c:pt>
                <c:pt idx="4">
                  <c:v>-3.6534224180823194E-2</c:v>
                </c:pt>
                <c:pt idx="5">
                  <c:v>-4.9610979980767578E-2</c:v>
                </c:pt>
                <c:pt idx="6">
                  <c:v>-5.1331137031430885E-2</c:v>
                </c:pt>
                <c:pt idx="7">
                  <c:v>-4.2822292437458942E-2</c:v>
                </c:pt>
                <c:pt idx="8">
                  <c:v>-2.9767613426779693E-2</c:v>
                </c:pt>
                <c:pt idx="9">
                  <c:v>-3.0676539575955508E-2</c:v>
                </c:pt>
                <c:pt idx="10">
                  <c:v>-6.9172650053967999E-3</c:v>
                </c:pt>
                <c:pt idx="11">
                  <c:v>-6.0000000000000001E-3</c:v>
                </c:pt>
                <c:pt idx="12">
                  <c:v>8.9999999999999993E-3</c:v>
                </c:pt>
              </c:numCache>
            </c:numRef>
          </c:val>
          <c:smooth val="0"/>
          <c:extLst>
            <c:ext xmlns:c16="http://schemas.microsoft.com/office/drawing/2014/chart" uri="{C3380CC4-5D6E-409C-BE32-E72D297353CC}">
              <c16:uniqueId val="{00000002-96AF-4D4E-A9CA-D5AA75EDF64E}"/>
            </c:ext>
          </c:extLst>
        </c:ser>
        <c:ser>
          <c:idx val="3"/>
          <c:order val="3"/>
          <c:tx>
            <c:strRef>
              <c:f>'Market BB quarts'!$B$6</c:f>
              <c:strCache>
                <c:ptCount val="1"/>
                <c:pt idx="0">
                  <c:v>Telmex (AMX)</c:v>
                </c:pt>
              </c:strCache>
            </c:strRef>
          </c:tx>
          <c:spPr>
            <a:ln w="28575" cap="rnd">
              <a:solidFill>
                <a:srgbClr val="C7F502"/>
              </a:solidFill>
              <a:round/>
            </a:ln>
            <a:effectLst/>
          </c:spPr>
          <c:marker>
            <c:symbol val="none"/>
          </c:marker>
          <c:cat>
            <c:strRef>
              <c:f>'Market BB quarts'!$AL$2:$AX$2</c:f>
              <c:strCache>
                <c:ptCount val="13"/>
                <c:pt idx="0">
                  <c:v>Q1 23</c:v>
                </c:pt>
                <c:pt idx="1">
                  <c:v>Q2 23</c:v>
                </c:pt>
                <c:pt idx="2">
                  <c:v>Q3 23</c:v>
                </c:pt>
                <c:pt idx="3">
                  <c:v>Q4 23</c:v>
                </c:pt>
                <c:pt idx="4">
                  <c:v>Q1 24</c:v>
                </c:pt>
                <c:pt idx="5">
                  <c:v>Q2 24</c:v>
                </c:pt>
                <c:pt idx="6">
                  <c:v>Q3 24</c:v>
                </c:pt>
                <c:pt idx="7">
                  <c:v>Q4 24</c:v>
                </c:pt>
                <c:pt idx="8">
                  <c:v>Q1 25</c:v>
                </c:pt>
                <c:pt idx="9">
                  <c:v>Q2 25</c:v>
                </c:pt>
                <c:pt idx="10">
                  <c:v>Q3 25</c:v>
                </c:pt>
                <c:pt idx="11">
                  <c:v>Q4 25</c:v>
                </c:pt>
                <c:pt idx="12">
                  <c:v>Q1 26</c:v>
                </c:pt>
              </c:strCache>
            </c:strRef>
          </c:cat>
          <c:val>
            <c:numRef>
              <c:f>'Market BB quarts'!$AL$6:$AX$6</c:f>
              <c:numCache>
                <c:formatCode>0.0%</c:formatCode>
                <c:ptCount val="13"/>
                <c:pt idx="0">
                  <c:v>4.1117439652834209E-2</c:v>
                </c:pt>
                <c:pt idx="1">
                  <c:v>5.589189189189181E-2</c:v>
                </c:pt>
                <c:pt idx="2">
                  <c:v>3.5903905798244207E-2</c:v>
                </c:pt>
                <c:pt idx="3">
                  <c:v>5.9358317035784092E-2</c:v>
                </c:pt>
                <c:pt idx="4">
                  <c:v>9.717084353670602E-2</c:v>
                </c:pt>
                <c:pt idx="5">
                  <c:v>6.0919422545305579E-2</c:v>
                </c:pt>
                <c:pt idx="6">
                  <c:v>5.6480259819344347E-2</c:v>
                </c:pt>
                <c:pt idx="7">
                  <c:v>3.9117852509729545E-2</c:v>
                </c:pt>
                <c:pt idx="8">
                  <c:v>1.4816221863424905E-2</c:v>
                </c:pt>
                <c:pt idx="9">
                  <c:v>3.6431190889789633E-2</c:v>
                </c:pt>
                <c:pt idx="10">
                  <c:v>-1.4121715740429419E-2</c:v>
                </c:pt>
                <c:pt idx="11">
                  <c:v>2.2087774896763612E-2</c:v>
                </c:pt>
                <c:pt idx="12">
                  <c:v>4.8479176415535896E-2</c:v>
                </c:pt>
              </c:numCache>
            </c:numRef>
          </c:val>
          <c:smooth val="0"/>
          <c:extLst>
            <c:ext xmlns:c16="http://schemas.microsoft.com/office/drawing/2014/chart" uri="{C3380CC4-5D6E-409C-BE32-E72D297353CC}">
              <c16:uniqueId val="{00000003-9D2F-4ECE-8CFA-7569FF9321D2}"/>
            </c:ext>
          </c:extLst>
        </c:ser>
        <c:ser>
          <c:idx val="4"/>
          <c:order val="4"/>
          <c:tx>
            <c:strRef>
              <c:f>'Market BB quarts'!$B$7</c:f>
              <c:strCache>
                <c:ptCount val="1"/>
                <c:pt idx="0">
                  <c:v>Total</c:v>
                </c:pt>
              </c:strCache>
            </c:strRef>
          </c:tx>
          <c:spPr>
            <a:ln w="28575" cap="rnd">
              <a:solidFill>
                <a:srgbClr val="00CC99"/>
              </a:solidFill>
              <a:prstDash val="dash"/>
              <a:round/>
            </a:ln>
            <a:effectLst/>
          </c:spPr>
          <c:marker>
            <c:symbol val="none"/>
          </c:marker>
          <c:dLbls>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30-470E-AF56-E468FA0123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quarts'!$AL$2:$AX$2</c:f>
              <c:strCache>
                <c:ptCount val="13"/>
                <c:pt idx="0">
                  <c:v>Q1 23</c:v>
                </c:pt>
                <c:pt idx="1">
                  <c:v>Q2 23</c:v>
                </c:pt>
                <c:pt idx="2">
                  <c:v>Q3 23</c:v>
                </c:pt>
                <c:pt idx="3">
                  <c:v>Q4 23</c:v>
                </c:pt>
                <c:pt idx="4">
                  <c:v>Q1 24</c:v>
                </c:pt>
                <c:pt idx="5">
                  <c:v>Q2 24</c:v>
                </c:pt>
                <c:pt idx="6">
                  <c:v>Q3 24</c:v>
                </c:pt>
                <c:pt idx="7">
                  <c:v>Q4 24</c:v>
                </c:pt>
                <c:pt idx="8">
                  <c:v>Q1 25</c:v>
                </c:pt>
                <c:pt idx="9">
                  <c:v>Q2 25</c:v>
                </c:pt>
                <c:pt idx="10">
                  <c:v>Q3 25</c:v>
                </c:pt>
                <c:pt idx="11">
                  <c:v>Q4 25</c:v>
                </c:pt>
                <c:pt idx="12">
                  <c:v>Q1 26</c:v>
                </c:pt>
              </c:strCache>
            </c:strRef>
          </c:cat>
          <c:val>
            <c:numRef>
              <c:f>'Market BB quarts'!$AL$7:$AX$7</c:f>
              <c:numCache>
                <c:formatCode>0.0%</c:formatCode>
                <c:ptCount val="13"/>
                <c:pt idx="0">
                  <c:v>6.9460438443353922E-2</c:v>
                </c:pt>
                <c:pt idx="1">
                  <c:v>7.5503914890383328E-2</c:v>
                </c:pt>
                <c:pt idx="2">
                  <c:v>5.9848841645659734E-2</c:v>
                </c:pt>
                <c:pt idx="3">
                  <c:v>5.5748570650694163E-2</c:v>
                </c:pt>
                <c:pt idx="4">
                  <c:v>7.0086830124306054E-2</c:v>
                </c:pt>
                <c:pt idx="5">
                  <c:v>4.3106240854060118E-2</c:v>
                </c:pt>
                <c:pt idx="6">
                  <c:v>4.067544495432629E-2</c:v>
                </c:pt>
                <c:pt idx="7">
                  <c:v>3.5856784667213981E-2</c:v>
                </c:pt>
                <c:pt idx="8">
                  <c:v>2.2511595431460529E-2</c:v>
                </c:pt>
                <c:pt idx="9">
                  <c:v>3.876495125472168E-2</c:v>
                </c:pt>
                <c:pt idx="10">
                  <c:v>1.4275384099836419E-2</c:v>
                </c:pt>
                <c:pt idx="11">
                  <c:v>2.9908444730501582E-2</c:v>
                </c:pt>
                <c:pt idx="12">
                  <c:v>4.5629990746646643E-2</c:v>
                </c:pt>
              </c:numCache>
            </c:numRef>
          </c:val>
          <c:smooth val="0"/>
          <c:extLst>
            <c:ext xmlns:c16="http://schemas.microsoft.com/office/drawing/2014/chart" uri="{C3380CC4-5D6E-409C-BE32-E72D297353CC}">
              <c16:uniqueId val="{00000004-9D2F-4ECE-8CFA-7569FF9321D2}"/>
            </c:ext>
          </c:extLst>
        </c:ser>
        <c:dLbls>
          <c:showLegendKey val="0"/>
          <c:showVal val="0"/>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majorUnit val="5.000000000000001E-2"/>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'Market BB quarts'!$B$10</c:f>
              <c:strCache>
                <c:ptCount val="1"/>
                <c:pt idx="0">
                  <c:v>Totalplay</c:v>
                </c:pt>
              </c:strCache>
            </c:strRef>
          </c:tx>
          <c:spPr>
            <a:ln w="28575" cap="rnd">
              <a:solidFill>
                <a:srgbClr val="263238"/>
              </a:solidFill>
              <a:round/>
            </a:ln>
            <a:effectLst/>
          </c:spPr>
          <c:marker>
            <c:symbol val="none"/>
          </c:marker>
          <c:dLbls>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6A-43B0-AAD3-5480809555C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quarts'!$AH$2:$AX$2</c:f>
              <c:strCache>
                <c:ptCount val="17"/>
                <c:pt idx="0">
                  <c:v>Q1 22</c:v>
                </c:pt>
                <c:pt idx="1">
                  <c:v>Q2 22</c:v>
                </c:pt>
                <c:pt idx="2">
                  <c:v>Q3 22</c:v>
                </c:pt>
                <c:pt idx="3">
                  <c:v>Q4 22</c:v>
                </c:pt>
                <c:pt idx="4">
                  <c:v>Q1 23</c:v>
                </c:pt>
                <c:pt idx="5">
                  <c:v>Q2 23</c:v>
                </c:pt>
                <c:pt idx="6">
                  <c:v>Q3 23</c:v>
                </c:pt>
                <c:pt idx="7">
                  <c:v>Q4 23</c:v>
                </c:pt>
                <c:pt idx="8">
                  <c:v>Q1 24</c:v>
                </c:pt>
                <c:pt idx="9">
                  <c:v>Q2 24</c:v>
                </c:pt>
                <c:pt idx="10">
                  <c:v>Q3 24</c:v>
                </c:pt>
                <c:pt idx="11">
                  <c:v>Q4 24</c:v>
                </c:pt>
                <c:pt idx="12">
                  <c:v>Q1 25</c:v>
                </c:pt>
                <c:pt idx="13">
                  <c:v>Q2 25</c:v>
                </c:pt>
                <c:pt idx="14">
                  <c:v>Q3 25</c:v>
                </c:pt>
                <c:pt idx="15">
                  <c:v>Q4 25</c:v>
                </c:pt>
                <c:pt idx="16">
                  <c:v>Q1 26</c:v>
                </c:pt>
              </c:strCache>
            </c:strRef>
          </c:cat>
          <c:val>
            <c:numRef>
              <c:f>'Market BB quarts'!$AH$10:$AX$10</c:f>
              <c:numCache>
                <c:formatCode>0.0%</c:formatCode>
                <c:ptCount val="17"/>
                <c:pt idx="0">
                  <c:v>0.39312406576980563</c:v>
                </c:pt>
                <c:pt idx="1">
                  <c:v>0.28677713899222179</c:v>
                </c:pt>
                <c:pt idx="2">
                  <c:v>0.32689790575916233</c:v>
                </c:pt>
                <c:pt idx="3">
                  <c:v>0.30911808669656193</c:v>
                </c:pt>
                <c:pt idx="4">
                  <c:v>0.18937768240343344</c:v>
                </c:pt>
                <c:pt idx="5">
                  <c:v>0.15032851511169509</c:v>
                </c:pt>
                <c:pt idx="6">
                  <c:v>0.1871763255240444</c:v>
                </c:pt>
                <c:pt idx="7">
                  <c:v>8.1525462434345775E-2</c:v>
                </c:pt>
                <c:pt idx="8">
                  <c:v>0.12494361750112759</c:v>
                </c:pt>
                <c:pt idx="9">
                  <c:v>0.16426776330820192</c:v>
                </c:pt>
                <c:pt idx="10">
                  <c:v>0.11965101786456178</c:v>
                </c:pt>
                <c:pt idx="11">
                  <c:v>0.15772804054054057</c:v>
                </c:pt>
                <c:pt idx="12">
                  <c:v>1.9045709703287894E-2</c:v>
                </c:pt>
                <c:pt idx="13">
                  <c:v>5.9458398744113072E-2</c:v>
                </c:pt>
                <c:pt idx="14">
                  <c:v>-5.3988868274582602E-2</c:v>
                </c:pt>
                <c:pt idx="15">
                  <c:v>-8.2801386102498653E-2</c:v>
                </c:pt>
                <c:pt idx="16">
                  <c:v>-4.6035805626598481E-2</c:v>
                </c:pt>
              </c:numCache>
            </c:numRef>
          </c:val>
          <c:smooth val="0"/>
          <c:extLst>
            <c:ext xmlns:c16="http://schemas.microsoft.com/office/drawing/2014/chart" uri="{C3380CC4-5D6E-409C-BE32-E72D297353CC}">
              <c16:uniqueId val="{00000000-96AF-4D4E-A9CA-D5AA75EDF64E}"/>
            </c:ext>
          </c:extLst>
        </c:ser>
        <c:ser>
          <c:idx val="1"/>
          <c:order val="1"/>
          <c:tx>
            <c:strRef>
              <c:f>'Market BB quarts'!$B$11</c:f>
              <c:strCache>
                <c:ptCount val="1"/>
                <c:pt idx="0">
                  <c:v>MEGA</c:v>
                </c:pt>
              </c:strCache>
            </c:strRef>
          </c:tx>
          <c:spPr>
            <a:ln w="28575" cap="rnd">
              <a:solidFill>
                <a:srgbClr val="799098"/>
              </a:solidFill>
              <a:prstDash val="solid"/>
              <a:round/>
            </a:ln>
            <a:effectLst/>
          </c:spPr>
          <c:marker>
            <c:symbol val="none"/>
          </c:marker>
          <c:dLbls>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6A-43B0-AAD3-5480809555C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quarts'!$AH$2:$AX$2</c:f>
              <c:strCache>
                <c:ptCount val="17"/>
                <c:pt idx="0">
                  <c:v>Q1 22</c:v>
                </c:pt>
                <c:pt idx="1">
                  <c:v>Q2 22</c:v>
                </c:pt>
                <c:pt idx="2">
                  <c:v>Q3 22</c:v>
                </c:pt>
                <c:pt idx="3">
                  <c:v>Q4 22</c:v>
                </c:pt>
                <c:pt idx="4">
                  <c:v>Q1 23</c:v>
                </c:pt>
                <c:pt idx="5">
                  <c:v>Q2 23</c:v>
                </c:pt>
                <c:pt idx="6">
                  <c:v>Q3 23</c:v>
                </c:pt>
                <c:pt idx="7">
                  <c:v>Q4 23</c:v>
                </c:pt>
                <c:pt idx="8">
                  <c:v>Q1 24</c:v>
                </c:pt>
                <c:pt idx="9">
                  <c:v>Q2 24</c:v>
                </c:pt>
                <c:pt idx="10">
                  <c:v>Q3 24</c:v>
                </c:pt>
                <c:pt idx="11">
                  <c:v>Q4 24</c:v>
                </c:pt>
                <c:pt idx="12">
                  <c:v>Q1 25</c:v>
                </c:pt>
                <c:pt idx="13">
                  <c:v>Q2 25</c:v>
                </c:pt>
                <c:pt idx="14">
                  <c:v>Q3 25</c:v>
                </c:pt>
                <c:pt idx="15">
                  <c:v>Q4 25</c:v>
                </c:pt>
                <c:pt idx="16">
                  <c:v>Q1 26</c:v>
                </c:pt>
              </c:strCache>
            </c:strRef>
          </c:cat>
          <c:val>
            <c:numRef>
              <c:f>'Market BB quarts'!$AH$11:$AX$11</c:f>
              <c:numCache>
                <c:formatCode>0.0%</c:formatCode>
                <c:ptCount val="17"/>
                <c:pt idx="0">
                  <c:v>7.5095097235112318E-2</c:v>
                </c:pt>
                <c:pt idx="1">
                  <c:v>8.190036532713374E-2</c:v>
                </c:pt>
                <c:pt idx="2">
                  <c:v>5.0537467535740621E-2</c:v>
                </c:pt>
                <c:pt idx="3">
                  <c:v>8.982001014520069E-3</c:v>
                </c:pt>
                <c:pt idx="4">
                  <c:v>1.2453817390679633E-2</c:v>
                </c:pt>
                <c:pt idx="5">
                  <c:v>9.1392380039059251E-3</c:v>
                </c:pt>
                <c:pt idx="6">
                  <c:v>4.3630639395005E-2</c:v>
                </c:pt>
                <c:pt idx="7">
                  <c:v>0.11004291305379343</c:v>
                </c:pt>
                <c:pt idx="8">
                  <c:v>0.12601634597293399</c:v>
                </c:pt>
                <c:pt idx="9">
                  <c:v>9.6781199826974529E-2</c:v>
                </c:pt>
                <c:pt idx="10">
                  <c:v>8.2428153475434085E-2</c:v>
                </c:pt>
                <c:pt idx="11">
                  <c:v>8.8864601541613464E-2</c:v>
                </c:pt>
                <c:pt idx="12">
                  <c:v>8.2338931327575748E-2</c:v>
                </c:pt>
                <c:pt idx="13">
                  <c:v>9.6536431537110889E-2</c:v>
                </c:pt>
                <c:pt idx="14">
                  <c:v>0.10247998128969771</c:v>
                </c:pt>
                <c:pt idx="15">
                  <c:v>7.6576764416759868E-2</c:v>
                </c:pt>
                <c:pt idx="16">
                  <c:v>8.502103969188135E-2</c:v>
                </c:pt>
              </c:numCache>
            </c:numRef>
          </c:val>
          <c:smooth val="0"/>
          <c:extLst>
            <c:ext xmlns:c16="http://schemas.microsoft.com/office/drawing/2014/chart" uri="{C3380CC4-5D6E-409C-BE32-E72D297353CC}">
              <c16:uniqueId val="{00000001-96AF-4D4E-A9CA-D5AA75EDF64E}"/>
            </c:ext>
          </c:extLst>
        </c:ser>
        <c:ser>
          <c:idx val="2"/>
          <c:order val="2"/>
          <c:tx>
            <c:strRef>
              <c:f>'Market BB quarts'!$B$12</c:f>
              <c:strCache>
                <c:ptCount val="1"/>
                <c:pt idx="0">
                  <c:v>Televisa</c:v>
                </c:pt>
              </c:strCache>
            </c:strRef>
          </c:tx>
          <c:spPr>
            <a:ln w="28575" cap="rnd">
              <a:solidFill>
                <a:srgbClr val="F9663E"/>
              </a:solidFill>
              <a:round/>
            </a:ln>
            <a:effectLst/>
          </c:spPr>
          <c:marker>
            <c:symbol val="none"/>
          </c:marker>
          <c:dLbls>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6A-43B0-AAD3-5480809555C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quarts'!$AH$2:$AX$2</c:f>
              <c:strCache>
                <c:ptCount val="17"/>
                <c:pt idx="0">
                  <c:v>Q1 22</c:v>
                </c:pt>
                <c:pt idx="1">
                  <c:v>Q2 22</c:v>
                </c:pt>
                <c:pt idx="2">
                  <c:v>Q3 22</c:v>
                </c:pt>
                <c:pt idx="3">
                  <c:v>Q4 22</c:v>
                </c:pt>
                <c:pt idx="4">
                  <c:v>Q1 23</c:v>
                </c:pt>
                <c:pt idx="5">
                  <c:v>Q2 23</c:v>
                </c:pt>
                <c:pt idx="6">
                  <c:v>Q3 23</c:v>
                </c:pt>
                <c:pt idx="7">
                  <c:v>Q4 23</c:v>
                </c:pt>
                <c:pt idx="8">
                  <c:v>Q1 24</c:v>
                </c:pt>
                <c:pt idx="9">
                  <c:v>Q2 24</c:v>
                </c:pt>
                <c:pt idx="10">
                  <c:v>Q3 24</c:v>
                </c:pt>
                <c:pt idx="11">
                  <c:v>Q4 24</c:v>
                </c:pt>
                <c:pt idx="12">
                  <c:v>Q1 25</c:v>
                </c:pt>
                <c:pt idx="13">
                  <c:v>Q2 25</c:v>
                </c:pt>
                <c:pt idx="14">
                  <c:v>Q3 25</c:v>
                </c:pt>
                <c:pt idx="15">
                  <c:v>Q4 25</c:v>
                </c:pt>
                <c:pt idx="16">
                  <c:v>Q1 26</c:v>
                </c:pt>
              </c:strCache>
            </c:strRef>
          </c:cat>
          <c:val>
            <c:numRef>
              <c:f>'Market BB quarts'!$AH$12:$AX$12</c:f>
              <c:numCache>
                <c:formatCode>0.0%</c:formatCode>
                <c:ptCount val="17"/>
                <c:pt idx="0">
                  <c:v>5.8691439293733882E-2</c:v>
                </c:pt>
                <c:pt idx="1">
                  <c:v>-4.1661941483329468E-2</c:v>
                </c:pt>
                <c:pt idx="2">
                  <c:v>-3.8753574598165752E-2</c:v>
                </c:pt>
                <c:pt idx="3">
                  <c:v>-0.12191983153215091</c:v>
                </c:pt>
                <c:pt idx="4">
                  <c:v>-2.266321875817201E-2</c:v>
                </c:pt>
                <c:pt idx="5">
                  <c:v>-2.7335256268027797E-2</c:v>
                </c:pt>
                <c:pt idx="6">
                  <c:v>-8.7695644527815197E-2</c:v>
                </c:pt>
                <c:pt idx="7">
                  <c:v>-4.7964825794417076E-2</c:v>
                </c:pt>
                <c:pt idx="8">
                  <c:v>-9.8976770095691391E-2</c:v>
                </c:pt>
                <c:pt idx="9">
                  <c:v>-3.1855502447219353E-2</c:v>
                </c:pt>
                <c:pt idx="10">
                  <c:v>-1.4498897161203672E-3</c:v>
                </c:pt>
                <c:pt idx="11">
                  <c:v>-1.2097669584792747E-2</c:v>
                </c:pt>
                <c:pt idx="12">
                  <c:v>-2.0025975849480404E-2</c:v>
                </c:pt>
                <c:pt idx="13">
                  <c:v>-3.1833000494990493E-2</c:v>
                </c:pt>
                <c:pt idx="14">
                  <c:v>-6.4003960466061383E-3</c:v>
                </c:pt>
                <c:pt idx="15">
                  <c:v>9.786692872420355E-2</c:v>
                </c:pt>
                <c:pt idx="16">
                  <c:v>6.1520551625324549E-2</c:v>
                </c:pt>
              </c:numCache>
            </c:numRef>
          </c:val>
          <c:smooth val="0"/>
          <c:extLst>
            <c:ext xmlns:c16="http://schemas.microsoft.com/office/drawing/2014/chart" uri="{C3380CC4-5D6E-409C-BE32-E72D297353CC}">
              <c16:uniqueId val="{00000002-96AF-4D4E-A9CA-D5AA75EDF64E}"/>
            </c:ext>
          </c:extLst>
        </c:ser>
        <c:ser>
          <c:idx val="3"/>
          <c:order val="3"/>
          <c:tx>
            <c:strRef>
              <c:f>'Market BB quarts'!$B$13</c:f>
              <c:strCache>
                <c:ptCount val="1"/>
                <c:pt idx="0">
                  <c:v>Total EBITDA (ex Telmex)</c:v>
                </c:pt>
              </c:strCache>
            </c:strRef>
          </c:tx>
          <c:spPr>
            <a:ln w="28575" cap="rnd">
              <a:solidFill>
                <a:srgbClr val="00CC99"/>
              </a:solidFill>
              <a:prstDash val="dash"/>
              <a:round/>
            </a:ln>
            <a:effectLst/>
          </c:spPr>
          <c:marker>
            <c:symbol val="none"/>
          </c:marker>
          <c:dLbls>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6A-43B0-AAD3-5480809555C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quarts'!$AH$2:$AX$2</c:f>
              <c:strCache>
                <c:ptCount val="17"/>
                <c:pt idx="0">
                  <c:v>Q1 22</c:v>
                </c:pt>
                <c:pt idx="1">
                  <c:v>Q2 22</c:v>
                </c:pt>
                <c:pt idx="2">
                  <c:v>Q3 22</c:v>
                </c:pt>
                <c:pt idx="3">
                  <c:v>Q4 22</c:v>
                </c:pt>
                <c:pt idx="4">
                  <c:v>Q1 23</c:v>
                </c:pt>
                <c:pt idx="5">
                  <c:v>Q2 23</c:v>
                </c:pt>
                <c:pt idx="6">
                  <c:v>Q3 23</c:v>
                </c:pt>
                <c:pt idx="7">
                  <c:v>Q4 23</c:v>
                </c:pt>
                <c:pt idx="8">
                  <c:v>Q1 24</c:v>
                </c:pt>
                <c:pt idx="9">
                  <c:v>Q2 24</c:v>
                </c:pt>
                <c:pt idx="10">
                  <c:v>Q3 24</c:v>
                </c:pt>
                <c:pt idx="11">
                  <c:v>Q4 24</c:v>
                </c:pt>
                <c:pt idx="12">
                  <c:v>Q1 25</c:v>
                </c:pt>
                <c:pt idx="13">
                  <c:v>Q2 25</c:v>
                </c:pt>
                <c:pt idx="14">
                  <c:v>Q3 25</c:v>
                </c:pt>
                <c:pt idx="15">
                  <c:v>Q4 25</c:v>
                </c:pt>
                <c:pt idx="16">
                  <c:v>Q1 26</c:v>
                </c:pt>
              </c:strCache>
            </c:strRef>
          </c:cat>
          <c:val>
            <c:numRef>
              <c:f>'Market BB quarts'!$AH$13:$AX$13</c:f>
              <c:numCache>
                <c:formatCode>0.0%</c:formatCode>
                <c:ptCount val="17"/>
                <c:pt idx="0">
                  <c:v>0.13625377546770467</c:v>
                </c:pt>
                <c:pt idx="1">
                  <c:v>6.1470213321456635E-2</c:v>
                </c:pt>
                <c:pt idx="2">
                  <c:v>6.6568493485611668E-2</c:v>
                </c:pt>
                <c:pt idx="3">
                  <c:v>1.7206439138463869E-2</c:v>
                </c:pt>
                <c:pt idx="4">
                  <c:v>4.2645359557823115E-2</c:v>
                </c:pt>
                <c:pt idx="5">
                  <c:v>3.0164864586834206E-2</c:v>
                </c:pt>
                <c:pt idx="6">
                  <c:v>2.1273649629455438E-2</c:v>
                </c:pt>
                <c:pt idx="7">
                  <c:v>3.0505538362859408E-2</c:v>
                </c:pt>
                <c:pt idx="8">
                  <c:v>2.4248302895424567E-2</c:v>
                </c:pt>
                <c:pt idx="9">
                  <c:v>6.1545016452958956E-2</c:v>
                </c:pt>
                <c:pt idx="10">
                  <c:v>6.0954775921765014E-2</c:v>
                </c:pt>
                <c:pt idx="11">
                  <c:v>7.3663969773056781E-2</c:v>
                </c:pt>
                <c:pt idx="12">
                  <c:v>1.9765624934742876E-2</c:v>
                </c:pt>
                <c:pt idx="13">
                  <c:v>3.1906432796734441E-2</c:v>
                </c:pt>
                <c:pt idx="14">
                  <c:v>2.7045383634798359E-3</c:v>
                </c:pt>
                <c:pt idx="15">
                  <c:v>2.3702417867295544E-2</c:v>
                </c:pt>
                <c:pt idx="16">
                  <c:v>3.0593179146631844E-2</c:v>
                </c:pt>
              </c:numCache>
            </c:numRef>
          </c:val>
          <c:smooth val="0"/>
          <c:extLst>
            <c:ext xmlns:c16="http://schemas.microsoft.com/office/drawing/2014/chart" uri="{C3380CC4-5D6E-409C-BE32-E72D297353CC}">
              <c16:uniqueId val="{00000003-608C-477A-B7A6-932635009EB0}"/>
            </c:ext>
          </c:extLst>
        </c:ser>
        <c:dLbls>
          <c:showLegendKey val="0"/>
          <c:showVal val="0"/>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legend>
      <c:legendPos val="b"/>
      <c:layout>
        <c:manualLayout>
          <c:xMode val="edge"/>
          <c:yMode val="edge"/>
          <c:x val="5.5844648868530272E-2"/>
          <c:y val="0.88607154587358394"/>
          <c:w val="0.89043913746332559"/>
          <c:h val="9.364677838090478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'Market BB quarts'!$C$356</c:f>
              <c:strCache>
                <c:ptCount val="1"/>
                <c:pt idx="0">
                  <c:v>FY22</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quarts'!$B$364:$B$366</c:f>
              <c:strCache>
                <c:ptCount val="3"/>
                <c:pt idx="0">
                  <c:v>MEGA </c:v>
                </c:pt>
                <c:pt idx="1">
                  <c:v>Televisa Cable</c:v>
                </c:pt>
                <c:pt idx="2">
                  <c:v>Totalplay</c:v>
                </c:pt>
              </c:strCache>
            </c:strRef>
          </c:cat>
          <c:val>
            <c:numRef>
              <c:f>'Market BB quarts'!$C$364:$C$366</c:f>
            </c:numRef>
          </c:val>
          <c:extLst>
            <c:ext xmlns:c16="http://schemas.microsoft.com/office/drawing/2014/chart" uri="{C3380CC4-5D6E-409C-BE32-E72D297353CC}">
              <c16:uniqueId val="{00000000-3847-4986-8373-DD0E19E8F0E7}"/>
            </c:ext>
          </c:extLst>
        </c:ser>
        <c:ser>
          <c:idx val="1"/>
          <c:order val="1"/>
          <c:tx>
            <c:strRef>
              <c:f>'Market BB quarts'!$D$356</c:f>
              <c:strCache>
                <c:ptCount val="1"/>
                <c:pt idx="0">
                  <c:v>FY23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quarts'!$B$364:$B$366</c:f>
              <c:strCache>
                <c:ptCount val="3"/>
                <c:pt idx="0">
                  <c:v>MEGA </c:v>
                </c:pt>
                <c:pt idx="1">
                  <c:v>Televisa Cable</c:v>
                </c:pt>
                <c:pt idx="2">
                  <c:v>Totalplay</c:v>
                </c:pt>
              </c:strCache>
            </c:strRef>
          </c:cat>
          <c:val>
            <c:numRef>
              <c:f>'Market BB quarts'!$D$364:$D$366</c:f>
            </c:numRef>
          </c:val>
          <c:extLst>
            <c:ext xmlns:c16="http://schemas.microsoft.com/office/drawing/2014/chart" uri="{C3380CC4-5D6E-409C-BE32-E72D297353CC}">
              <c16:uniqueId val="{00000002-3847-4986-8373-DD0E19E8F0E7}"/>
            </c:ext>
          </c:extLst>
        </c:ser>
        <c:ser>
          <c:idx val="2"/>
          <c:order val="2"/>
          <c:tx>
            <c:strRef>
              <c:f>'Market BB quarts'!$E$356</c:f>
              <c:strCache>
                <c:ptCount val="1"/>
                <c:pt idx="0">
                  <c:v>FY24e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quarts'!$B$364:$B$366</c:f>
              <c:strCache>
                <c:ptCount val="3"/>
                <c:pt idx="0">
                  <c:v>MEGA </c:v>
                </c:pt>
                <c:pt idx="1">
                  <c:v>Televisa Cable</c:v>
                </c:pt>
                <c:pt idx="2">
                  <c:v>Totalplay</c:v>
                </c:pt>
              </c:strCache>
            </c:strRef>
          </c:cat>
          <c:val>
            <c:numRef>
              <c:f>'Market BB quarts'!$E$364:$E$366</c:f>
            </c:numRef>
          </c:val>
          <c:extLst>
            <c:ext xmlns:c16="http://schemas.microsoft.com/office/drawing/2014/chart" uri="{C3380CC4-5D6E-409C-BE32-E72D297353CC}">
              <c16:uniqueId val="{00000004-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'Market BB quarts'!$C$356</c:f>
              <c:strCache>
                <c:ptCount val="1"/>
                <c:pt idx="0">
                  <c:v>FY22</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quarts'!$B$367</c:f>
              <c:strCache>
                <c:ptCount val="1"/>
                <c:pt idx="0">
                  <c:v>AMX Group</c:v>
                </c:pt>
              </c:strCache>
            </c:strRef>
          </c:cat>
          <c:val>
            <c:numRef>
              <c:f>'Market BB quarts'!$C$367</c:f>
            </c:numRef>
          </c:val>
          <c:extLst>
            <c:ext xmlns:c16="http://schemas.microsoft.com/office/drawing/2014/chart" uri="{C3380CC4-5D6E-409C-BE32-E72D297353CC}">
              <c16:uniqueId val="{00000000-3847-4986-8373-DD0E19E8F0E7}"/>
            </c:ext>
          </c:extLst>
        </c:ser>
        <c:ser>
          <c:idx val="1"/>
          <c:order val="1"/>
          <c:tx>
            <c:strRef>
              <c:f>'Market BB quarts'!$D$356</c:f>
              <c:strCache>
                <c:ptCount val="1"/>
                <c:pt idx="0">
                  <c:v>FY23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quarts'!$B$367</c:f>
              <c:strCache>
                <c:ptCount val="1"/>
                <c:pt idx="0">
                  <c:v>AMX Group</c:v>
                </c:pt>
              </c:strCache>
            </c:strRef>
          </c:cat>
          <c:val>
            <c:numRef>
              <c:f>'Market BB quarts'!$D$367</c:f>
            </c:numRef>
          </c:val>
          <c:extLst>
            <c:ext xmlns:c16="http://schemas.microsoft.com/office/drawing/2014/chart" uri="{C3380CC4-5D6E-409C-BE32-E72D297353CC}">
              <c16:uniqueId val="{00000002-3847-4986-8373-DD0E19E8F0E7}"/>
            </c:ext>
          </c:extLst>
        </c:ser>
        <c:ser>
          <c:idx val="2"/>
          <c:order val="2"/>
          <c:tx>
            <c:strRef>
              <c:f>'Market BB quarts'!$E$356</c:f>
              <c:strCache>
                <c:ptCount val="1"/>
                <c:pt idx="0">
                  <c:v>FY24e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quarts'!$B$367</c:f>
              <c:strCache>
                <c:ptCount val="1"/>
                <c:pt idx="0">
                  <c:v>AMX Group</c:v>
                </c:pt>
              </c:strCache>
            </c:strRef>
          </c:cat>
          <c:val>
            <c:numRef>
              <c:f>'Market BB quarts'!$E$367</c:f>
            </c:numRef>
          </c:val>
          <c:extLst>
            <c:ext xmlns:c16="http://schemas.microsoft.com/office/drawing/2014/chart" uri="{C3380CC4-5D6E-409C-BE32-E72D297353CC}">
              <c16:uniqueId val="{00000004-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2.0119799942650649E-2"/>
          <c:y val="4.9403879306711862E-2"/>
          <c:w val="0.93676634303738371"/>
          <c:h val="0.7639434669204721"/>
        </c:manualLayout>
      </c:layout>
      <c:barChart>
        <c:barDir val="col"/>
        <c:grouping val="clustered"/>
        <c:varyColors val="0"/>
        <c:ser>
          <c:idx val="0"/>
          <c:order val="0"/>
          <c:tx>
            <c:strRef>
              <c:f>'Market BB quarts'!$C$440</c:f>
              <c:strCache>
                <c:ptCount val="1"/>
                <c:pt idx="0">
                  <c:v>FY23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quarts'!$B$441:$B$443</c:f>
              <c:strCache>
                <c:ptCount val="3"/>
                <c:pt idx="0">
                  <c:v>MEGA</c:v>
                </c:pt>
                <c:pt idx="1">
                  <c:v>Totalplay</c:v>
                </c:pt>
                <c:pt idx="2">
                  <c:v>TV (Cable)</c:v>
                </c:pt>
              </c:strCache>
            </c:strRef>
          </c:cat>
          <c:val>
            <c:numRef>
              <c:f>'Market BB quarts'!$C$441:$C$443</c:f>
            </c:numRef>
          </c:val>
          <c:extLst>
            <c:ext xmlns:c16="http://schemas.microsoft.com/office/drawing/2014/chart" uri="{C3380CC4-5D6E-409C-BE32-E72D297353CC}">
              <c16:uniqueId val="{00000000-3847-4986-8373-DD0E19E8F0E7}"/>
            </c:ext>
          </c:extLst>
        </c:ser>
        <c:ser>
          <c:idx val="1"/>
          <c:order val="1"/>
          <c:tx>
            <c:strRef>
              <c:f>'Market BB quarts'!$D$440</c:f>
              <c:strCache>
                <c:ptCount val="1"/>
                <c:pt idx="0">
                  <c:v>FY24</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quarts'!$B$441:$B$443</c:f>
              <c:strCache>
                <c:ptCount val="3"/>
                <c:pt idx="0">
                  <c:v>MEGA</c:v>
                </c:pt>
                <c:pt idx="1">
                  <c:v>Totalplay</c:v>
                </c:pt>
                <c:pt idx="2">
                  <c:v>TV (Cable)</c:v>
                </c:pt>
              </c:strCache>
            </c:strRef>
          </c:cat>
          <c:val>
            <c:numRef>
              <c:f>'Market BB quarts'!$D$441:$D$443</c:f>
            </c:numRef>
          </c:val>
          <c:extLst>
            <c:ext xmlns:c16="http://schemas.microsoft.com/office/drawing/2014/chart" uri="{C3380CC4-5D6E-409C-BE32-E72D297353CC}">
              <c16:uniqueId val="{00000002-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'Market BB quarts'!$C$445</c:f>
              <c:strCache>
                <c:ptCount val="1"/>
                <c:pt idx="0">
                  <c:v>FY23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quarts'!$B$446:$B$448</c:f>
              <c:strCache>
                <c:ptCount val="3"/>
                <c:pt idx="0">
                  <c:v>MEGA</c:v>
                </c:pt>
                <c:pt idx="1">
                  <c:v>Totalplay</c:v>
                </c:pt>
                <c:pt idx="2">
                  <c:v>TV (Cable)</c:v>
                </c:pt>
              </c:strCache>
            </c:strRef>
          </c:cat>
          <c:val>
            <c:numRef>
              <c:f>'Market BB quarts'!$C$446:$C$448</c:f>
            </c:numRef>
          </c:val>
          <c:extLst>
            <c:ext xmlns:c16="http://schemas.microsoft.com/office/drawing/2014/chart" uri="{C3380CC4-5D6E-409C-BE32-E72D297353CC}">
              <c16:uniqueId val="{00000000-3847-4986-8373-DD0E19E8F0E7}"/>
            </c:ext>
          </c:extLst>
        </c:ser>
        <c:ser>
          <c:idx val="1"/>
          <c:order val="1"/>
          <c:tx>
            <c:strRef>
              <c:f>'Market BB quarts'!$D$445</c:f>
              <c:strCache>
                <c:ptCount val="1"/>
                <c:pt idx="0">
                  <c:v>FY24</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quarts'!$B$446:$B$448</c:f>
              <c:strCache>
                <c:ptCount val="3"/>
                <c:pt idx="0">
                  <c:v>MEGA</c:v>
                </c:pt>
                <c:pt idx="1">
                  <c:v>Totalplay</c:v>
                </c:pt>
                <c:pt idx="2">
                  <c:v>TV (Cable)</c:v>
                </c:pt>
              </c:strCache>
            </c:strRef>
          </c:cat>
          <c:val>
            <c:numRef>
              <c:f>'Market BB quarts'!$D$446:$D$448</c:f>
            </c:numRef>
          </c:val>
          <c:extLst>
            <c:ext xmlns:c16="http://schemas.microsoft.com/office/drawing/2014/chart" uri="{C3380CC4-5D6E-409C-BE32-E72D297353CC}">
              <c16:uniqueId val="{00000002-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'Market BB quarts'!$B$57</c:f>
              <c:strCache>
                <c:ptCount val="1"/>
                <c:pt idx="0">
                  <c:v>Totalplay</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quarts'!$S$33:$AA$33</c:f>
              <c:strCache>
                <c:ptCount val="9"/>
                <c:pt idx="0">
                  <c:v>Q1 24</c:v>
                </c:pt>
                <c:pt idx="1">
                  <c:v>Q2 24</c:v>
                </c:pt>
                <c:pt idx="2">
                  <c:v>Q3 24</c:v>
                </c:pt>
                <c:pt idx="3">
                  <c:v>Q4 24</c:v>
                </c:pt>
                <c:pt idx="4">
                  <c:v>Q1 25</c:v>
                </c:pt>
                <c:pt idx="5">
                  <c:v>Q2 25</c:v>
                </c:pt>
                <c:pt idx="6">
                  <c:v>Q3 25</c:v>
                </c:pt>
                <c:pt idx="7">
                  <c:v>Q4 25</c:v>
                </c:pt>
                <c:pt idx="8">
                  <c:v>Q1 26</c:v>
                </c:pt>
              </c:strCache>
            </c:strRef>
          </c:cat>
          <c:val>
            <c:numRef>
              <c:f>'Market BB quarts'!$S$57:$AA$57</c:f>
              <c:numCache>
                <c:formatCode>#,##0</c:formatCode>
                <c:ptCount val="9"/>
                <c:pt idx="0">
                  <c:v>128.30000000000018</c:v>
                </c:pt>
                <c:pt idx="1">
                  <c:v>101.69999999999982</c:v>
                </c:pt>
                <c:pt idx="2">
                  <c:v>115</c:v>
                </c:pt>
                <c:pt idx="3">
                  <c:v>95</c:v>
                </c:pt>
                <c:pt idx="4">
                  <c:v>109</c:v>
                </c:pt>
                <c:pt idx="5">
                  <c:v>32</c:v>
                </c:pt>
                <c:pt idx="6">
                  <c:v>31</c:v>
                </c:pt>
                <c:pt idx="7">
                  <c:v>48</c:v>
                </c:pt>
                <c:pt idx="8">
                  <c:v>115</c:v>
                </c:pt>
              </c:numCache>
            </c:numRef>
          </c:val>
          <c:extLst>
            <c:ext xmlns:c16="http://schemas.microsoft.com/office/drawing/2014/chart" uri="{C3380CC4-5D6E-409C-BE32-E72D297353CC}">
              <c16:uniqueId val="{00000000-9927-4400-BB16-F2BBD5E38568}"/>
            </c:ext>
          </c:extLst>
        </c:ser>
        <c:ser>
          <c:idx val="1"/>
          <c:order val="1"/>
          <c:tx>
            <c:strRef>
              <c:f>'Market BB quarts'!$B$58</c:f>
              <c:strCache>
                <c:ptCount val="1"/>
                <c:pt idx="0">
                  <c:v>MEGA</c:v>
                </c:pt>
              </c:strCache>
            </c:strRef>
          </c:tx>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quarts'!$S$33:$AA$33</c:f>
              <c:strCache>
                <c:ptCount val="9"/>
                <c:pt idx="0">
                  <c:v>Q1 24</c:v>
                </c:pt>
                <c:pt idx="1">
                  <c:v>Q2 24</c:v>
                </c:pt>
                <c:pt idx="2">
                  <c:v>Q3 24</c:v>
                </c:pt>
                <c:pt idx="3">
                  <c:v>Q4 24</c:v>
                </c:pt>
                <c:pt idx="4">
                  <c:v>Q1 25</c:v>
                </c:pt>
                <c:pt idx="5">
                  <c:v>Q2 25</c:v>
                </c:pt>
                <c:pt idx="6">
                  <c:v>Q3 25</c:v>
                </c:pt>
                <c:pt idx="7">
                  <c:v>Q4 25</c:v>
                </c:pt>
                <c:pt idx="8">
                  <c:v>Q1 26</c:v>
                </c:pt>
              </c:strCache>
            </c:strRef>
          </c:cat>
          <c:val>
            <c:numRef>
              <c:f>'Market BB quarts'!$S$58:$AA$58</c:f>
              <c:numCache>
                <c:formatCode>#,##0</c:formatCode>
                <c:ptCount val="9"/>
                <c:pt idx="0">
                  <c:v>151.32999999999993</c:v>
                </c:pt>
                <c:pt idx="1">
                  <c:v>90.765000000000327</c:v>
                </c:pt>
                <c:pt idx="2">
                  <c:v>181.80000000000018</c:v>
                </c:pt>
                <c:pt idx="3">
                  <c:v>166.5029999999997</c:v>
                </c:pt>
                <c:pt idx="4">
                  <c:v>100.15099999999984</c:v>
                </c:pt>
                <c:pt idx="5">
                  <c:v>132.44500000000062</c:v>
                </c:pt>
                <c:pt idx="6">
                  <c:v>128.54199999999946</c:v>
                </c:pt>
                <c:pt idx="7">
                  <c:v>132.63100000000031</c:v>
                </c:pt>
                <c:pt idx="8">
                  <c:v>101.26299999999992</c:v>
                </c:pt>
              </c:numCache>
            </c:numRef>
          </c:val>
          <c:extLst>
            <c:ext xmlns:c16="http://schemas.microsoft.com/office/drawing/2014/chart" uri="{C3380CC4-5D6E-409C-BE32-E72D297353CC}">
              <c16:uniqueId val="{00000001-9927-4400-BB16-F2BBD5E38568}"/>
            </c:ext>
          </c:extLst>
        </c:ser>
        <c:ser>
          <c:idx val="2"/>
          <c:order val="2"/>
          <c:tx>
            <c:strRef>
              <c:f>'Market BB quarts'!$B$59</c:f>
              <c:strCache>
                <c:ptCount val="1"/>
                <c:pt idx="0">
                  <c:v>Televisa</c:v>
                </c:pt>
              </c:strCache>
            </c:strRef>
          </c:tx>
          <c:spPr>
            <a:solidFill>
              <a:srgbClr val="F9663E"/>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quarts'!$S$33:$AA$33</c:f>
              <c:strCache>
                <c:ptCount val="9"/>
                <c:pt idx="0">
                  <c:v>Q1 24</c:v>
                </c:pt>
                <c:pt idx="1">
                  <c:v>Q2 24</c:v>
                </c:pt>
                <c:pt idx="2">
                  <c:v>Q3 24</c:v>
                </c:pt>
                <c:pt idx="3">
                  <c:v>Q4 24</c:v>
                </c:pt>
                <c:pt idx="4">
                  <c:v>Q1 25</c:v>
                </c:pt>
                <c:pt idx="5">
                  <c:v>Q2 25</c:v>
                </c:pt>
                <c:pt idx="6">
                  <c:v>Q3 25</c:v>
                </c:pt>
                <c:pt idx="7">
                  <c:v>Q4 25</c:v>
                </c:pt>
                <c:pt idx="8">
                  <c:v>Q1 26</c:v>
                </c:pt>
              </c:strCache>
            </c:strRef>
          </c:cat>
          <c:val>
            <c:numRef>
              <c:f>'Market BB quarts'!$S$59:$AA$59</c:f>
              <c:numCache>
                <c:formatCode>#,##0</c:formatCode>
                <c:ptCount val="9"/>
                <c:pt idx="0">
                  <c:v>10.569000000000415</c:v>
                </c:pt>
                <c:pt idx="1">
                  <c:v>11</c:v>
                </c:pt>
                <c:pt idx="2">
                  <c:v>11.168999999999869</c:v>
                </c:pt>
                <c:pt idx="3">
                  <c:v>-85.168999999999869</c:v>
                </c:pt>
                <c:pt idx="4">
                  <c:v>-5.5559999999995853</c:v>
                </c:pt>
                <c:pt idx="5">
                  <c:v>6.3809999999994034</c:v>
                </c:pt>
                <c:pt idx="6">
                  <c:v>21.583000000000538</c:v>
                </c:pt>
                <c:pt idx="7">
                  <c:v>24.591999999999643</c:v>
                </c:pt>
                <c:pt idx="8">
                  <c:v>25</c:v>
                </c:pt>
              </c:numCache>
            </c:numRef>
          </c:val>
          <c:extLst>
            <c:ext xmlns:c16="http://schemas.microsoft.com/office/drawing/2014/chart" uri="{C3380CC4-5D6E-409C-BE32-E72D297353CC}">
              <c16:uniqueId val="{00000002-9927-4400-BB16-F2BBD5E38568}"/>
            </c:ext>
          </c:extLst>
        </c:ser>
        <c:ser>
          <c:idx val="3"/>
          <c:order val="3"/>
          <c:tx>
            <c:strRef>
              <c:f>'Market BB quarts'!$B$60</c:f>
              <c:strCache>
                <c:ptCount val="1"/>
                <c:pt idx="0">
                  <c:v>Telmex</c:v>
                </c:pt>
              </c:strCache>
            </c:strRef>
          </c:tx>
          <c:spPr>
            <a:solidFill>
              <a:srgbClr val="C7FE02"/>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'Market BB quarts'!$S$33:$AA$33</c:f>
              <c:strCache>
                <c:ptCount val="9"/>
                <c:pt idx="0">
                  <c:v>Q1 24</c:v>
                </c:pt>
                <c:pt idx="1">
                  <c:v>Q2 24</c:v>
                </c:pt>
                <c:pt idx="2">
                  <c:v>Q3 24</c:v>
                </c:pt>
                <c:pt idx="3">
                  <c:v>Q4 24</c:v>
                </c:pt>
                <c:pt idx="4">
                  <c:v>Q1 25</c:v>
                </c:pt>
                <c:pt idx="5">
                  <c:v>Q2 25</c:v>
                </c:pt>
                <c:pt idx="6">
                  <c:v>Q3 25</c:v>
                </c:pt>
                <c:pt idx="7">
                  <c:v>Q4 25</c:v>
                </c:pt>
                <c:pt idx="8">
                  <c:v>Q1 26</c:v>
                </c:pt>
              </c:strCache>
            </c:strRef>
          </c:cat>
          <c:val>
            <c:numRef>
              <c:f>'Market BB quarts'!$S$60:$AA$60</c:f>
              <c:numCache>
                <c:formatCode>#,##0</c:formatCode>
                <c:ptCount val="9"/>
                <c:pt idx="0">
                  <c:v>325</c:v>
                </c:pt>
                <c:pt idx="1">
                  <c:v>148</c:v>
                </c:pt>
                <c:pt idx="2">
                  <c:v>115</c:v>
                </c:pt>
                <c:pt idx="3">
                  <c:v>132</c:v>
                </c:pt>
                <c:pt idx="4">
                  <c:v>165</c:v>
                </c:pt>
                <c:pt idx="5">
                  <c:v>231</c:v>
                </c:pt>
                <c:pt idx="6">
                  <c:v>211</c:v>
                </c:pt>
                <c:pt idx="7">
                  <c:v>185</c:v>
                </c:pt>
                <c:pt idx="8">
                  <c:v>174</c:v>
                </c:pt>
              </c:numCache>
            </c:numRef>
          </c:val>
          <c:extLst>
            <c:ext xmlns:c16="http://schemas.microsoft.com/office/drawing/2014/chart" uri="{C3380CC4-5D6E-409C-BE32-E72D297353CC}">
              <c16:uniqueId val="{00000003-9927-4400-BB16-F2BBD5E38568}"/>
            </c:ext>
          </c:extLst>
        </c:ser>
        <c:dLbls>
          <c:showLegendKey val="0"/>
          <c:showVal val="0"/>
          <c:showCatName val="0"/>
          <c:showSerName val="0"/>
          <c:showPercent val="0"/>
          <c:showBubbleSize val="0"/>
        </c:dLbls>
        <c:gapWidth val="30"/>
        <c:overlap val="-27"/>
        <c:axId val="1240560944"/>
        <c:axId val="1240562864"/>
      </c:barChart>
      <c:catAx>
        <c:axId val="1240560944"/>
        <c:scaling>
          <c:orientation val="minMax"/>
        </c:scaling>
        <c:delete val="0"/>
        <c:axPos val="b"/>
        <c:numFmt formatCode="General" sourceLinked="1"/>
        <c:majorTickMark val="out"/>
        <c:minorTickMark val="none"/>
        <c:tickLblPos val="low"/>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240562864"/>
        <c:crosses val="autoZero"/>
        <c:auto val="1"/>
        <c:lblAlgn val="ctr"/>
        <c:lblOffset val="100"/>
        <c:noMultiLvlLbl val="0"/>
      </c:catAx>
      <c:valAx>
        <c:axId val="1240562864"/>
        <c:scaling>
          <c:orientation val="minMax"/>
        </c:scaling>
        <c:delete val="1"/>
        <c:axPos val="l"/>
        <c:numFmt formatCode="#,##0" sourceLinked="1"/>
        <c:majorTickMark val="out"/>
        <c:minorTickMark val="none"/>
        <c:tickLblPos val="nextTo"/>
        <c:crossAx val="124056094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Analysis!$C$17</c:f>
              <c:strCache>
                <c:ptCount val="1"/>
                <c:pt idx="0">
                  <c:v>Homes passed</c:v>
                </c:pt>
              </c:strCache>
            </c:strRef>
          </c:tx>
          <c:spPr>
            <a:solidFill>
              <a:srgbClr val="000080"/>
            </a:solidFill>
            <a:ln w="25400">
              <a:noFill/>
            </a:ln>
            <a:effectLst/>
          </c:spPr>
          <c:invertIfNegative val="0"/>
          <c:cat>
            <c:numRef>
              <c:f>Analysis!$D$16:$O$16</c:f>
              <c:numCache>
                <c:formatCode>General</c:formatCode>
                <c:ptCount val="12"/>
                <c:pt idx="0">
                  <c:v>2009</c:v>
                </c:pt>
                <c:pt idx="1">
                  <c:v>2010</c:v>
                </c:pt>
                <c:pt idx="3">
                  <c:v>2012</c:v>
                </c:pt>
                <c:pt idx="4">
                  <c:v>2013</c:v>
                </c:pt>
                <c:pt idx="5">
                  <c:v>2014</c:v>
                </c:pt>
                <c:pt idx="6">
                  <c:v>2015</c:v>
                </c:pt>
                <c:pt idx="7">
                  <c:v>2016</c:v>
                </c:pt>
                <c:pt idx="8">
                  <c:v>2017</c:v>
                </c:pt>
                <c:pt idx="9">
                  <c:v>2018</c:v>
                </c:pt>
                <c:pt idx="10">
                  <c:v>2019</c:v>
                </c:pt>
                <c:pt idx="11">
                  <c:v>2020</c:v>
                </c:pt>
              </c:numCache>
            </c:numRef>
          </c:cat>
          <c:val>
            <c:numRef>
              <c:f>Analysis!$D$17:$O$17</c:f>
              <c:numCache>
                <c:formatCode>General</c:formatCode>
                <c:ptCount val="12"/>
                <c:pt idx="0">
                  <c:v>4599</c:v>
                </c:pt>
                <c:pt idx="1">
                  <c:v>5214</c:v>
                </c:pt>
                <c:pt idx="3">
                  <c:v>6210</c:v>
                </c:pt>
                <c:pt idx="4">
                  <c:v>6573</c:v>
                </c:pt>
                <c:pt idx="5">
                  <c:v>7174</c:v>
                </c:pt>
                <c:pt idx="6">
                  <c:v>7487</c:v>
                </c:pt>
                <c:pt idx="7">
                  <c:v>7868</c:v>
                </c:pt>
                <c:pt idx="8">
                  <c:v>8135</c:v>
                </c:pt>
                <c:pt idx="9">
                  <c:v>8428</c:v>
                </c:pt>
                <c:pt idx="10">
                  <c:v>8836.6749999999993</c:v>
                </c:pt>
                <c:pt idx="11">
                  <c:v>8955</c:v>
                </c:pt>
              </c:numCache>
            </c:numRef>
          </c:val>
          <c:extLst>
            <c:ext xmlns:c16="http://schemas.microsoft.com/office/drawing/2014/chart" uri="{C3380CC4-5D6E-409C-BE32-E72D297353CC}">
              <c16:uniqueId val="{00000000-6BF3-45D5-82EC-2260AC8FE23B}"/>
            </c:ext>
          </c:extLst>
        </c:ser>
        <c:dLbls>
          <c:showLegendKey val="0"/>
          <c:showVal val="0"/>
          <c:showCatName val="0"/>
          <c:showSerName val="0"/>
          <c:showPercent val="0"/>
          <c:showBubbleSize val="0"/>
        </c:dLbls>
        <c:gapWidth val="150"/>
        <c:axId val="107498112"/>
        <c:axId val="107499904"/>
      </c:barChart>
      <c:lineChart>
        <c:grouping val="standard"/>
        <c:varyColors val="0"/>
        <c:ser>
          <c:idx val="1"/>
          <c:order val="1"/>
          <c:tx>
            <c:strRef>
              <c:f>Analysis!$C$18</c:f>
              <c:strCache>
                <c:ptCount val="1"/>
                <c:pt idx="0">
                  <c:v>as % homes</c:v>
                </c:pt>
              </c:strCache>
            </c:strRef>
          </c:tx>
          <c:spPr>
            <a:ln w="25400">
              <a:solidFill>
                <a:schemeClr val="accent1">
                  <a:lumMod val="60000"/>
                  <a:lumOff val="40000"/>
                </a:schemeClr>
              </a:solidFill>
              <a:prstDash val="solid"/>
            </a:ln>
            <a:effectLst/>
          </c:spPr>
          <c:marker>
            <c:symbol val="none"/>
          </c:marker>
          <c:val>
            <c:numRef>
              <c:f>Analysis!$D$18:$O$18</c:f>
              <c:numCache>
                <c:formatCode>0%</c:formatCode>
                <c:ptCount val="12"/>
                <c:pt idx="0">
                  <c:v>0.16469113697403759</c:v>
                </c:pt>
                <c:pt idx="1">
                  <c:v>0.18214847161572054</c:v>
                </c:pt>
                <c:pt idx="3">
                  <c:v>0.21068702290076335</c:v>
                </c:pt>
                <c:pt idx="4">
                  <c:v>0.221873417721519</c:v>
                </c:pt>
                <c:pt idx="5">
                  <c:v>0.23913333333333334</c:v>
                </c:pt>
                <c:pt idx="6">
                  <c:v>0.24853112033195021</c:v>
                </c:pt>
                <c:pt idx="7">
                  <c:v>0.26009917355371903</c:v>
                </c:pt>
                <c:pt idx="8">
                  <c:v>0.26781893004115226</c:v>
                </c:pt>
                <c:pt idx="9">
                  <c:v>0.27632786885245902</c:v>
                </c:pt>
                <c:pt idx="10">
                  <c:v>0.28854448979591835</c:v>
                </c:pt>
                <c:pt idx="11">
                  <c:v>0.29121951219512193</c:v>
                </c:pt>
              </c:numCache>
            </c:numRef>
          </c:val>
          <c:smooth val="0"/>
          <c:extLst>
            <c:ext xmlns:c16="http://schemas.microsoft.com/office/drawing/2014/chart" uri="{C3380CC4-5D6E-409C-BE32-E72D297353CC}">
              <c16:uniqueId val="{00000001-6BF3-45D5-82EC-2260AC8FE23B}"/>
            </c:ext>
          </c:extLst>
        </c:ser>
        <c:dLbls>
          <c:showLegendKey val="0"/>
          <c:showVal val="0"/>
          <c:showCatName val="0"/>
          <c:showSerName val="0"/>
          <c:showPercent val="0"/>
          <c:showBubbleSize val="0"/>
        </c:dLbls>
        <c:marker val="1"/>
        <c:smooth val="0"/>
        <c:axId val="107508096"/>
        <c:axId val="107501824"/>
      </c:lineChart>
      <c:catAx>
        <c:axId val="107498112"/>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107499904"/>
        <c:crosses val="autoZero"/>
        <c:auto val="1"/>
        <c:lblAlgn val="ctr"/>
        <c:lblOffset val="100"/>
        <c:noMultiLvlLbl val="0"/>
      </c:catAx>
      <c:valAx>
        <c:axId val="107499904"/>
        <c:scaling>
          <c:orientation val="minMax"/>
        </c:scaling>
        <c:delete val="0"/>
        <c:axPos val="l"/>
        <c:majorGridlines>
          <c:spPr>
            <a:ln w="3175">
              <a:solidFill>
                <a:srgbClr val="C0C0C0"/>
              </a:solidFill>
              <a:prstDash val="solid"/>
            </a:ln>
          </c:spPr>
        </c:majorGridlines>
        <c:title>
          <c:tx>
            <c:rich>
              <a:bodyPr rot="-5400000" vert="horz"/>
              <a:lstStyle/>
              <a:p>
                <a:pPr>
                  <a:defRPr/>
                </a:pPr>
                <a:r>
                  <a:rPr lang="en-US"/>
                  <a:t>Homes passed, 000s</a:t>
                </a:r>
              </a:p>
            </c:rich>
          </c:tx>
          <c:overlay val="0"/>
        </c:title>
        <c:numFmt formatCode="#,##0" sourceLinked="0"/>
        <c:majorTickMark val="out"/>
        <c:minorTickMark val="none"/>
        <c:tickLblPos val="nextTo"/>
        <c:crossAx val="107498112"/>
        <c:crosses val="autoZero"/>
        <c:crossBetween val="between"/>
      </c:valAx>
      <c:valAx>
        <c:axId val="107501824"/>
        <c:scaling>
          <c:orientation val="minMax"/>
        </c:scaling>
        <c:delete val="0"/>
        <c:axPos val="r"/>
        <c:title>
          <c:tx>
            <c:rich>
              <a:bodyPr rot="-5400000" vert="horz"/>
              <a:lstStyle/>
              <a:p>
                <a:pPr>
                  <a:defRPr/>
                </a:pPr>
                <a:r>
                  <a:rPr lang="en-US"/>
                  <a:t>MEGA share of homes (nationwide)</a:t>
                </a:r>
              </a:p>
            </c:rich>
          </c:tx>
          <c:overlay val="0"/>
        </c:title>
        <c:numFmt formatCode="0%" sourceLinked="1"/>
        <c:majorTickMark val="out"/>
        <c:minorTickMark val="none"/>
        <c:tickLblPos val="nextTo"/>
        <c:crossAx val="107508096"/>
        <c:crosses val="max"/>
        <c:crossBetween val="between"/>
      </c:valAx>
      <c:catAx>
        <c:axId val="107508096"/>
        <c:scaling>
          <c:orientation val="minMax"/>
        </c:scaling>
        <c:delete val="1"/>
        <c:axPos val="b"/>
        <c:majorTickMark val="out"/>
        <c:minorTickMark val="none"/>
        <c:tickLblPos val="nextTo"/>
        <c:crossAx val="107501824"/>
        <c:crosses val="autoZero"/>
        <c:auto val="1"/>
        <c:lblAlgn val="ctr"/>
        <c:lblOffset val="100"/>
        <c:noMultiLvlLbl val="0"/>
      </c:catAx>
      <c:spPr>
        <a:noFill/>
        <a:ln w="25400">
          <a:noFill/>
        </a:ln>
      </c:spPr>
    </c:plotArea>
    <c:legend>
      <c:legendPos val="b"/>
      <c:overlay val="0"/>
      <c:spPr>
        <a:ln w="25400">
          <a:noFill/>
        </a:ln>
      </c:spPr>
    </c:legend>
    <c:plotVisOnly val="1"/>
    <c:dispBlanksAs val="gap"/>
    <c:showDLblsOverMax val="0"/>
  </c:chart>
  <c:spPr>
    <a:ln w="25400">
      <a:noFill/>
    </a:ln>
    <a:effectLst/>
  </c:spPr>
  <c:txPr>
    <a:bodyPr/>
    <a:lstStyle/>
    <a:p>
      <a:pPr>
        <a:defRPr sz="9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Analysis!$C$39</c:f>
              <c:strCache>
                <c:ptCount val="1"/>
                <c:pt idx="0">
                  <c:v>Unique subs</c:v>
                </c:pt>
              </c:strCache>
            </c:strRef>
          </c:tx>
          <c:spPr>
            <a:solidFill>
              <a:srgbClr val="000080"/>
            </a:solidFill>
            <a:ln w="25400">
              <a:noFill/>
            </a:ln>
            <a:effectLst/>
          </c:spPr>
          <c:invertIfNegative val="0"/>
          <c:cat>
            <c:numRef>
              <c:f>Analysis!$F$16:$O$16</c:f>
              <c:numCache>
                <c:formatCode>General</c:formatCode>
                <c:ptCount val="10"/>
                <c:pt idx="1">
                  <c:v>2012</c:v>
                </c:pt>
                <c:pt idx="2">
                  <c:v>2013</c:v>
                </c:pt>
                <c:pt idx="3">
                  <c:v>2014</c:v>
                </c:pt>
                <c:pt idx="4">
                  <c:v>2015</c:v>
                </c:pt>
                <c:pt idx="5">
                  <c:v>2016</c:v>
                </c:pt>
                <c:pt idx="6">
                  <c:v>2017</c:v>
                </c:pt>
                <c:pt idx="7">
                  <c:v>2018</c:v>
                </c:pt>
                <c:pt idx="8">
                  <c:v>2019</c:v>
                </c:pt>
                <c:pt idx="9">
                  <c:v>2020</c:v>
                </c:pt>
              </c:numCache>
            </c:numRef>
          </c:cat>
          <c:val>
            <c:numRef>
              <c:f>Analysis!$F$39:$O$39</c:f>
              <c:numCache>
                <c:formatCode>General</c:formatCode>
                <c:ptCount val="10"/>
                <c:pt idx="1">
                  <c:v>2193</c:v>
                </c:pt>
                <c:pt idx="2">
                  <c:v>2250</c:v>
                </c:pt>
                <c:pt idx="3" formatCode="0">
                  <c:v>2560</c:v>
                </c:pt>
                <c:pt idx="4" formatCode="0">
                  <c:v>3050</c:v>
                </c:pt>
                <c:pt idx="5" formatCode="0">
                  <c:v>3303</c:v>
                </c:pt>
                <c:pt idx="6" formatCode="0">
                  <c:v>3405</c:v>
                </c:pt>
                <c:pt idx="7" formatCode="0">
                  <c:v>3593</c:v>
                </c:pt>
                <c:pt idx="8" formatCode="0">
                  <c:v>3628</c:v>
                </c:pt>
                <c:pt idx="9" formatCode="0">
                  <c:v>3933</c:v>
                </c:pt>
              </c:numCache>
            </c:numRef>
          </c:val>
          <c:extLst>
            <c:ext xmlns:c16="http://schemas.microsoft.com/office/drawing/2014/chart" uri="{C3380CC4-5D6E-409C-BE32-E72D297353CC}">
              <c16:uniqueId val="{00000000-D6F0-46A8-B90E-5192B203E25D}"/>
            </c:ext>
          </c:extLst>
        </c:ser>
        <c:dLbls>
          <c:showLegendKey val="0"/>
          <c:showVal val="0"/>
          <c:showCatName val="0"/>
          <c:showSerName val="0"/>
          <c:showPercent val="0"/>
          <c:showBubbleSize val="0"/>
        </c:dLbls>
        <c:gapWidth val="150"/>
        <c:axId val="107530880"/>
        <c:axId val="107540864"/>
      </c:barChart>
      <c:lineChart>
        <c:grouping val="standard"/>
        <c:varyColors val="0"/>
        <c:ser>
          <c:idx val="1"/>
          <c:order val="1"/>
          <c:tx>
            <c:strRef>
              <c:f>Analysis!$C$40</c:f>
              <c:strCache>
                <c:ptCount val="1"/>
                <c:pt idx="0">
                  <c:v>RGUs per sub</c:v>
                </c:pt>
              </c:strCache>
            </c:strRef>
          </c:tx>
          <c:spPr>
            <a:ln w="25400">
              <a:solidFill>
                <a:schemeClr val="accent1">
                  <a:lumMod val="60000"/>
                  <a:lumOff val="40000"/>
                </a:schemeClr>
              </a:solidFill>
              <a:prstDash val="solid"/>
            </a:ln>
            <a:effectLst/>
          </c:spPr>
          <c:marker>
            <c:symbol val="none"/>
          </c:marker>
          <c:cat>
            <c:numRef>
              <c:f>Analysis!$F$16:$O$16</c:f>
              <c:numCache>
                <c:formatCode>General</c:formatCode>
                <c:ptCount val="10"/>
                <c:pt idx="1">
                  <c:v>2012</c:v>
                </c:pt>
                <c:pt idx="2">
                  <c:v>2013</c:v>
                </c:pt>
                <c:pt idx="3">
                  <c:v>2014</c:v>
                </c:pt>
                <c:pt idx="4">
                  <c:v>2015</c:v>
                </c:pt>
                <c:pt idx="5">
                  <c:v>2016</c:v>
                </c:pt>
                <c:pt idx="6">
                  <c:v>2017</c:v>
                </c:pt>
                <c:pt idx="7">
                  <c:v>2018</c:v>
                </c:pt>
                <c:pt idx="8">
                  <c:v>2019</c:v>
                </c:pt>
                <c:pt idx="9">
                  <c:v>2020</c:v>
                </c:pt>
              </c:numCache>
            </c:numRef>
          </c:cat>
          <c:val>
            <c:numRef>
              <c:f>Analysis!$F$40:$O$40</c:f>
              <c:numCache>
                <c:formatCode>0.00</c:formatCode>
                <c:ptCount val="10"/>
                <c:pt idx="1">
                  <c:v>1.5918832649338805</c:v>
                </c:pt>
                <c:pt idx="2">
                  <c:v>1.6319999999999999</c:v>
                </c:pt>
                <c:pt idx="3">
                  <c:v>1.74140625</c:v>
                </c:pt>
                <c:pt idx="4">
                  <c:v>1.8232786885245902</c:v>
                </c:pt>
                <c:pt idx="5">
                  <c:v>1.9300635785649409</c:v>
                </c:pt>
                <c:pt idx="6">
                  <c:v>2.094566813509545</c:v>
                </c:pt>
                <c:pt idx="7">
                  <c:v>2.2145839131644864</c:v>
                </c:pt>
                <c:pt idx="8">
                  <c:v>2.3299239250275634</c:v>
                </c:pt>
                <c:pt idx="9">
                  <c:v>2.4281718789727944</c:v>
                </c:pt>
              </c:numCache>
            </c:numRef>
          </c:val>
          <c:smooth val="0"/>
          <c:extLst>
            <c:ext xmlns:c16="http://schemas.microsoft.com/office/drawing/2014/chart" uri="{C3380CC4-5D6E-409C-BE32-E72D297353CC}">
              <c16:uniqueId val="{00000001-D6F0-46A8-B90E-5192B203E25D}"/>
            </c:ext>
          </c:extLst>
        </c:ser>
        <c:dLbls>
          <c:showLegendKey val="0"/>
          <c:showVal val="0"/>
          <c:showCatName val="0"/>
          <c:showSerName val="0"/>
          <c:showPercent val="0"/>
          <c:showBubbleSize val="0"/>
        </c:dLbls>
        <c:marker val="1"/>
        <c:smooth val="0"/>
        <c:axId val="112009600"/>
        <c:axId val="107542784"/>
      </c:lineChart>
      <c:catAx>
        <c:axId val="107530880"/>
        <c:scaling>
          <c:orientation val="minMax"/>
        </c:scaling>
        <c:delete val="0"/>
        <c:axPos val="b"/>
        <c:numFmt formatCode="General" sourceLinked="1"/>
        <c:majorTickMark val="out"/>
        <c:minorTickMark val="none"/>
        <c:tickLblPos val="nextTo"/>
        <c:txPr>
          <a:bodyPr rot="-5400000" vert="horz"/>
          <a:lstStyle/>
          <a:p>
            <a:pPr>
              <a:defRPr/>
            </a:pPr>
            <a:endParaRPr lang="en-US"/>
          </a:p>
        </c:txPr>
        <c:crossAx val="107540864"/>
        <c:crosses val="autoZero"/>
        <c:auto val="1"/>
        <c:lblAlgn val="ctr"/>
        <c:lblOffset val="100"/>
        <c:noMultiLvlLbl val="0"/>
      </c:catAx>
      <c:valAx>
        <c:axId val="107540864"/>
        <c:scaling>
          <c:orientation val="minMax"/>
        </c:scaling>
        <c:delete val="0"/>
        <c:axPos val="l"/>
        <c:majorGridlines>
          <c:spPr>
            <a:ln w="3175">
              <a:solidFill>
                <a:srgbClr val="C0C0C0"/>
              </a:solidFill>
              <a:prstDash val="solid"/>
            </a:ln>
          </c:spPr>
        </c:majorGridlines>
        <c:title>
          <c:tx>
            <c:rich>
              <a:bodyPr rot="-5400000" vert="horz"/>
              <a:lstStyle/>
              <a:p>
                <a:pPr>
                  <a:defRPr/>
                </a:pPr>
                <a:r>
                  <a:rPr lang="en-US"/>
                  <a:t>Unique subs, 000s</a:t>
                </a:r>
              </a:p>
            </c:rich>
          </c:tx>
          <c:overlay val="0"/>
        </c:title>
        <c:numFmt formatCode="#,##0" sourceLinked="0"/>
        <c:majorTickMark val="out"/>
        <c:minorTickMark val="none"/>
        <c:tickLblPos val="nextTo"/>
        <c:crossAx val="107530880"/>
        <c:crosses val="autoZero"/>
        <c:crossBetween val="between"/>
      </c:valAx>
      <c:valAx>
        <c:axId val="107542784"/>
        <c:scaling>
          <c:orientation val="minMax"/>
        </c:scaling>
        <c:delete val="0"/>
        <c:axPos val="r"/>
        <c:title>
          <c:tx>
            <c:rich>
              <a:bodyPr rot="-5400000" vert="horz"/>
              <a:lstStyle/>
              <a:p>
                <a:pPr>
                  <a:defRPr/>
                </a:pPr>
                <a:r>
                  <a:rPr lang="en-US"/>
                  <a:t>RGUs per subs</a:t>
                </a:r>
              </a:p>
            </c:rich>
          </c:tx>
          <c:overlay val="0"/>
        </c:title>
        <c:numFmt formatCode="0.00" sourceLinked="1"/>
        <c:majorTickMark val="out"/>
        <c:minorTickMark val="none"/>
        <c:tickLblPos val="nextTo"/>
        <c:crossAx val="112009600"/>
        <c:crosses val="max"/>
        <c:crossBetween val="between"/>
      </c:valAx>
      <c:catAx>
        <c:axId val="112009600"/>
        <c:scaling>
          <c:orientation val="minMax"/>
        </c:scaling>
        <c:delete val="1"/>
        <c:axPos val="b"/>
        <c:numFmt formatCode="General" sourceLinked="1"/>
        <c:majorTickMark val="out"/>
        <c:minorTickMark val="none"/>
        <c:tickLblPos val="nextTo"/>
        <c:crossAx val="107542784"/>
        <c:crosses val="autoZero"/>
        <c:auto val="1"/>
        <c:lblAlgn val="ctr"/>
        <c:lblOffset val="100"/>
        <c:noMultiLvlLbl val="0"/>
      </c:catAx>
      <c:spPr>
        <a:noFill/>
        <a:ln w="25400">
          <a:noFill/>
        </a:ln>
      </c:spPr>
    </c:plotArea>
    <c:legend>
      <c:legendPos val="b"/>
      <c:overlay val="0"/>
      <c:spPr>
        <a:ln w="25400">
          <a:noFill/>
        </a:ln>
      </c:spPr>
    </c:legend>
    <c:plotVisOnly val="1"/>
    <c:dispBlanksAs val="gap"/>
    <c:showDLblsOverMax val="0"/>
  </c:chart>
  <c:spPr>
    <a:ln w="25400">
      <a:noFill/>
    </a:ln>
    <a:effectLst/>
  </c:spPr>
  <c:txPr>
    <a:bodyPr/>
    <a:lstStyle/>
    <a:p>
      <a:pPr>
        <a:defRPr sz="9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'Earnings snaps'!$B$83</c:f>
              <c:strCache>
                <c:ptCount val="1"/>
                <c:pt idx="0">
                  <c:v>Mass market</c:v>
                </c:pt>
              </c:strCache>
            </c:strRef>
          </c:tx>
          <c:spPr>
            <a:ln w="25400" cap="rnd">
              <a:solidFill>
                <a:srgbClr val="263238"/>
              </a:solidFill>
              <a:prstDash val="solid"/>
              <a:round/>
            </a:ln>
            <a:effectLst/>
          </c:spPr>
          <c:marker>
            <c:symbol val="none"/>
          </c:marker>
          <c:dLbls>
            <c:delete val="1"/>
          </c:dLbls>
          <c:cat>
            <c:strRef>
              <c:f>'Earnings snaps'!$G$82:$AE$82</c:f>
              <c:strCache>
                <c:ptCount val="25"/>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pt idx="20">
                  <c:v>1Q25</c:v>
                </c:pt>
                <c:pt idx="21">
                  <c:v>2Q25</c:v>
                </c:pt>
                <c:pt idx="22">
                  <c:v>3Q25</c:v>
                </c:pt>
                <c:pt idx="23">
                  <c:v>4Q25</c:v>
                </c:pt>
                <c:pt idx="24">
                  <c:v>1Q26</c:v>
                </c:pt>
              </c:strCache>
            </c:strRef>
          </c:cat>
          <c:val>
            <c:numRef>
              <c:f>'Earnings snaps'!$G$83:$AE$83</c:f>
              <c:numCache>
                <c:formatCode>0.0%</c:formatCode>
                <c:ptCount val="25"/>
                <c:pt idx="0">
                  <c:v>8.5221674876847286E-2</c:v>
                </c:pt>
                <c:pt idx="1">
                  <c:v>3.0664912063128824E-2</c:v>
                </c:pt>
                <c:pt idx="2">
                  <c:v>7.1767704728950221E-2</c:v>
                </c:pt>
                <c:pt idx="3">
                  <c:v>7.5770539007439686E-2</c:v>
                </c:pt>
                <c:pt idx="4">
                  <c:v>8.7866567548424257E-2</c:v>
                </c:pt>
                <c:pt idx="5">
                  <c:v>0.12148916291184331</c:v>
                </c:pt>
                <c:pt idx="6">
                  <c:v>9.7987070051890779E-2</c:v>
                </c:pt>
                <c:pt idx="7">
                  <c:v>0.1146576156923993</c:v>
                </c:pt>
                <c:pt idx="8">
                  <c:v>9.3221592856135072E-2</c:v>
                </c:pt>
                <c:pt idx="9">
                  <c:v>9.275740115239417E-2</c:v>
                </c:pt>
                <c:pt idx="10">
                  <c:v>6.4684167318125319E-2</c:v>
                </c:pt>
                <c:pt idx="11">
                  <c:v>5.2376956520599371E-2</c:v>
                </c:pt>
                <c:pt idx="12">
                  <c:v>7.2923940366890427E-2</c:v>
                </c:pt>
                <c:pt idx="13">
                  <c:v>9.4708799224996865E-2</c:v>
                </c:pt>
                <c:pt idx="14">
                  <c:v>0.13977077522163039</c:v>
                </c:pt>
                <c:pt idx="15">
                  <c:v>0.14525422522682807</c:v>
                </c:pt>
                <c:pt idx="16">
                  <c:v>0.13108332634455988</c:v>
                </c:pt>
                <c:pt idx="17">
                  <c:v>0.11036349068518558</c:v>
                </c:pt>
                <c:pt idx="18">
                  <c:v>0.1028242657209586</c:v>
                </c:pt>
                <c:pt idx="19">
                  <c:v>0.10100700989238964</c:v>
                </c:pt>
                <c:pt idx="20">
                  <c:v>9.2983769475284861E-2</c:v>
                </c:pt>
                <c:pt idx="21">
                  <c:v>0.10604497905149035</c:v>
                </c:pt>
                <c:pt idx="22">
                  <c:v>0.11244997273337276</c:v>
                </c:pt>
                <c:pt idx="23">
                  <c:v>0.10348005503615831</c:v>
                </c:pt>
                <c:pt idx="24">
                  <c:v>0.1127985538244165</c:v>
                </c:pt>
              </c:numCache>
            </c:numRef>
          </c:val>
          <c:smooth val="0"/>
          <c:extLst>
            <c:ext xmlns:c16="http://schemas.microsoft.com/office/drawing/2014/chart" uri="{C3380CC4-5D6E-409C-BE32-E72D297353CC}">
              <c16:uniqueId val="{00000000-931E-4FFB-B92A-8679D75F5C04}"/>
            </c:ext>
          </c:extLst>
        </c:ser>
        <c:ser>
          <c:idx val="1"/>
          <c:order val="1"/>
          <c:tx>
            <c:strRef>
              <c:f>'Earnings snaps'!$B$84</c:f>
              <c:strCache>
                <c:ptCount val="1"/>
                <c:pt idx="0">
                  <c:v>Corporate</c:v>
                </c:pt>
              </c:strCache>
            </c:strRef>
          </c:tx>
          <c:spPr>
            <a:ln w="25400" cap="rnd">
              <a:solidFill>
                <a:srgbClr val="799098"/>
              </a:solidFill>
              <a:prstDash val="solid"/>
              <a:round/>
            </a:ln>
            <a:effectLst/>
          </c:spPr>
          <c:marker>
            <c:symbol val="none"/>
          </c:marker>
          <c:dLbls>
            <c:delete val="1"/>
          </c:dLbls>
          <c:cat>
            <c:strRef>
              <c:f>'Earnings snaps'!$G$82:$AE$82</c:f>
              <c:strCache>
                <c:ptCount val="25"/>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pt idx="20">
                  <c:v>1Q25</c:v>
                </c:pt>
                <c:pt idx="21">
                  <c:v>2Q25</c:v>
                </c:pt>
                <c:pt idx="22">
                  <c:v>3Q25</c:v>
                </c:pt>
                <c:pt idx="23">
                  <c:v>4Q25</c:v>
                </c:pt>
                <c:pt idx="24">
                  <c:v>1Q26</c:v>
                </c:pt>
              </c:strCache>
            </c:strRef>
          </c:cat>
          <c:val>
            <c:numRef>
              <c:f>'Earnings snaps'!$G$84:$AE$84</c:f>
              <c:numCache>
                <c:formatCode>0.0%</c:formatCode>
                <c:ptCount val="25"/>
                <c:pt idx="0">
                  <c:v>1.2423794958337675E-2</c:v>
                </c:pt>
                <c:pt idx="1">
                  <c:v>-9.0788339698902099E-2</c:v>
                </c:pt>
                <c:pt idx="2">
                  <c:v>-8.8523364485981304E-2</c:v>
                </c:pt>
                <c:pt idx="3">
                  <c:v>-0.15511858175148885</c:v>
                </c:pt>
                <c:pt idx="4">
                  <c:v>3.3255233211685997E-2</c:v>
                </c:pt>
                <c:pt idx="5">
                  <c:v>5.9946067147737647E-2</c:v>
                </c:pt>
                <c:pt idx="6">
                  <c:v>7.0004511524895507E-2</c:v>
                </c:pt>
                <c:pt idx="7">
                  <c:v>0.14470482012373598</c:v>
                </c:pt>
                <c:pt idx="8">
                  <c:v>0.1484805404315388</c:v>
                </c:pt>
                <c:pt idx="9">
                  <c:v>0.14581765276430647</c:v>
                </c:pt>
                <c:pt idx="10">
                  <c:v>0.25104690317894418</c:v>
                </c:pt>
                <c:pt idx="11">
                  <c:v>0.37259751271905017</c:v>
                </c:pt>
                <c:pt idx="12">
                  <c:v>0.17055070702849595</c:v>
                </c:pt>
                <c:pt idx="13">
                  <c:v>0.14527933580397812</c:v>
                </c:pt>
                <c:pt idx="14">
                  <c:v>-4.0581064467823946E-3</c:v>
                </c:pt>
                <c:pt idx="15">
                  <c:v>-8.8565637065637137E-2</c:v>
                </c:pt>
                <c:pt idx="16">
                  <c:v>5.2245841430222484E-2</c:v>
                </c:pt>
                <c:pt idx="17">
                  <c:v>7.210032506456221E-2</c:v>
                </c:pt>
                <c:pt idx="18">
                  <c:v>6.8151421625441966E-2</c:v>
                </c:pt>
                <c:pt idx="19">
                  <c:v>4.1161589952909416E-4</c:v>
                </c:pt>
                <c:pt idx="20">
                  <c:v>7.4904204728181156E-3</c:v>
                </c:pt>
                <c:pt idx="21">
                  <c:v>-0.10005094756261768</c:v>
                </c:pt>
                <c:pt idx="22">
                  <c:v>-4.5042301184433198E-2</c:v>
                </c:pt>
                <c:pt idx="23">
                  <c:v>-2.5416527871092276E-2</c:v>
                </c:pt>
                <c:pt idx="24">
                  <c:v>-4.3671705927339266E-2</c:v>
                </c:pt>
              </c:numCache>
            </c:numRef>
          </c:val>
          <c:smooth val="0"/>
          <c:extLst>
            <c:ext xmlns:c16="http://schemas.microsoft.com/office/drawing/2014/chart" uri="{C3380CC4-5D6E-409C-BE32-E72D297353CC}">
              <c16:uniqueId val="{00000001-931E-4FFB-B92A-8679D75F5C04}"/>
            </c:ext>
          </c:extLst>
        </c:ser>
        <c:ser>
          <c:idx val="2"/>
          <c:order val="2"/>
          <c:tx>
            <c:strRef>
              <c:f>'Earnings snaps'!$B$85</c:f>
              <c:strCache>
                <c:ptCount val="1"/>
                <c:pt idx="0">
                  <c:v>Total revenue</c:v>
                </c:pt>
              </c:strCache>
            </c:strRef>
          </c:tx>
          <c:spPr>
            <a:ln w="25400" cap="rnd">
              <a:solidFill>
                <a:srgbClr val="F9663E"/>
              </a:solidFill>
              <a:prstDash val="solid"/>
              <a:round/>
            </a:ln>
            <a:effectLst/>
          </c:spPr>
          <c:marker>
            <c:symbol val="none"/>
          </c:marker>
          <c:dLbls>
            <c:delete val="1"/>
          </c:dLbls>
          <c:cat>
            <c:strRef>
              <c:f>'Earnings snaps'!$G$82:$AE$82</c:f>
              <c:strCache>
                <c:ptCount val="25"/>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pt idx="18">
                  <c:v>3Q24</c:v>
                </c:pt>
                <c:pt idx="19">
                  <c:v>4Q24</c:v>
                </c:pt>
                <c:pt idx="20">
                  <c:v>1Q25</c:v>
                </c:pt>
                <c:pt idx="21">
                  <c:v>2Q25</c:v>
                </c:pt>
                <c:pt idx="22">
                  <c:v>3Q25</c:v>
                </c:pt>
                <c:pt idx="23">
                  <c:v>4Q25</c:v>
                </c:pt>
                <c:pt idx="24">
                  <c:v>1Q26</c:v>
                </c:pt>
              </c:strCache>
            </c:strRef>
          </c:cat>
          <c:val>
            <c:numRef>
              <c:f>'Earnings snaps'!$G$85:$AE$85</c:f>
              <c:numCache>
                <c:formatCode>0.0%</c:formatCode>
                <c:ptCount val="25"/>
                <c:pt idx="0">
                  <c:v>7.182031765756669E-2</c:v>
                </c:pt>
                <c:pt idx="1">
                  <c:v>2.1594173154129814E-2</c:v>
                </c:pt>
                <c:pt idx="2">
                  <c:v>3.9966884966885052E-2</c:v>
                </c:pt>
                <c:pt idx="3">
                  <c:v>2.7718290829251702E-2</c:v>
                </c:pt>
                <c:pt idx="4">
                  <c:v>7.8239680555875157E-2</c:v>
                </c:pt>
                <c:pt idx="5">
                  <c:v>0.11048947206973758</c:v>
                </c:pt>
                <c:pt idx="6">
                  <c:v>9.3123697730669308E-2</c:v>
                </c:pt>
                <c:pt idx="7">
                  <c:v>0.1198066586586366</c:v>
                </c:pt>
                <c:pt idx="8">
                  <c:v>0.10256202180820861</c:v>
                </c:pt>
                <c:pt idx="9">
                  <c:v>0.10181503347735732</c:v>
                </c:pt>
                <c:pt idx="10">
                  <c:v>9.6332974554941719E-2</c:v>
                </c:pt>
                <c:pt idx="11">
                  <c:v>0.10838239269632122</c:v>
                </c:pt>
                <c:pt idx="12">
                  <c:v>8.9869508623792393E-2</c:v>
                </c:pt>
                <c:pt idx="13">
                  <c:v>0.10365045966389808</c:v>
                </c:pt>
                <c:pt idx="14">
                  <c:v>0.11189830314752292</c:v>
                </c:pt>
                <c:pt idx="15">
                  <c:v>9.461512366868674E-2</c:v>
                </c:pt>
                <c:pt idx="16">
                  <c:v>0.11638606255875827</c:v>
                </c:pt>
                <c:pt idx="17">
                  <c:v>0.10334277500530931</c:v>
                </c:pt>
                <c:pt idx="18">
                  <c:v>9.680577236053467E-2</c:v>
                </c:pt>
                <c:pt idx="19">
                  <c:v>8.2853965920488104E-2</c:v>
                </c:pt>
                <c:pt idx="20">
                  <c:v>7.7961546741897925E-2</c:v>
                </c:pt>
                <c:pt idx="21">
                  <c:v>6.9300265299459873E-2</c:v>
                </c:pt>
                <c:pt idx="22">
                  <c:v>8.5826625690720526E-2</c:v>
                </c:pt>
                <c:pt idx="23">
                  <c:v>8.2004845345890365E-2</c:v>
                </c:pt>
                <c:pt idx="24">
                  <c:v>8.7102210443825712E-2</c:v>
                </c:pt>
              </c:numCache>
            </c:numRef>
          </c:val>
          <c:smooth val="0"/>
          <c:extLst>
            <c:ext xmlns:c16="http://schemas.microsoft.com/office/drawing/2014/chart" uri="{C3380CC4-5D6E-409C-BE32-E72D297353CC}">
              <c16:uniqueId val="{00000002-931E-4FFB-B92A-8679D75F5C04}"/>
            </c:ext>
          </c:extLst>
        </c:ser>
        <c:dLbls>
          <c:dLblPos val="t"/>
          <c:showLegendKey val="0"/>
          <c:showVal val="1"/>
          <c:showCatName val="0"/>
          <c:showSerName val="0"/>
          <c:showPercent val="0"/>
          <c:showBubbleSize val="0"/>
        </c:dLbls>
        <c:smooth val="0"/>
        <c:axId val="222874896"/>
        <c:axId val="222897776"/>
      </c:lineChart>
      <c:catAx>
        <c:axId val="222874896"/>
        <c:scaling>
          <c:orientation val="minMax"/>
        </c:scaling>
        <c:delete val="0"/>
        <c:axPos val="b"/>
        <c:numFmt formatCode="General" sourceLinked="1"/>
        <c:majorTickMark val="out"/>
        <c:minorTickMark val="none"/>
        <c:tickLblPos val="low"/>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222897776"/>
        <c:crosses val="autoZero"/>
        <c:auto val="1"/>
        <c:lblAlgn val="ctr"/>
        <c:lblOffset val="100"/>
        <c:noMultiLvlLbl val="0"/>
      </c:catAx>
      <c:valAx>
        <c:axId val="22289777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22287489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Analysis!$E$60</c:f>
              <c:strCache>
                <c:ptCount val="1"/>
                <c:pt idx="0">
                  <c:v>Corporate/carrier revs</c:v>
                </c:pt>
              </c:strCache>
            </c:strRef>
          </c:tx>
          <c:spPr>
            <a:solidFill>
              <a:srgbClr val="000080"/>
            </a:solidFill>
            <a:ln w="25400">
              <a:noFill/>
            </a:ln>
          </c:spPr>
          <c:invertIfNegative val="0"/>
          <c:cat>
            <c:strRef>
              <c:f>Analysis!$F$59:$L$59</c:f>
              <c:strCache>
                <c:ptCount val="7"/>
                <c:pt idx="1">
                  <c:v>2Q13</c:v>
                </c:pt>
                <c:pt idx="2">
                  <c:v>3Q13</c:v>
                </c:pt>
                <c:pt idx="3">
                  <c:v>Q4 13</c:v>
                </c:pt>
                <c:pt idx="4">
                  <c:v>1Q14</c:v>
                </c:pt>
                <c:pt idx="5">
                  <c:v>2Q14</c:v>
                </c:pt>
                <c:pt idx="6">
                  <c:v>3Q14</c:v>
                </c:pt>
              </c:strCache>
            </c:strRef>
          </c:cat>
          <c:val>
            <c:numRef>
              <c:f>Analysis!$F$60:$L$60</c:f>
              <c:numCache>
                <c:formatCode>0</c:formatCode>
                <c:ptCount val="7"/>
                <c:pt idx="1">
                  <c:v>123.69999999999999</c:v>
                </c:pt>
                <c:pt idx="2">
                  <c:v>141.80000000000001</c:v>
                </c:pt>
                <c:pt idx="4">
                  <c:v>265.60000000000002</c:v>
                </c:pt>
                <c:pt idx="5">
                  <c:v>307.57500000000005</c:v>
                </c:pt>
                <c:pt idx="6">
                  <c:v>330.20000000000005</c:v>
                </c:pt>
              </c:numCache>
            </c:numRef>
          </c:val>
          <c:extLst>
            <c:ext xmlns:c16="http://schemas.microsoft.com/office/drawing/2014/chart" uri="{C3380CC4-5D6E-409C-BE32-E72D297353CC}">
              <c16:uniqueId val="{00000000-C3E7-40E9-8F2B-AD698215E788}"/>
            </c:ext>
          </c:extLst>
        </c:ser>
        <c:dLbls>
          <c:showLegendKey val="0"/>
          <c:showVal val="0"/>
          <c:showCatName val="0"/>
          <c:showSerName val="0"/>
          <c:showPercent val="0"/>
          <c:showBubbleSize val="0"/>
        </c:dLbls>
        <c:gapWidth val="150"/>
        <c:axId val="112048768"/>
        <c:axId val="112054656"/>
      </c:barChart>
      <c:lineChart>
        <c:grouping val="standard"/>
        <c:varyColors val="0"/>
        <c:ser>
          <c:idx val="1"/>
          <c:order val="1"/>
          <c:tx>
            <c:v>EBITDA margin</c:v>
          </c:tx>
          <c:spPr>
            <a:ln w="25400">
              <a:solidFill>
                <a:schemeClr val="accent1">
                  <a:lumMod val="60000"/>
                  <a:lumOff val="40000"/>
                </a:schemeClr>
              </a:solidFill>
              <a:prstDash val="sysDash"/>
            </a:ln>
            <a:effectLst/>
          </c:spPr>
          <c:marker>
            <c:symbol val="none"/>
          </c:marker>
          <c:cat>
            <c:strRef>
              <c:f>Analysis!$F$59:$L$59</c:f>
              <c:strCache>
                <c:ptCount val="7"/>
                <c:pt idx="1">
                  <c:v>2Q13</c:v>
                </c:pt>
                <c:pt idx="2">
                  <c:v>3Q13</c:v>
                </c:pt>
                <c:pt idx="3">
                  <c:v>Q4 13</c:v>
                </c:pt>
                <c:pt idx="4">
                  <c:v>1Q14</c:v>
                </c:pt>
                <c:pt idx="5">
                  <c:v>2Q14</c:v>
                </c:pt>
                <c:pt idx="6">
                  <c:v>3Q14</c:v>
                </c:pt>
              </c:strCache>
            </c:strRef>
          </c:cat>
          <c:val>
            <c:numRef>
              <c:f>Analysis!$F$61:$L$61</c:f>
              <c:numCache>
                <c:formatCode>0.0%</c:formatCode>
                <c:ptCount val="7"/>
                <c:pt idx="1">
                  <c:v>0.13742926434923203</c:v>
                </c:pt>
                <c:pt idx="2">
                  <c:v>0.26093088857545838</c:v>
                </c:pt>
                <c:pt idx="4">
                  <c:v>0.18072289156626503</c:v>
                </c:pt>
                <c:pt idx="5">
                  <c:v>0.17556693489392827</c:v>
                </c:pt>
                <c:pt idx="6">
                  <c:v>0.19685039370078738</c:v>
                </c:pt>
              </c:numCache>
            </c:numRef>
          </c:val>
          <c:smooth val="0"/>
          <c:extLst>
            <c:ext xmlns:c16="http://schemas.microsoft.com/office/drawing/2014/chart" uri="{C3380CC4-5D6E-409C-BE32-E72D297353CC}">
              <c16:uniqueId val="{00000001-C3E7-40E9-8F2B-AD698215E788}"/>
            </c:ext>
          </c:extLst>
        </c:ser>
        <c:dLbls>
          <c:showLegendKey val="0"/>
          <c:showVal val="0"/>
          <c:showCatName val="0"/>
          <c:showSerName val="0"/>
          <c:showPercent val="0"/>
          <c:showBubbleSize val="0"/>
        </c:dLbls>
        <c:marker val="1"/>
        <c:smooth val="0"/>
        <c:axId val="112057728"/>
        <c:axId val="112056192"/>
      </c:lineChart>
      <c:catAx>
        <c:axId val="112048768"/>
        <c:scaling>
          <c:orientation val="minMax"/>
        </c:scaling>
        <c:delete val="0"/>
        <c:axPos val="b"/>
        <c:numFmt formatCode="General" sourceLinked="0"/>
        <c:majorTickMark val="out"/>
        <c:minorTickMark val="none"/>
        <c:tickLblPos val="nextTo"/>
        <c:crossAx val="112054656"/>
        <c:crosses val="autoZero"/>
        <c:auto val="1"/>
        <c:lblAlgn val="ctr"/>
        <c:lblOffset val="100"/>
        <c:noMultiLvlLbl val="0"/>
      </c:catAx>
      <c:valAx>
        <c:axId val="112054656"/>
        <c:scaling>
          <c:orientation val="minMax"/>
        </c:scaling>
        <c:delete val="0"/>
        <c:axPos val="l"/>
        <c:majorGridlines>
          <c:spPr>
            <a:ln w="3175">
              <a:solidFill>
                <a:srgbClr val="C0C0C0"/>
              </a:solidFill>
              <a:prstDash val="solid"/>
            </a:ln>
          </c:spPr>
        </c:majorGridlines>
        <c:numFmt formatCode="0" sourceLinked="1"/>
        <c:majorTickMark val="out"/>
        <c:minorTickMark val="none"/>
        <c:tickLblPos val="nextTo"/>
        <c:crossAx val="112048768"/>
        <c:crosses val="autoZero"/>
        <c:crossBetween val="between"/>
      </c:valAx>
      <c:valAx>
        <c:axId val="112056192"/>
        <c:scaling>
          <c:orientation val="minMax"/>
        </c:scaling>
        <c:delete val="0"/>
        <c:axPos val="r"/>
        <c:numFmt formatCode="0.0%" sourceLinked="1"/>
        <c:majorTickMark val="out"/>
        <c:minorTickMark val="none"/>
        <c:tickLblPos val="nextTo"/>
        <c:crossAx val="112057728"/>
        <c:crosses val="max"/>
        <c:crossBetween val="between"/>
      </c:valAx>
      <c:catAx>
        <c:axId val="112057728"/>
        <c:scaling>
          <c:orientation val="minMax"/>
        </c:scaling>
        <c:delete val="1"/>
        <c:axPos val="b"/>
        <c:numFmt formatCode="General" sourceLinked="1"/>
        <c:majorTickMark val="out"/>
        <c:minorTickMark val="none"/>
        <c:tickLblPos val="nextTo"/>
        <c:crossAx val="112056192"/>
        <c:crosses val="autoZero"/>
        <c:auto val="1"/>
        <c:lblAlgn val="ctr"/>
        <c:lblOffset val="100"/>
        <c:noMultiLvlLbl val="0"/>
      </c:catAx>
      <c:spPr>
        <a:noFill/>
        <a:ln w="25400">
          <a:noFill/>
        </a:ln>
      </c:spPr>
    </c:plotArea>
    <c:legend>
      <c:legendPos val="b"/>
      <c:overlay val="0"/>
      <c:spPr>
        <a:ln w="25400">
          <a:noFill/>
        </a:ln>
      </c:spPr>
    </c:legend>
    <c:plotVisOnly val="1"/>
    <c:dispBlanksAs val="gap"/>
    <c:showDLblsOverMax val="0"/>
  </c:chart>
  <c:spPr>
    <a:ln w="25400">
      <a:noFill/>
    </a:ln>
    <a:effectLst/>
  </c:spPr>
  <c:txPr>
    <a:bodyPr/>
    <a:lstStyle/>
    <a:p>
      <a:pPr>
        <a:defRPr sz="8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77404724925146"/>
          <c:y val="0.13715670652508671"/>
          <c:w val="0.73098873146208532"/>
          <c:h val="0.56061143024627713"/>
        </c:manualLayout>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A2B3-486B-97A7-561F83E75CAA}"/>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3-A2B3-486B-97A7-561F83E75CAA}"/>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5-A2B3-486B-97A7-561F83E75CAA}"/>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7-A2B3-486B-97A7-561F83E75CAA}"/>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9-A2B3-486B-97A7-561F83E75CAA}"/>
              </c:ext>
            </c:extLst>
          </c:dPt>
          <c:dPt>
            <c:idx val="5"/>
            <c:bubble3D val="0"/>
            <c:spPr>
              <a:pattFill prst="wdDnDiag">
                <a:fgClr>
                  <a:srgbClr val="C0C0C0"/>
                </a:fgClr>
                <a:bgClr>
                  <a:srgbClr val="C0C0C0"/>
                </a:bgClr>
              </a:pattFill>
              <a:ln w="25400">
                <a:noFill/>
              </a:ln>
              <a:effectLst/>
            </c:spPr>
            <c:extLst>
              <c:ext xmlns:c16="http://schemas.microsoft.com/office/drawing/2014/chart" uri="{C3380CC4-5D6E-409C-BE32-E72D297353CC}">
                <c16:uniqueId val="{0000000B-A2B3-486B-97A7-561F83E75CAA}"/>
              </c:ext>
            </c:extLst>
          </c:dPt>
          <c:dPt>
            <c:idx val="6"/>
            <c:bubble3D val="0"/>
            <c:spPr>
              <a:pattFill prst="wdDnDiag">
                <a:fgClr>
                  <a:srgbClr val="0000FF"/>
                </a:fgClr>
                <a:bgClr>
                  <a:srgbClr val="0000FF"/>
                </a:bgClr>
              </a:pattFill>
              <a:ln w="25400">
                <a:noFill/>
              </a:ln>
              <a:effectLst/>
            </c:spPr>
            <c:extLst>
              <c:ext xmlns:c16="http://schemas.microsoft.com/office/drawing/2014/chart" uri="{C3380CC4-5D6E-409C-BE32-E72D297353CC}">
                <c16:uniqueId val="{0000000D-A2B3-486B-97A7-561F83E75CAA}"/>
              </c:ext>
            </c:extLst>
          </c:dPt>
          <c:dPt>
            <c:idx val="7"/>
            <c:bubble3D val="0"/>
            <c:spPr>
              <a:pattFill prst="wdDnDiag">
                <a:fgClr>
                  <a:srgbClr val="333399"/>
                </a:fgClr>
                <a:bgClr>
                  <a:srgbClr val="333399"/>
                </a:bgClr>
              </a:pattFill>
              <a:ln w="25400">
                <a:noFill/>
              </a:ln>
              <a:effectLst/>
            </c:spPr>
            <c:extLst>
              <c:ext xmlns:c16="http://schemas.microsoft.com/office/drawing/2014/chart" uri="{C3380CC4-5D6E-409C-BE32-E72D297353CC}">
                <c16:uniqueId val="{0000000F-A2B3-486B-97A7-561F83E75CAA}"/>
              </c:ext>
            </c:extLst>
          </c:dPt>
          <c:dLbls>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Analysis!$C$65:$C$72</c:f>
              <c:strCache>
                <c:ptCount val="8"/>
                <c:pt idx="0">
                  <c:v>Construction</c:v>
                </c:pt>
                <c:pt idx="1">
                  <c:v>Upgrades</c:v>
                </c:pt>
                <c:pt idx="2">
                  <c:v>CTC, equip</c:v>
                </c:pt>
                <c:pt idx="3">
                  <c:v>Office, IT</c:v>
                </c:pt>
                <c:pt idx="4">
                  <c:v>CPE</c:v>
                </c:pt>
                <c:pt idx="5">
                  <c:v>Data network</c:v>
                </c:pt>
                <c:pt idx="6">
                  <c:v>Metrocarrier</c:v>
                </c:pt>
                <c:pt idx="7">
                  <c:v>Other</c:v>
                </c:pt>
              </c:strCache>
            </c:strRef>
          </c:cat>
          <c:val>
            <c:numRef>
              <c:f>Analysis!$D$65:$D$72</c:f>
              <c:numCache>
                <c:formatCode>General</c:formatCode>
                <c:ptCount val="8"/>
                <c:pt idx="0">
                  <c:v>429</c:v>
                </c:pt>
                <c:pt idx="1">
                  <c:v>91</c:v>
                </c:pt>
                <c:pt idx="2">
                  <c:v>256</c:v>
                </c:pt>
                <c:pt idx="3">
                  <c:v>148</c:v>
                </c:pt>
                <c:pt idx="4">
                  <c:v>1053</c:v>
                </c:pt>
                <c:pt idx="5">
                  <c:v>365</c:v>
                </c:pt>
                <c:pt idx="6">
                  <c:v>79</c:v>
                </c:pt>
                <c:pt idx="7">
                  <c:v>83</c:v>
                </c:pt>
              </c:numCache>
            </c:numRef>
          </c:val>
          <c:extLst>
            <c:ext xmlns:c16="http://schemas.microsoft.com/office/drawing/2014/chart" uri="{C3380CC4-5D6E-409C-BE32-E72D297353CC}">
              <c16:uniqueId val="{00000010-A2B3-486B-97A7-561F83E75CAA}"/>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
          <c:y val="0.72832239720035008"/>
          <c:w val="0.92476816330553091"/>
          <c:h val="0.24389982502187227"/>
        </c:manualLayout>
      </c:layout>
      <c:overlay val="0"/>
      <c:spPr>
        <a:ln w="25400">
          <a:noFill/>
        </a:ln>
      </c:spPr>
    </c:legend>
    <c:plotVisOnly val="1"/>
    <c:dispBlanksAs val="gap"/>
    <c:showDLblsOverMax val="0"/>
  </c:chart>
  <c:spPr>
    <a:ln w="25400">
      <a:noFill/>
    </a:ln>
    <a:effectLst/>
  </c:spPr>
  <c:txPr>
    <a:bodyPr/>
    <a:lstStyle/>
    <a:p>
      <a:pPr>
        <a:defRPr sz="12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127517555050569"/>
          <c:y val="9.5276003541506421E-2"/>
          <c:w val="0.58785512099114257"/>
          <c:h val="0.59201387242931136"/>
        </c:manualLayout>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3013-4E60-B34F-49EA387F1D3E}"/>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3-3013-4E60-B34F-49EA387F1D3E}"/>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5-3013-4E60-B34F-49EA387F1D3E}"/>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7-3013-4E60-B34F-49EA387F1D3E}"/>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9-3013-4E60-B34F-49EA387F1D3E}"/>
              </c:ext>
            </c:extLst>
          </c:dPt>
          <c:dPt>
            <c:idx val="5"/>
            <c:bubble3D val="0"/>
            <c:spPr>
              <a:pattFill prst="wdDnDiag">
                <a:fgClr>
                  <a:srgbClr val="C0C0C0"/>
                </a:fgClr>
                <a:bgClr>
                  <a:srgbClr val="C0C0C0"/>
                </a:bgClr>
              </a:pattFill>
              <a:ln w="25400">
                <a:noFill/>
              </a:ln>
              <a:effectLst/>
            </c:spPr>
            <c:extLst>
              <c:ext xmlns:c16="http://schemas.microsoft.com/office/drawing/2014/chart" uri="{C3380CC4-5D6E-409C-BE32-E72D297353CC}">
                <c16:uniqueId val="{0000000B-3013-4E60-B34F-49EA387F1D3E}"/>
              </c:ext>
            </c:extLst>
          </c:dPt>
          <c:dLbls>
            <c:dLbl>
              <c:idx val="5"/>
              <c:layout>
                <c:manualLayout>
                  <c:x val="6.1708018428589521E-2"/>
                  <c:y val="-1.5536142174050667E-2"/>
                </c:manualLayout>
              </c:layout>
              <c:dLblPos val="bestFi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3013-4E60-B34F-49EA387F1D3E}"/>
                </c:ext>
              </c:extLst>
            </c:dLbl>
            <c:dLbl>
              <c:idx val="6"/>
              <c:layout>
                <c:manualLayout>
                  <c:x val="0.13498629031253959"/>
                  <c:y val="-1.5536142174050667E-2"/>
                </c:manualLayout>
              </c:layout>
              <c:dLblPos val="bestFi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C-246B-403A-9741-AE3A38E30885}"/>
                </c:ext>
              </c:extLst>
            </c:dLbl>
            <c:spPr>
              <a:noFill/>
              <a:ln>
                <a:noFill/>
              </a:ln>
              <a:effectLst/>
            </c:spPr>
            <c:dLblPos val="outEnd"/>
            <c:showLegendKey val="0"/>
            <c:showVal val="1"/>
            <c:showCatName val="0"/>
            <c:showSerName val="0"/>
            <c:showPercent val="1"/>
            <c:showBubbleSize val="0"/>
            <c:showLeaderLines val="1"/>
            <c:extLst>
              <c:ext xmlns:c15="http://schemas.microsoft.com/office/drawing/2012/chart" uri="{CE6537A1-D6FC-4f65-9D91-7224C49458BB}"/>
            </c:extLst>
          </c:dLbls>
          <c:cat>
            <c:strRef>
              <c:f>Analysis!$C$137:$C$143</c:f>
              <c:strCache>
                <c:ptCount val="7"/>
                <c:pt idx="0">
                  <c:v>Construction / upgrades</c:v>
                </c:pt>
                <c:pt idx="1">
                  <c:v>CPE</c:v>
                </c:pt>
                <c:pt idx="2">
                  <c:v>Data networks</c:v>
                </c:pt>
                <c:pt idx="3">
                  <c:v>Other, special projects</c:v>
                </c:pt>
                <c:pt idx="4">
                  <c:v>Corporate</c:v>
                </c:pt>
                <c:pt idx="5">
                  <c:v>Transport and GTAC</c:v>
                </c:pt>
                <c:pt idx="6">
                  <c:v>CTC, tooling, office</c:v>
                </c:pt>
              </c:strCache>
            </c:strRef>
          </c:cat>
          <c:val>
            <c:numRef>
              <c:f>Analysis!$D$137:$D$143</c:f>
              <c:numCache>
                <c:formatCode>\$#,##0"mn";\-"£"#,##0"mn"</c:formatCode>
                <c:ptCount val="7"/>
                <c:pt idx="0">
                  <c:v>122.1</c:v>
                </c:pt>
                <c:pt idx="1">
                  <c:v>85.8</c:v>
                </c:pt>
                <c:pt idx="2">
                  <c:v>46.2</c:v>
                </c:pt>
                <c:pt idx="3">
                  <c:v>33</c:v>
                </c:pt>
                <c:pt idx="4">
                  <c:v>23.1</c:v>
                </c:pt>
                <c:pt idx="5">
                  <c:v>13.200000000000001</c:v>
                </c:pt>
                <c:pt idx="6">
                  <c:v>6.6000000000000005</c:v>
                </c:pt>
              </c:numCache>
            </c:numRef>
          </c:val>
          <c:extLst>
            <c:ext xmlns:c16="http://schemas.microsoft.com/office/drawing/2014/chart" uri="{C3380CC4-5D6E-409C-BE32-E72D297353CC}">
              <c16:uniqueId val="{0000000C-3013-4E60-B34F-49EA387F1D3E}"/>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
          <c:y val="0.8078833688350493"/>
          <c:w val="0.9949376345117884"/>
          <c:h val="0.16104434681684937"/>
        </c:manualLayout>
      </c:layout>
      <c:overlay val="0"/>
      <c:spPr>
        <a:ln w="25400">
          <a:noFill/>
        </a:ln>
      </c:spPr>
    </c:legend>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82747533709819"/>
          <c:y val="0.13982523680376391"/>
          <c:w val="0.75201140157854385"/>
          <c:h val="0.70100091871174841"/>
        </c:manualLayout>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A99B-483F-AD52-C4E1B580BEEC}"/>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3-A99B-483F-AD52-C4E1B580BEEC}"/>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5-A99B-483F-AD52-C4E1B580BEEC}"/>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7-A99B-483F-AD52-C4E1B580BEEC}"/>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9-A99B-483F-AD52-C4E1B580BEEC}"/>
              </c:ext>
            </c:extLst>
          </c:dPt>
          <c:dPt>
            <c:idx val="5"/>
            <c:bubble3D val="0"/>
            <c:spPr>
              <a:pattFill prst="wdDnDiag">
                <a:fgClr>
                  <a:srgbClr val="C0C0C0"/>
                </a:fgClr>
                <a:bgClr>
                  <a:srgbClr val="C0C0C0"/>
                </a:bgClr>
              </a:pattFill>
              <a:ln w="25400">
                <a:noFill/>
              </a:ln>
              <a:effectLst/>
            </c:spPr>
            <c:extLst>
              <c:ext xmlns:c16="http://schemas.microsoft.com/office/drawing/2014/chart" uri="{C3380CC4-5D6E-409C-BE32-E72D297353CC}">
                <c16:uniqueId val="{0000000B-A99B-483F-AD52-C4E1B580BEEC}"/>
              </c:ext>
            </c:extLst>
          </c:dPt>
          <c:cat>
            <c:strRef>
              <c:f>Analysis!$C$138:$C$143</c:f>
              <c:strCache>
                <c:ptCount val="6"/>
                <c:pt idx="0">
                  <c:v>CPE</c:v>
                </c:pt>
                <c:pt idx="1">
                  <c:v>Data networks</c:v>
                </c:pt>
                <c:pt idx="2">
                  <c:v>Other, special projects</c:v>
                </c:pt>
                <c:pt idx="3">
                  <c:v>Corporate</c:v>
                </c:pt>
                <c:pt idx="4">
                  <c:v>Transport and GTAC</c:v>
                </c:pt>
                <c:pt idx="5">
                  <c:v>CTC, tooling, office</c:v>
                </c:pt>
              </c:strCache>
            </c:strRef>
          </c:cat>
          <c:val>
            <c:numRef>
              <c:f>Analysis!#REF!</c:f>
              <c:numCache>
                <c:formatCode>General</c:formatCode>
                <c:ptCount val="1"/>
                <c:pt idx="0">
                  <c:v>1</c:v>
                </c:pt>
              </c:numCache>
            </c:numRef>
          </c:val>
          <c:extLst>
            <c:ext xmlns:c16="http://schemas.microsoft.com/office/drawing/2014/chart" uri="{C3380CC4-5D6E-409C-BE32-E72D297353CC}">
              <c16:uniqueId val="{0000000C-A99B-483F-AD52-C4E1B580BEE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userShapes r:id="rId1"/>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Analysis!$C$190</c:f>
              <c:strCache>
                <c:ptCount val="1"/>
                <c:pt idx="0">
                  <c:v>MEGA</c:v>
                </c:pt>
              </c:strCache>
            </c:strRef>
          </c:tx>
          <c:spPr>
            <a:ln w="25400" cap="rnd">
              <a:solidFill>
                <a:srgbClr val="333399"/>
              </a:solidFill>
              <a:prstDash val="solid"/>
              <a:round/>
            </a:ln>
            <a:effectLst/>
          </c:spPr>
          <c:marker>
            <c:symbol val="none"/>
          </c:marker>
          <c:cat>
            <c:numRef>
              <c:f>Analysis!$G$189:$O$189</c:f>
              <c:numCache>
                <c:formatCode>General</c:formatCode>
                <c:ptCount val="9"/>
                <c:pt idx="0">
                  <c:v>0</c:v>
                </c:pt>
                <c:pt idx="1">
                  <c:v>0</c:v>
                </c:pt>
                <c:pt idx="2">
                  <c:v>0</c:v>
                </c:pt>
                <c:pt idx="3">
                  <c:v>0</c:v>
                </c:pt>
                <c:pt idx="4">
                  <c:v>0</c:v>
                </c:pt>
                <c:pt idx="5">
                  <c:v>0</c:v>
                </c:pt>
                <c:pt idx="6">
                  <c:v>0</c:v>
                </c:pt>
                <c:pt idx="7">
                  <c:v>0</c:v>
                </c:pt>
                <c:pt idx="8">
                  <c:v>0</c:v>
                </c:pt>
              </c:numCache>
            </c:numRef>
          </c:cat>
          <c:val>
            <c:numRef>
              <c:f>Analysis!$G$190:$O$190</c:f>
              <c:numCache>
                <c:formatCode>0.0%</c:formatCode>
                <c:ptCount val="9"/>
                <c:pt idx="0">
                  <c:v>0.27141782842598483</c:v>
                </c:pt>
                <c:pt idx="1">
                  <c:v>0.29600344721136035</c:v>
                </c:pt>
                <c:pt idx="2">
                  <c:v>0.30249027957785596</c:v>
                </c:pt>
                <c:pt idx="3">
                  <c:v>0.36103292677478444</c:v>
                </c:pt>
                <c:pt idx="4">
                  <c:v>0.38428890963708695</c:v>
                </c:pt>
                <c:pt idx="5">
                  <c:v>0.4358592560527671</c:v>
                </c:pt>
                <c:pt idx="6">
                  <c:v>0.43350404780094365</c:v>
                </c:pt>
                <c:pt idx="7">
                  <c:v>0.31485179676237351</c:v>
                </c:pt>
                <c:pt idx="8">
                  <c:v>0.25931321481321751</c:v>
                </c:pt>
              </c:numCache>
            </c:numRef>
          </c:val>
          <c:smooth val="0"/>
          <c:extLst>
            <c:ext xmlns:c16="http://schemas.microsoft.com/office/drawing/2014/chart" uri="{C3380CC4-5D6E-409C-BE32-E72D297353CC}">
              <c16:uniqueId val="{00000000-15B9-4025-8FE9-270B6ED140A3}"/>
            </c:ext>
          </c:extLst>
        </c:ser>
        <c:ser>
          <c:idx val="1"/>
          <c:order val="1"/>
          <c:tx>
            <c:strRef>
              <c:f>Analysis!$C$191</c:f>
              <c:strCache>
                <c:ptCount val="1"/>
                <c:pt idx="0">
                  <c:v>TV</c:v>
                </c:pt>
              </c:strCache>
            </c:strRef>
          </c:tx>
          <c:spPr>
            <a:ln w="25400" cap="rnd">
              <a:solidFill>
                <a:srgbClr val="99CCFF"/>
              </a:solidFill>
              <a:prstDash val="solid"/>
              <a:round/>
            </a:ln>
            <a:effectLst/>
          </c:spPr>
          <c:marker>
            <c:symbol val="none"/>
          </c:marker>
          <c:cat>
            <c:numRef>
              <c:f>Analysis!$G$189:$O$189</c:f>
              <c:numCache>
                <c:formatCode>General</c:formatCode>
                <c:ptCount val="9"/>
                <c:pt idx="0">
                  <c:v>0</c:v>
                </c:pt>
                <c:pt idx="1">
                  <c:v>0</c:v>
                </c:pt>
                <c:pt idx="2">
                  <c:v>0</c:v>
                </c:pt>
                <c:pt idx="3">
                  <c:v>0</c:v>
                </c:pt>
                <c:pt idx="4">
                  <c:v>0</c:v>
                </c:pt>
                <c:pt idx="5">
                  <c:v>0</c:v>
                </c:pt>
                <c:pt idx="6">
                  <c:v>0</c:v>
                </c:pt>
                <c:pt idx="7">
                  <c:v>0</c:v>
                </c:pt>
                <c:pt idx="8">
                  <c:v>0</c:v>
                </c:pt>
              </c:numCache>
            </c:numRef>
          </c:cat>
          <c:val>
            <c:numRef>
              <c:f>Analysis!$G$191:$O$191</c:f>
              <c:numCache>
                <c:formatCode>0.0%</c:formatCode>
                <c:ptCount val="9"/>
                <c:pt idx="0">
                  <c:v>0.32008986928104577</c:v>
                </c:pt>
                <c:pt idx="1">
                  <c:v>0.35330361824855794</c:v>
                </c:pt>
                <c:pt idx="2">
                  <c:v>0.3</c:v>
                </c:pt>
                <c:pt idx="3">
                  <c:v>0.25</c:v>
                </c:pt>
                <c:pt idx="4">
                  <c:v>0.24</c:v>
                </c:pt>
                <c:pt idx="5">
                  <c:v>0.23</c:v>
                </c:pt>
                <c:pt idx="6">
                  <c:v>0.23</c:v>
                </c:pt>
                <c:pt idx="7">
                  <c:v>0.23</c:v>
                </c:pt>
                <c:pt idx="8">
                  <c:v>0.23</c:v>
                </c:pt>
              </c:numCache>
            </c:numRef>
          </c:val>
          <c:smooth val="0"/>
          <c:extLst>
            <c:ext xmlns:c16="http://schemas.microsoft.com/office/drawing/2014/chart" uri="{C3380CC4-5D6E-409C-BE32-E72D297353CC}">
              <c16:uniqueId val="{00000001-15B9-4025-8FE9-270B6ED140A3}"/>
            </c:ext>
          </c:extLst>
        </c:ser>
        <c:dLbls>
          <c:showLegendKey val="0"/>
          <c:showVal val="0"/>
          <c:showCatName val="0"/>
          <c:showSerName val="0"/>
          <c:showPercent val="0"/>
          <c:showBubbleSize val="0"/>
        </c:dLbls>
        <c:smooth val="0"/>
        <c:axId val="112546944"/>
        <c:axId val="112548480"/>
      </c:lineChart>
      <c:catAx>
        <c:axId val="112546944"/>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rebuchet MS"/>
                <a:ea typeface="Trebuchet MS"/>
                <a:cs typeface="Trebuchet MS"/>
              </a:defRPr>
            </a:pPr>
            <a:endParaRPr lang="en-US"/>
          </a:p>
        </c:txPr>
        <c:crossAx val="112548480"/>
        <c:crosses val="autoZero"/>
        <c:auto val="1"/>
        <c:lblAlgn val="ctr"/>
        <c:lblOffset val="100"/>
        <c:noMultiLvlLbl val="0"/>
      </c:catAx>
      <c:valAx>
        <c:axId val="112548480"/>
        <c:scaling>
          <c:orientation val="minMax"/>
        </c:scaling>
        <c:delete val="0"/>
        <c:axPos val="l"/>
        <c:majorGridlines>
          <c:spPr>
            <a:ln w="3175" cap="flat" cmpd="sng" algn="ctr">
              <a:solidFill>
                <a:srgbClr val="C0C0C0"/>
              </a:solidFill>
              <a:prstDash val="solid"/>
              <a:round/>
            </a:ln>
            <a:effectLst/>
          </c:spPr>
        </c:majorGridlines>
        <c:numFmt formatCode="0%"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rebuchet MS"/>
                <a:ea typeface="Trebuchet MS"/>
                <a:cs typeface="Trebuchet MS"/>
              </a:defRPr>
            </a:pPr>
            <a:endParaRPr lang="en-US"/>
          </a:p>
        </c:txPr>
        <c:crossAx val="11254694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9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Analysis!$C$213</c:f>
              <c:strCache>
                <c:ptCount val="1"/>
                <c:pt idx="0">
                  <c:v>Capex/sales - MXN19/$ (base case)</c:v>
                </c:pt>
              </c:strCache>
            </c:strRef>
          </c:tx>
          <c:spPr>
            <a:ln w="25400" cap="rnd">
              <a:solidFill>
                <a:srgbClr val="333399"/>
              </a:solidFill>
              <a:prstDash val="solid"/>
              <a:round/>
            </a:ln>
            <a:effectLst/>
          </c:spPr>
          <c:marker>
            <c:symbol val="none"/>
          </c:marker>
          <c:cat>
            <c:numRef>
              <c:f>Analysis!$D$212:$G$212</c:f>
              <c:numCache>
                <c:formatCode>General</c:formatCode>
                <c:ptCount val="4"/>
                <c:pt idx="0">
                  <c:v>2016</c:v>
                </c:pt>
                <c:pt idx="1">
                  <c:v>2017</c:v>
                </c:pt>
                <c:pt idx="2">
                  <c:v>0</c:v>
                </c:pt>
                <c:pt idx="3">
                  <c:v>0</c:v>
                </c:pt>
              </c:numCache>
            </c:numRef>
          </c:cat>
          <c:val>
            <c:numRef>
              <c:f>Analysis!$D$213:$G$213</c:f>
              <c:numCache>
                <c:formatCode>0.0%</c:formatCode>
                <c:ptCount val="4"/>
                <c:pt idx="0">
                  <c:v>0.28743291855870734</c:v>
                </c:pt>
                <c:pt idx="1">
                  <c:v>0.27141782842598483</c:v>
                </c:pt>
                <c:pt idx="2">
                  <c:v>0.30249027957785596</c:v>
                </c:pt>
                <c:pt idx="3">
                  <c:v>0.36103292677478444</c:v>
                </c:pt>
              </c:numCache>
            </c:numRef>
          </c:val>
          <c:smooth val="0"/>
          <c:extLst>
            <c:ext xmlns:c16="http://schemas.microsoft.com/office/drawing/2014/chart" uri="{C3380CC4-5D6E-409C-BE32-E72D297353CC}">
              <c16:uniqueId val="{00000000-6B6C-40D3-BB52-017EAB4B6A9E}"/>
            </c:ext>
          </c:extLst>
        </c:ser>
        <c:ser>
          <c:idx val="1"/>
          <c:order val="1"/>
          <c:tx>
            <c:strRef>
              <c:f>Analysis!$C$214</c:f>
              <c:strCache>
                <c:ptCount val="1"/>
                <c:pt idx="0">
                  <c:v>Capex/sales - MXN22/$</c:v>
                </c:pt>
              </c:strCache>
            </c:strRef>
          </c:tx>
          <c:spPr>
            <a:ln w="25400" cap="rnd">
              <a:solidFill>
                <a:srgbClr val="99CCFF"/>
              </a:solidFill>
              <a:prstDash val="solid"/>
              <a:round/>
            </a:ln>
            <a:effectLst/>
          </c:spPr>
          <c:marker>
            <c:symbol val="none"/>
          </c:marker>
          <c:cat>
            <c:numRef>
              <c:f>Analysis!$D$212:$G$212</c:f>
              <c:numCache>
                <c:formatCode>General</c:formatCode>
                <c:ptCount val="4"/>
                <c:pt idx="0">
                  <c:v>2016</c:v>
                </c:pt>
                <c:pt idx="1">
                  <c:v>2017</c:v>
                </c:pt>
                <c:pt idx="2">
                  <c:v>0</c:v>
                </c:pt>
                <c:pt idx="3">
                  <c:v>0</c:v>
                </c:pt>
              </c:numCache>
            </c:numRef>
          </c:cat>
          <c:val>
            <c:numRef>
              <c:f>Analysis!$D$214:$G$214</c:f>
              <c:numCache>
                <c:formatCode>0.0%</c:formatCode>
                <c:ptCount val="4"/>
                <c:pt idx="0">
                  <c:v>0.26600000000000001</c:v>
                </c:pt>
                <c:pt idx="1">
                  <c:v>0.28499999999999998</c:v>
                </c:pt>
                <c:pt idx="2">
                  <c:v>0.24748710749952918</c:v>
                </c:pt>
                <c:pt idx="3">
                  <c:v>0.23003197022730565</c:v>
                </c:pt>
              </c:numCache>
            </c:numRef>
          </c:val>
          <c:smooth val="0"/>
          <c:extLst>
            <c:ext xmlns:c16="http://schemas.microsoft.com/office/drawing/2014/chart" uri="{C3380CC4-5D6E-409C-BE32-E72D297353CC}">
              <c16:uniqueId val="{00000001-6B6C-40D3-BB52-017EAB4B6A9E}"/>
            </c:ext>
          </c:extLst>
        </c:ser>
        <c:dLbls>
          <c:showLegendKey val="0"/>
          <c:showVal val="0"/>
          <c:showCatName val="0"/>
          <c:showSerName val="0"/>
          <c:showPercent val="0"/>
          <c:showBubbleSize val="0"/>
        </c:dLbls>
        <c:smooth val="0"/>
        <c:axId val="337675296"/>
        <c:axId val="629942016"/>
      </c:lineChart>
      <c:catAx>
        <c:axId val="337675296"/>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rebuchet MS"/>
                <a:ea typeface="Trebuchet MS"/>
                <a:cs typeface="Trebuchet MS"/>
              </a:defRPr>
            </a:pPr>
            <a:endParaRPr lang="en-US"/>
          </a:p>
        </c:txPr>
        <c:crossAx val="629942016"/>
        <c:crosses val="autoZero"/>
        <c:auto val="1"/>
        <c:lblAlgn val="ctr"/>
        <c:lblOffset val="100"/>
        <c:noMultiLvlLbl val="0"/>
      </c:catAx>
      <c:valAx>
        <c:axId val="629942016"/>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rebuchet MS"/>
                <a:ea typeface="Trebuchet MS"/>
                <a:cs typeface="Trebuchet MS"/>
              </a:defRPr>
            </a:pPr>
            <a:endParaRPr lang="en-US"/>
          </a:p>
        </c:txPr>
        <c:crossAx val="33767529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9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72265966754156"/>
          <c:y val="4.3173542807942944E-2"/>
          <c:w val="0.85372178477690286"/>
          <c:h val="0.69468795448884335"/>
        </c:manualLayout>
      </c:layout>
      <c:areaChart>
        <c:grouping val="stacked"/>
        <c:varyColors val="0"/>
        <c:ser>
          <c:idx val="0"/>
          <c:order val="0"/>
          <c:tx>
            <c:strRef>
              <c:f>Analysis!$C$255</c:f>
              <c:strCache>
                <c:ptCount val="1"/>
                <c:pt idx="0">
                  <c:v>Video</c:v>
                </c:pt>
              </c:strCache>
            </c:strRef>
          </c:tx>
          <c:spPr>
            <a:solidFill>
              <a:srgbClr val="000080"/>
            </a:solidFill>
            <a:ln w="25400">
              <a:noFill/>
            </a:ln>
            <a:effectLst/>
          </c:spPr>
          <c:cat>
            <c:strRef>
              <c:f>Analysis!$D$248:$AA$248</c:f>
              <c:strCache>
                <c:ptCount val="24"/>
                <c:pt idx="0">
                  <c:v>2011</c:v>
                </c:pt>
                <c:pt idx="1">
                  <c:v>2012</c:v>
                </c:pt>
                <c:pt idx="3">
                  <c:v>#REF!</c:v>
                </c:pt>
                <c:pt idx="4">
                  <c:v>#REF!</c:v>
                </c:pt>
                <c:pt idx="5">
                  <c:v>#REF!</c:v>
                </c:pt>
                <c:pt idx="6">
                  <c:v>#REF!</c:v>
                </c:pt>
                <c:pt idx="7">
                  <c:v>#REF!</c:v>
                </c:pt>
                <c:pt idx="8">
                  <c:v>#REF!</c:v>
                </c:pt>
                <c:pt idx="9">
                  <c:v>#REF!</c:v>
                </c:pt>
                <c:pt idx="10">
                  <c:v>#REF!</c:v>
                </c:pt>
                <c:pt idx="11">
                  <c:v>#REF!</c:v>
                </c:pt>
                <c:pt idx="12">
                  <c:v>#REF!</c:v>
                </c:pt>
                <c:pt idx="13">
                  <c:v>#REF!</c:v>
                </c:pt>
                <c:pt idx="14">
                  <c:v>#REF!</c:v>
                </c:pt>
                <c:pt idx="15">
                  <c:v>#REF!</c:v>
                </c:pt>
                <c:pt idx="16">
                  <c:v>#REF!</c:v>
                </c:pt>
                <c:pt idx="17">
                  <c:v>#REF!</c:v>
                </c:pt>
                <c:pt idx="18">
                  <c:v>#REF!</c:v>
                </c:pt>
                <c:pt idx="23">
                  <c:v>Long term</c:v>
                </c:pt>
              </c:strCache>
            </c:strRef>
          </c:cat>
          <c:val>
            <c:numRef>
              <c:f>Analysis!$D$255:$AA$255</c:f>
              <c:numCache>
                <c:formatCode>0</c:formatCode>
                <c:ptCount val="24"/>
                <c:pt idx="0">
                  <c:v>64.57787101803288</c:v>
                </c:pt>
                <c:pt idx="1">
                  <c:v>70.896166809250659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B9DD-429C-B599-746A49D5BAE9}"/>
            </c:ext>
          </c:extLst>
        </c:ser>
        <c:ser>
          <c:idx val="1"/>
          <c:order val="1"/>
          <c:tx>
            <c:strRef>
              <c:f>Analysis!$C$256</c:f>
              <c:strCache>
                <c:ptCount val="1"/>
                <c:pt idx="0">
                  <c:v>Broadband</c:v>
                </c:pt>
              </c:strCache>
            </c:strRef>
          </c:tx>
          <c:spPr>
            <a:solidFill>
              <a:srgbClr val="9999FF"/>
            </a:solidFill>
            <a:ln w="25400">
              <a:noFill/>
            </a:ln>
            <a:effectLst/>
          </c:spPr>
          <c:cat>
            <c:strRef>
              <c:f>Analysis!$D$248:$AA$248</c:f>
              <c:strCache>
                <c:ptCount val="24"/>
                <c:pt idx="0">
                  <c:v>2011</c:v>
                </c:pt>
                <c:pt idx="1">
                  <c:v>2012</c:v>
                </c:pt>
                <c:pt idx="3">
                  <c:v>#REF!</c:v>
                </c:pt>
                <c:pt idx="4">
                  <c:v>#REF!</c:v>
                </c:pt>
                <c:pt idx="5">
                  <c:v>#REF!</c:v>
                </c:pt>
                <c:pt idx="6">
                  <c:v>#REF!</c:v>
                </c:pt>
                <c:pt idx="7">
                  <c:v>#REF!</c:v>
                </c:pt>
                <c:pt idx="8">
                  <c:v>#REF!</c:v>
                </c:pt>
                <c:pt idx="9">
                  <c:v>#REF!</c:v>
                </c:pt>
                <c:pt idx="10">
                  <c:v>#REF!</c:v>
                </c:pt>
                <c:pt idx="11">
                  <c:v>#REF!</c:v>
                </c:pt>
                <c:pt idx="12">
                  <c:v>#REF!</c:v>
                </c:pt>
                <c:pt idx="13">
                  <c:v>#REF!</c:v>
                </c:pt>
                <c:pt idx="14">
                  <c:v>#REF!</c:v>
                </c:pt>
                <c:pt idx="15">
                  <c:v>#REF!</c:v>
                </c:pt>
                <c:pt idx="16">
                  <c:v>#REF!</c:v>
                </c:pt>
                <c:pt idx="17">
                  <c:v>#REF!</c:v>
                </c:pt>
                <c:pt idx="18">
                  <c:v>#REF!</c:v>
                </c:pt>
                <c:pt idx="23">
                  <c:v>Long term</c:v>
                </c:pt>
              </c:strCache>
            </c:strRef>
          </c:cat>
          <c:val>
            <c:numRef>
              <c:f>Analysis!$D$256:$AA$256</c:f>
              <c:numCache>
                <c:formatCode>0</c:formatCode>
                <c:ptCount val="24"/>
                <c:pt idx="0">
                  <c:v>20.8221051887352</c:v>
                </c:pt>
                <c:pt idx="1">
                  <c:v>23.151036275646231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B9DD-429C-B599-746A49D5BAE9}"/>
            </c:ext>
          </c:extLst>
        </c:ser>
        <c:ser>
          <c:idx val="2"/>
          <c:order val="2"/>
          <c:tx>
            <c:strRef>
              <c:f>Analysis!$C$257</c:f>
              <c:strCache>
                <c:ptCount val="1"/>
                <c:pt idx="0">
                  <c:v>Voice</c:v>
                </c:pt>
              </c:strCache>
            </c:strRef>
          </c:tx>
          <c:spPr>
            <a:solidFill>
              <a:srgbClr val="3366FF"/>
            </a:solidFill>
            <a:ln w="25400">
              <a:noFill/>
            </a:ln>
            <a:effectLst/>
          </c:spPr>
          <c:cat>
            <c:strRef>
              <c:f>Analysis!$D$248:$AA$248</c:f>
              <c:strCache>
                <c:ptCount val="24"/>
                <c:pt idx="0">
                  <c:v>2011</c:v>
                </c:pt>
                <c:pt idx="1">
                  <c:v>2012</c:v>
                </c:pt>
                <c:pt idx="3">
                  <c:v>#REF!</c:v>
                </c:pt>
                <c:pt idx="4">
                  <c:v>#REF!</c:v>
                </c:pt>
                <c:pt idx="5">
                  <c:v>#REF!</c:v>
                </c:pt>
                <c:pt idx="6">
                  <c:v>#REF!</c:v>
                </c:pt>
                <c:pt idx="7">
                  <c:v>#REF!</c:v>
                </c:pt>
                <c:pt idx="8">
                  <c:v>#REF!</c:v>
                </c:pt>
                <c:pt idx="9">
                  <c:v>#REF!</c:v>
                </c:pt>
                <c:pt idx="10">
                  <c:v>#REF!</c:v>
                </c:pt>
                <c:pt idx="11">
                  <c:v>#REF!</c:v>
                </c:pt>
                <c:pt idx="12">
                  <c:v>#REF!</c:v>
                </c:pt>
                <c:pt idx="13">
                  <c:v>#REF!</c:v>
                </c:pt>
                <c:pt idx="14">
                  <c:v>#REF!</c:v>
                </c:pt>
                <c:pt idx="15">
                  <c:v>#REF!</c:v>
                </c:pt>
                <c:pt idx="16">
                  <c:v>#REF!</c:v>
                </c:pt>
                <c:pt idx="17">
                  <c:v>#REF!</c:v>
                </c:pt>
                <c:pt idx="18">
                  <c:v>#REF!</c:v>
                </c:pt>
                <c:pt idx="23">
                  <c:v>Long term</c:v>
                </c:pt>
              </c:strCache>
            </c:strRef>
          </c:cat>
          <c:val>
            <c:numRef>
              <c:f>Analysis!$D$257:$AA$257</c:f>
              <c:numCache>
                <c:formatCode>0</c:formatCode>
                <c:ptCount val="24"/>
                <c:pt idx="0">
                  <c:v>14.600023793231928</c:v>
                </c:pt>
                <c:pt idx="1">
                  <c:v>14.586772284404866</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2-B9DD-429C-B599-746A49D5BAE9}"/>
            </c:ext>
          </c:extLst>
        </c:ser>
        <c:dLbls>
          <c:showLegendKey val="0"/>
          <c:showVal val="0"/>
          <c:showCatName val="0"/>
          <c:showSerName val="0"/>
          <c:showPercent val="0"/>
          <c:showBubbleSize val="0"/>
        </c:dLbls>
        <c:axId val="833802304"/>
        <c:axId val="948978720"/>
      </c:areaChart>
      <c:catAx>
        <c:axId val="833802304"/>
        <c:scaling>
          <c:orientation val="minMax"/>
        </c:scaling>
        <c:delete val="0"/>
        <c:axPos val="b"/>
        <c:numFmt formatCode="General" sourceLinked="1"/>
        <c:majorTickMark val="out"/>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48978720"/>
        <c:crosses val="autoZero"/>
        <c:auto val="1"/>
        <c:lblAlgn val="ctr"/>
        <c:lblOffset val="100"/>
        <c:noMultiLvlLbl val="0"/>
      </c:catAx>
      <c:valAx>
        <c:axId val="94897872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33802304"/>
        <c:crosses val="autoZero"/>
        <c:crossBetween val="midCat"/>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5400" cap="rnd">
              <a:solidFill>
                <a:srgbClr val="333399"/>
              </a:solidFill>
              <a:prstDash val="solid"/>
              <a:round/>
            </a:ln>
            <a:effectLst/>
          </c:spPr>
          <c:marker>
            <c:symbol val="none"/>
          </c:marker>
          <c:cat>
            <c:strRef>
              <c:f>Analysis!$D$264:$M$264</c:f>
              <c:strCache>
                <c:ptCount val="10"/>
                <c:pt idx="0">
                  <c:v>1Q17</c:v>
                </c:pt>
                <c:pt idx="1">
                  <c:v>2Q17</c:v>
                </c:pt>
                <c:pt idx="3">
                  <c:v>4Q17</c:v>
                </c:pt>
                <c:pt idx="4">
                  <c:v>1Q18</c:v>
                </c:pt>
                <c:pt idx="5">
                  <c:v>2Q18</c:v>
                </c:pt>
                <c:pt idx="6">
                  <c:v>3Q18</c:v>
                </c:pt>
                <c:pt idx="7">
                  <c:v>4Q18</c:v>
                </c:pt>
                <c:pt idx="8">
                  <c:v>1Q19</c:v>
                </c:pt>
                <c:pt idx="9">
                  <c:v>2Q19</c:v>
                </c:pt>
              </c:strCache>
            </c:strRef>
          </c:cat>
          <c:val>
            <c:numRef>
              <c:f>Analysis!$D$265:$M$265</c:f>
              <c:numCache>
                <c:formatCode>0.0</c:formatCode>
                <c:ptCount val="10"/>
                <c:pt idx="0">
                  <c:v>178.4</c:v>
                </c:pt>
                <c:pt idx="1">
                  <c:v>178.7</c:v>
                </c:pt>
                <c:pt idx="3">
                  <c:v>177.2</c:v>
                </c:pt>
                <c:pt idx="4">
                  <c:v>181.9</c:v>
                </c:pt>
                <c:pt idx="5">
                  <c:v>179.3</c:v>
                </c:pt>
                <c:pt idx="6">
                  <c:v>178.2</c:v>
                </c:pt>
                <c:pt idx="7">
                  <c:v>179.8</c:v>
                </c:pt>
                <c:pt idx="8">
                  <c:v>182</c:v>
                </c:pt>
                <c:pt idx="9">
                  <c:v>182.7</c:v>
                </c:pt>
              </c:numCache>
            </c:numRef>
          </c:val>
          <c:smooth val="0"/>
          <c:extLst>
            <c:ext xmlns:c16="http://schemas.microsoft.com/office/drawing/2014/chart" uri="{C3380CC4-5D6E-409C-BE32-E72D297353CC}">
              <c16:uniqueId val="{00000000-47CA-4F0E-8BB1-F9076C52E300}"/>
            </c:ext>
          </c:extLst>
        </c:ser>
        <c:dLbls>
          <c:showLegendKey val="0"/>
          <c:showVal val="0"/>
          <c:showCatName val="0"/>
          <c:showSerName val="0"/>
          <c:showPercent val="0"/>
          <c:showBubbleSize val="0"/>
        </c:dLbls>
        <c:smooth val="0"/>
        <c:axId val="1163784000"/>
        <c:axId val="674595424"/>
      </c:lineChart>
      <c:catAx>
        <c:axId val="1163784000"/>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74595424"/>
        <c:crosses val="autoZero"/>
        <c:auto val="1"/>
        <c:lblAlgn val="ctr"/>
        <c:lblOffset val="100"/>
        <c:tickMarkSkip val="2"/>
        <c:noMultiLvlLbl val="0"/>
      </c:catAx>
      <c:valAx>
        <c:axId val="674595424"/>
        <c:scaling>
          <c:orientation val="minMax"/>
          <c:min val="174"/>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MXN / month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63784000"/>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Trebuchet MS"/>
                <a:ea typeface="Trebuchet MS"/>
                <a:cs typeface="Trebuchet MS"/>
              </a:defRPr>
            </a:pPr>
            <a:r>
              <a:rPr lang="en-GB"/>
              <a:t>Capex</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Trebuchet MS"/>
              <a:ea typeface="Trebuchet MS"/>
              <a:cs typeface="Trebuchet MS"/>
            </a:defRPr>
          </a:pPr>
          <a:endParaRPr lang="en-US"/>
        </a:p>
      </c:txPr>
    </c:title>
    <c:autoTitleDeleted val="0"/>
    <c:plotArea>
      <c:layout/>
      <c:barChart>
        <c:barDir val="col"/>
        <c:grouping val="stacked"/>
        <c:varyColors val="0"/>
        <c:ser>
          <c:idx val="0"/>
          <c:order val="0"/>
          <c:spPr>
            <a:noFill/>
            <a:ln w="25400">
              <a:noFill/>
            </a:ln>
            <a:effectLst/>
          </c:spPr>
          <c:invertIfNegative val="0"/>
          <c:cat>
            <c:strRef>
              <c:f>Analysis!$C$281:$C$285</c:f>
              <c:strCache>
                <c:ptCount val="5"/>
                <c:pt idx="0">
                  <c:v>2019</c:v>
                </c:pt>
                <c:pt idx="1">
                  <c:v>Savings on HFC</c:v>
                </c:pt>
                <c:pt idx="2">
                  <c:v>Home passed cost</c:v>
                </c:pt>
                <c:pt idx="3">
                  <c:v>Home connected cost</c:v>
                </c:pt>
                <c:pt idx="4">
                  <c:v>2020</c:v>
                </c:pt>
              </c:strCache>
            </c:strRef>
          </c:cat>
          <c:val>
            <c:numRef>
              <c:f>Analysis!$D$281:$D$285</c:f>
              <c:numCache>
                <c:formatCode>General</c:formatCode>
                <c:ptCount val="5"/>
                <c:pt idx="0" formatCode="0">
                  <c:v>0</c:v>
                </c:pt>
                <c:pt idx="1">
                  <c:v>265</c:v>
                </c:pt>
                <c:pt idx="2">
                  <c:v>265</c:v>
                </c:pt>
                <c:pt idx="3">
                  <c:v>320</c:v>
                </c:pt>
              </c:numCache>
            </c:numRef>
          </c:val>
          <c:extLst>
            <c:ext xmlns:c16="http://schemas.microsoft.com/office/drawing/2014/chart" uri="{C3380CC4-5D6E-409C-BE32-E72D297353CC}">
              <c16:uniqueId val="{00000000-0B1C-4283-B594-66FB4D6E67C4}"/>
            </c:ext>
          </c:extLst>
        </c:ser>
        <c:ser>
          <c:idx val="1"/>
          <c:order val="1"/>
          <c:spPr>
            <a:solidFill>
              <a:srgbClr val="9999FF"/>
            </a:solidFill>
            <a:ln w="25400">
              <a:noFill/>
            </a:ln>
            <a:effectLst/>
          </c:spPr>
          <c:invertIfNegative val="0"/>
          <c:cat>
            <c:strRef>
              <c:f>Analysis!$C$281:$C$285</c:f>
              <c:strCache>
                <c:ptCount val="5"/>
                <c:pt idx="0">
                  <c:v>2019</c:v>
                </c:pt>
                <c:pt idx="1">
                  <c:v>Savings on HFC</c:v>
                </c:pt>
                <c:pt idx="2">
                  <c:v>Home passed cost</c:v>
                </c:pt>
                <c:pt idx="3">
                  <c:v>Home connected cost</c:v>
                </c:pt>
                <c:pt idx="4">
                  <c:v>2020</c:v>
                </c:pt>
              </c:strCache>
            </c:strRef>
          </c:cat>
          <c:val>
            <c:numRef>
              <c:f>Analysis!$E$281:$E$285</c:f>
              <c:numCache>
                <c:formatCode>0</c:formatCode>
                <c:ptCount val="5"/>
                <c:pt idx="0" formatCode="General">
                  <c:v>323</c:v>
                </c:pt>
                <c:pt idx="1">
                  <c:v>58</c:v>
                </c:pt>
                <c:pt idx="2" formatCode="General">
                  <c:v>55</c:v>
                </c:pt>
                <c:pt idx="3">
                  <c:v>53</c:v>
                </c:pt>
                <c:pt idx="4">
                  <c:v>373</c:v>
                </c:pt>
              </c:numCache>
            </c:numRef>
          </c:val>
          <c:extLst>
            <c:ext xmlns:c16="http://schemas.microsoft.com/office/drawing/2014/chart" uri="{C3380CC4-5D6E-409C-BE32-E72D297353CC}">
              <c16:uniqueId val="{00000001-0B1C-4283-B594-66FB4D6E67C4}"/>
            </c:ext>
          </c:extLst>
        </c:ser>
        <c:dLbls>
          <c:showLegendKey val="0"/>
          <c:showVal val="0"/>
          <c:showCatName val="0"/>
          <c:showSerName val="0"/>
          <c:showPercent val="0"/>
          <c:showBubbleSize val="0"/>
        </c:dLbls>
        <c:gapWidth val="150"/>
        <c:overlap val="100"/>
        <c:axId val="692698544"/>
        <c:axId val="695895744"/>
      </c:barChart>
      <c:catAx>
        <c:axId val="692698544"/>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95895744"/>
        <c:crosses val="autoZero"/>
        <c:auto val="1"/>
        <c:lblAlgn val="ctr"/>
        <c:lblOffset val="100"/>
        <c:noMultiLvlLbl val="0"/>
      </c:catAx>
      <c:valAx>
        <c:axId val="695895744"/>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USD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92698544"/>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Analysis!$C$197</c:f>
              <c:strCache>
                <c:ptCount val="1"/>
                <c:pt idx="0">
                  <c:v>MEGA</c:v>
                </c:pt>
              </c:strCache>
            </c:strRef>
          </c:tx>
          <c:spPr>
            <a:solidFill>
              <a:srgbClr val="000080"/>
            </a:solidFill>
            <a:ln w="25400">
              <a:noFill/>
            </a:ln>
            <a:effectLst/>
          </c:spPr>
          <c:invertIfNegative val="0"/>
          <c:cat>
            <c:numRef>
              <c:f>Analysis!$H$196:$O$196</c:f>
              <c:numCache>
                <c:formatCode>General</c:formatCode>
                <c:ptCount val="8"/>
                <c:pt idx="0">
                  <c:v>0</c:v>
                </c:pt>
                <c:pt idx="1">
                  <c:v>0</c:v>
                </c:pt>
                <c:pt idx="2">
                  <c:v>0</c:v>
                </c:pt>
                <c:pt idx="3">
                  <c:v>0</c:v>
                </c:pt>
                <c:pt idx="4">
                  <c:v>0</c:v>
                </c:pt>
                <c:pt idx="5">
                  <c:v>0</c:v>
                </c:pt>
                <c:pt idx="6">
                  <c:v>0</c:v>
                </c:pt>
                <c:pt idx="7">
                  <c:v>0</c:v>
                </c:pt>
              </c:numCache>
            </c:numRef>
          </c:cat>
          <c:val>
            <c:numRef>
              <c:f>Analysis!$H$197:$O$197</c:f>
              <c:numCache>
                <c:formatCode>#,##0</c:formatCode>
                <c:ptCount val="8"/>
                <c:pt idx="0">
                  <c:v>299.64182291666668</c:v>
                </c:pt>
                <c:pt idx="1">
                  <c:v>339.48051948051949</c:v>
                </c:pt>
                <c:pt idx="2">
                  <c:v>404.05</c:v>
                </c:pt>
                <c:pt idx="3">
                  <c:v>466.67157991254754</c:v>
                </c:pt>
                <c:pt idx="4">
                  <c:v>588.85572139303474</c:v>
                </c:pt>
                <c:pt idx="5">
                  <c:v>730.34404963338977</c:v>
                </c:pt>
                <c:pt idx="6">
                  <c:v>565.0273224043716</c:v>
                </c:pt>
                <c:pt idx="7">
                  <c:v>478.51</c:v>
                </c:pt>
              </c:numCache>
            </c:numRef>
          </c:val>
          <c:extLst>
            <c:ext xmlns:c16="http://schemas.microsoft.com/office/drawing/2014/chart" uri="{C3380CC4-5D6E-409C-BE32-E72D297353CC}">
              <c16:uniqueId val="{00000000-5D20-4F1A-9667-0E5257C5E800}"/>
            </c:ext>
          </c:extLst>
        </c:ser>
        <c:ser>
          <c:idx val="1"/>
          <c:order val="1"/>
          <c:tx>
            <c:strRef>
              <c:f>Analysis!$C$198</c:f>
              <c:strCache>
                <c:ptCount val="1"/>
                <c:pt idx="0">
                  <c:v>TV</c:v>
                </c:pt>
              </c:strCache>
            </c:strRef>
          </c:tx>
          <c:spPr>
            <a:solidFill>
              <a:srgbClr val="9999FF"/>
            </a:solidFill>
            <a:ln w="25400">
              <a:noFill/>
            </a:ln>
            <a:effectLst/>
          </c:spPr>
          <c:invertIfNegative val="0"/>
          <c:cat>
            <c:numRef>
              <c:f>Analysis!$H$196:$O$196</c:f>
              <c:numCache>
                <c:formatCode>General</c:formatCode>
                <c:ptCount val="8"/>
                <c:pt idx="0">
                  <c:v>0</c:v>
                </c:pt>
                <c:pt idx="1">
                  <c:v>0</c:v>
                </c:pt>
                <c:pt idx="2">
                  <c:v>0</c:v>
                </c:pt>
                <c:pt idx="3">
                  <c:v>0</c:v>
                </c:pt>
                <c:pt idx="4">
                  <c:v>0</c:v>
                </c:pt>
                <c:pt idx="5">
                  <c:v>0</c:v>
                </c:pt>
                <c:pt idx="6">
                  <c:v>0</c:v>
                </c:pt>
                <c:pt idx="7">
                  <c:v>0</c:v>
                </c:pt>
              </c:numCache>
            </c:numRef>
          </c:cat>
          <c:val>
            <c:numRef>
              <c:f>Analysis!$H$198:$O$198</c:f>
              <c:numCache>
                <c:formatCode>#,##0</c:formatCode>
                <c:ptCount val="8"/>
                <c:pt idx="0">
                  <c:v>666.73177083333337</c:v>
                </c:pt>
                <c:pt idx="1">
                  <c:v>646.5472987012987</c:v>
                </c:pt>
                <c:pt idx="2">
                  <c:v>565.25744562500017</c:v>
                </c:pt>
                <c:pt idx="3">
                  <c:v>577.81636911852445</c:v>
                </c:pt>
                <c:pt idx="4">
                  <c:v>603.55321573217941</c:v>
                </c:pt>
                <c:pt idx="5">
                  <c:v>738.96972403351106</c:v>
                </c:pt>
                <c:pt idx="6">
                  <c:v>773.22884501001545</c:v>
                </c:pt>
                <c:pt idx="7">
                  <c:v>795.94244233218478</c:v>
                </c:pt>
              </c:numCache>
            </c:numRef>
          </c:val>
          <c:extLst>
            <c:ext xmlns:c16="http://schemas.microsoft.com/office/drawing/2014/chart" uri="{C3380CC4-5D6E-409C-BE32-E72D297353CC}">
              <c16:uniqueId val="{00000001-5D20-4F1A-9667-0E5257C5E800}"/>
            </c:ext>
          </c:extLst>
        </c:ser>
        <c:dLbls>
          <c:showLegendKey val="0"/>
          <c:showVal val="0"/>
          <c:showCatName val="0"/>
          <c:showSerName val="0"/>
          <c:showPercent val="0"/>
          <c:showBubbleSize val="0"/>
        </c:dLbls>
        <c:gapWidth val="219"/>
        <c:overlap val="-27"/>
        <c:axId val="338794080"/>
        <c:axId val="806100256"/>
      </c:barChart>
      <c:catAx>
        <c:axId val="338794080"/>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06100256"/>
        <c:crosses val="autoZero"/>
        <c:auto val="1"/>
        <c:lblAlgn val="ctr"/>
        <c:lblOffset val="100"/>
        <c:noMultiLvlLbl val="0"/>
      </c:catAx>
      <c:valAx>
        <c:axId val="806100256"/>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USD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3879408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'Earnings snaps'!$B$95</c:f>
              <c:strCache>
                <c:ptCount val="1"/>
                <c:pt idx="0">
                  <c:v>Gross adds</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cat>
            <c:strRef>
              <c:f>'Earnings snaps'!$F$94:$AE$94</c:f>
              <c:strCache>
                <c:ptCount val="26"/>
                <c:pt idx="0">
                  <c:v>4Q19</c:v>
                </c:pt>
                <c:pt idx="1">
                  <c:v>1Q20</c:v>
                </c:pt>
                <c:pt idx="2">
                  <c:v>2Q20</c:v>
                </c:pt>
                <c:pt idx="3">
                  <c:v>3Q20</c:v>
                </c:pt>
                <c:pt idx="4">
                  <c:v>4Q20</c:v>
                </c:pt>
                <c:pt idx="5">
                  <c:v>1Q21</c:v>
                </c:pt>
                <c:pt idx="6">
                  <c:v>2Q21</c:v>
                </c:pt>
                <c:pt idx="7">
                  <c:v>3Q21</c:v>
                </c:pt>
                <c:pt idx="8">
                  <c:v>4Q21</c:v>
                </c:pt>
                <c:pt idx="9">
                  <c:v>1Q22</c:v>
                </c:pt>
                <c:pt idx="10">
                  <c:v>2Q22</c:v>
                </c:pt>
                <c:pt idx="11">
                  <c:v>3Q22</c:v>
                </c:pt>
                <c:pt idx="12">
                  <c:v>4Q22</c:v>
                </c:pt>
                <c:pt idx="13">
                  <c:v>1Q23</c:v>
                </c:pt>
                <c:pt idx="14">
                  <c:v>2Q23</c:v>
                </c:pt>
                <c:pt idx="15">
                  <c:v>3Q23</c:v>
                </c:pt>
                <c:pt idx="16">
                  <c:v>4Q23</c:v>
                </c:pt>
                <c:pt idx="17">
                  <c:v>1Q24</c:v>
                </c:pt>
                <c:pt idx="18">
                  <c:v>2Q24</c:v>
                </c:pt>
                <c:pt idx="19">
                  <c:v>3Q24</c:v>
                </c:pt>
                <c:pt idx="20">
                  <c:v>4Q24</c:v>
                </c:pt>
                <c:pt idx="21">
                  <c:v>1Q25</c:v>
                </c:pt>
                <c:pt idx="22">
                  <c:v>2Q25</c:v>
                </c:pt>
                <c:pt idx="23">
                  <c:v>3Q25</c:v>
                </c:pt>
                <c:pt idx="24">
                  <c:v>4Q25</c:v>
                </c:pt>
                <c:pt idx="25">
                  <c:v>1Q26</c:v>
                </c:pt>
              </c:strCache>
            </c:strRef>
          </c:cat>
          <c:val>
            <c:numRef>
              <c:f>'Earnings snaps'!$F$95:$AE$95</c:f>
              <c:numCache>
                <c:formatCode>0</c:formatCode>
                <c:ptCount val="26"/>
                <c:pt idx="0">
                  <c:v>242.25100000000018</c:v>
                </c:pt>
                <c:pt idx="1">
                  <c:v>225.3177959999997</c:v>
                </c:pt>
                <c:pt idx="2">
                  <c:v>234.04528800000023</c:v>
                </c:pt>
                <c:pt idx="3">
                  <c:v>329.91799999999978</c:v>
                </c:pt>
                <c:pt idx="4">
                  <c:v>260.20076000000017</c:v>
                </c:pt>
                <c:pt idx="5">
                  <c:v>279.50446799999969</c:v>
                </c:pt>
                <c:pt idx="6">
                  <c:v>273.54440000000028</c:v>
                </c:pt>
                <c:pt idx="7">
                  <c:v>323.88599999999974</c:v>
                </c:pt>
                <c:pt idx="8">
                  <c:v>306.1557200000002</c:v>
                </c:pt>
                <c:pt idx="9">
                  <c:v>300.93925899999999</c:v>
                </c:pt>
                <c:pt idx="10">
                  <c:v>334.53505699999988</c:v>
                </c:pt>
                <c:pt idx="11">
                  <c:v>370.61777500000017</c:v>
                </c:pt>
                <c:pt idx="12">
                  <c:v>329.39773199999962</c:v>
                </c:pt>
                <c:pt idx="13">
                  <c:v>383.16302000000024</c:v>
                </c:pt>
                <c:pt idx="14">
                  <c:v>407.56640499999986</c:v>
                </c:pt>
                <c:pt idx="15">
                  <c:v>397.38105100000041</c:v>
                </c:pt>
                <c:pt idx="16">
                  <c:v>402.49061599999936</c:v>
                </c:pt>
                <c:pt idx="17">
                  <c:v>406.2938079999999</c:v>
                </c:pt>
                <c:pt idx="18">
                  <c:v>397.7565660000003</c:v>
                </c:pt>
                <c:pt idx="19">
                  <c:v>479.61882000000014</c:v>
                </c:pt>
                <c:pt idx="20">
                  <c:v>428.92079699999971</c:v>
                </c:pt>
                <c:pt idx="21">
                  <c:v>434.80384999999984</c:v>
                </c:pt>
                <c:pt idx="22">
                  <c:v>489.64366600000062</c:v>
                </c:pt>
                <c:pt idx="23">
                  <c:v>511.1156739999995</c:v>
                </c:pt>
                <c:pt idx="24">
                  <c:v>473.01628000000028</c:v>
                </c:pt>
                <c:pt idx="25">
                  <c:v>449.60613999999993</c:v>
                </c:pt>
              </c:numCache>
            </c:numRef>
          </c:val>
          <c:extLst>
            <c:ext xmlns:c16="http://schemas.microsoft.com/office/drawing/2014/chart" uri="{C3380CC4-5D6E-409C-BE32-E72D297353CC}">
              <c16:uniqueId val="{00000000-7457-4CF2-91B4-3654776DB8D8}"/>
            </c:ext>
          </c:extLst>
        </c:ser>
        <c:dLbls>
          <c:showLegendKey val="0"/>
          <c:showVal val="0"/>
          <c:showCatName val="0"/>
          <c:showSerName val="0"/>
          <c:showPercent val="0"/>
          <c:showBubbleSize val="0"/>
        </c:dLbls>
        <c:gapWidth val="150"/>
        <c:axId val="1703756751"/>
        <c:axId val="1703756335"/>
      </c:barChart>
      <c:lineChart>
        <c:grouping val="standard"/>
        <c:varyColors val="0"/>
        <c:ser>
          <c:idx val="1"/>
          <c:order val="1"/>
          <c:tx>
            <c:strRef>
              <c:f>'Earnings snaps'!$B$96</c:f>
              <c:strCache>
                <c:ptCount val="1"/>
                <c:pt idx="0">
                  <c:v>Churn</c:v>
                </c:pt>
              </c:strCache>
            </c:strRef>
          </c:tx>
          <c:spPr>
            <a:ln w="25400" cap="rnd">
              <a:solidFill>
                <a:srgbClr val="799098"/>
              </a:solidFill>
              <a:prstDash val="solid"/>
              <a:round/>
            </a:ln>
            <a:effectLst/>
          </c:spPr>
          <c:marker>
            <c:symbol val="none"/>
          </c:marker>
          <c:cat>
            <c:strRef>
              <c:f>'Earnings snaps'!$F$94:$AE$94</c:f>
              <c:strCache>
                <c:ptCount val="26"/>
                <c:pt idx="0">
                  <c:v>4Q19</c:v>
                </c:pt>
                <c:pt idx="1">
                  <c:v>1Q20</c:v>
                </c:pt>
                <c:pt idx="2">
                  <c:v>2Q20</c:v>
                </c:pt>
                <c:pt idx="3">
                  <c:v>3Q20</c:v>
                </c:pt>
                <c:pt idx="4">
                  <c:v>4Q20</c:v>
                </c:pt>
                <c:pt idx="5">
                  <c:v>1Q21</c:v>
                </c:pt>
                <c:pt idx="6">
                  <c:v>2Q21</c:v>
                </c:pt>
                <c:pt idx="7">
                  <c:v>3Q21</c:v>
                </c:pt>
                <c:pt idx="8">
                  <c:v>4Q21</c:v>
                </c:pt>
                <c:pt idx="9">
                  <c:v>1Q22</c:v>
                </c:pt>
                <c:pt idx="10">
                  <c:v>2Q22</c:v>
                </c:pt>
                <c:pt idx="11">
                  <c:v>3Q22</c:v>
                </c:pt>
                <c:pt idx="12">
                  <c:v>4Q22</c:v>
                </c:pt>
                <c:pt idx="13">
                  <c:v>1Q23</c:v>
                </c:pt>
                <c:pt idx="14">
                  <c:v>2Q23</c:v>
                </c:pt>
                <c:pt idx="15">
                  <c:v>3Q23</c:v>
                </c:pt>
                <c:pt idx="16">
                  <c:v>4Q23</c:v>
                </c:pt>
                <c:pt idx="17">
                  <c:v>1Q24</c:v>
                </c:pt>
                <c:pt idx="18">
                  <c:v>2Q24</c:v>
                </c:pt>
                <c:pt idx="19">
                  <c:v>3Q24</c:v>
                </c:pt>
                <c:pt idx="20">
                  <c:v>4Q24</c:v>
                </c:pt>
                <c:pt idx="21">
                  <c:v>1Q25</c:v>
                </c:pt>
                <c:pt idx="22">
                  <c:v>2Q25</c:v>
                </c:pt>
                <c:pt idx="23">
                  <c:v>3Q25</c:v>
                </c:pt>
                <c:pt idx="24">
                  <c:v>4Q25</c:v>
                </c:pt>
                <c:pt idx="25">
                  <c:v>1Q26</c:v>
                </c:pt>
              </c:strCache>
            </c:strRef>
          </c:cat>
          <c:val>
            <c:numRef>
              <c:f>'Earnings snaps'!$F$96:$AE$96</c:f>
              <c:numCache>
                <c:formatCode>0.0%</c:formatCode>
                <c:ptCount val="26"/>
                <c:pt idx="0">
                  <c:v>2.3E-2</c:v>
                </c:pt>
                <c:pt idx="1">
                  <c:v>1.9E-2</c:v>
                </c:pt>
                <c:pt idx="2">
                  <c:v>1.6E-2</c:v>
                </c:pt>
                <c:pt idx="3">
                  <c:v>1.4999999999999999E-2</c:v>
                </c:pt>
                <c:pt idx="4">
                  <c:v>1.6E-2</c:v>
                </c:pt>
                <c:pt idx="5">
                  <c:v>1.9E-2</c:v>
                </c:pt>
                <c:pt idx="6">
                  <c:v>0.02</c:v>
                </c:pt>
                <c:pt idx="7">
                  <c:v>0.02</c:v>
                </c:pt>
                <c:pt idx="8">
                  <c:v>0.02</c:v>
                </c:pt>
                <c:pt idx="9">
                  <c:v>2.1000000000000001E-2</c:v>
                </c:pt>
                <c:pt idx="10">
                  <c:v>2.7E-2</c:v>
                </c:pt>
                <c:pt idx="11">
                  <c:v>2.3E-2</c:v>
                </c:pt>
                <c:pt idx="12">
                  <c:v>1.7000000000000001E-2</c:v>
                </c:pt>
                <c:pt idx="13">
                  <c:v>1.9E-2</c:v>
                </c:pt>
                <c:pt idx="14">
                  <c:v>1.9E-2</c:v>
                </c:pt>
                <c:pt idx="15">
                  <c:v>2.1000000000000001E-2</c:v>
                </c:pt>
                <c:pt idx="16">
                  <c:v>1.7999999999999999E-2</c:v>
                </c:pt>
                <c:pt idx="17">
                  <c:v>1.7999999999999999E-2</c:v>
                </c:pt>
                <c:pt idx="18">
                  <c:v>2.1000000000000001E-2</c:v>
                </c:pt>
                <c:pt idx="19">
                  <c:v>0.02</c:v>
                </c:pt>
                <c:pt idx="20">
                  <c:v>1.7000000000000001E-2</c:v>
                </c:pt>
                <c:pt idx="21">
                  <c:v>2.1000000000000001E-2</c:v>
                </c:pt>
                <c:pt idx="22">
                  <c:v>2.1999999999999999E-2</c:v>
                </c:pt>
                <c:pt idx="23">
                  <c:v>2.3E-2</c:v>
                </c:pt>
                <c:pt idx="24">
                  <c:v>0.02</c:v>
                </c:pt>
                <c:pt idx="25">
                  <c:v>0.02</c:v>
                </c:pt>
              </c:numCache>
            </c:numRef>
          </c:val>
          <c:smooth val="0"/>
          <c:extLst>
            <c:ext xmlns:c16="http://schemas.microsoft.com/office/drawing/2014/chart" uri="{C3380CC4-5D6E-409C-BE32-E72D297353CC}">
              <c16:uniqueId val="{00000001-7457-4CF2-91B4-3654776DB8D8}"/>
            </c:ext>
          </c:extLst>
        </c:ser>
        <c:dLbls>
          <c:showLegendKey val="0"/>
          <c:showVal val="0"/>
          <c:showCatName val="0"/>
          <c:showSerName val="0"/>
          <c:showPercent val="0"/>
          <c:showBubbleSize val="0"/>
        </c:dLbls>
        <c:marker val="1"/>
        <c:smooth val="0"/>
        <c:axId val="1703758415"/>
        <c:axId val="1703755503"/>
      </c:lineChart>
      <c:catAx>
        <c:axId val="1703756751"/>
        <c:scaling>
          <c:orientation val="minMax"/>
        </c:scaling>
        <c:delete val="0"/>
        <c:axPos val="b"/>
        <c:numFmt formatCode="General" sourceLinked="1"/>
        <c:majorTickMark val="none"/>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703756335"/>
        <c:crosses val="autoZero"/>
        <c:auto val="1"/>
        <c:lblAlgn val="ctr"/>
        <c:lblOffset val="100"/>
        <c:noMultiLvlLbl val="0"/>
      </c:catAx>
      <c:valAx>
        <c:axId val="170375633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703756751"/>
        <c:crosses val="autoZero"/>
        <c:crossBetween val="between"/>
      </c:valAx>
      <c:valAx>
        <c:axId val="1703755503"/>
        <c:scaling>
          <c:orientation val="minMax"/>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703758415"/>
        <c:crosses val="max"/>
        <c:crossBetween val="between"/>
      </c:valAx>
      <c:catAx>
        <c:axId val="1703758415"/>
        <c:scaling>
          <c:orientation val="minMax"/>
        </c:scaling>
        <c:delete val="1"/>
        <c:axPos val="b"/>
        <c:numFmt formatCode="General" sourceLinked="1"/>
        <c:majorTickMark val="none"/>
        <c:minorTickMark val="none"/>
        <c:tickLblPos val="nextTo"/>
        <c:crossAx val="1703755503"/>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Analysis!$C$207</c:f>
              <c:strCache>
                <c:ptCount val="1"/>
                <c:pt idx="0">
                  <c:v>MEGA</c:v>
                </c:pt>
              </c:strCache>
            </c:strRef>
          </c:tx>
          <c:spPr>
            <a:solidFill>
              <a:srgbClr val="000080"/>
            </a:solidFill>
            <a:ln w="25400">
              <a:noFill/>
            </a:ln>
            <a:effectLst/>
          </c:spPr>
          <c:invertIfNegative val="0"/>
          <c:cat>
            <c:numRef>
              <c:f>Analysis!$H$196:$O$196</c:f>
              <c:numCache>
                <c:formatCode>General</c:formatCode>
                <c:ptCount val="8"/>
                <c:pt idx="0">
                  <c:v>0</c:v>
                </c:pt>
                <c:pt idx="1">
                  <c:v>0</c:v>
                </c:pt>
                <c:pt idx="2">
                  <c:v>0</c:v>
                </c:pt>
                <c:pt idx="3">
                  <c:v>0</c:v>
                </c:pt>
                <c:pt idx="4">
                  <c:v>0</c:v>
                </c:pt>
                <c:pt idx="5">
                  <c:v>0</c:v>
                </c:pt>
                <c:pt idx="6">
                  <c:v>0</c:v>
                </c:pt>
                <c:pt idx="7">
                  <c:v>0</c:v>
                </c:pt>
              </c:numCache>
            </c:numRef>
          </c:cat>
          <c:val>
            <c:numRef>
              <c:f>Analysis!$H$207:$O$207</c:f>
              <c:numCache>
                <c:formatCode>#,##0</c:formatCode>
                <c:ptCount val="8"/>
                <c:pt idx="0">
                  <c:v>83.395998585211998</c:v>
                </c:pt>
                <c:pt idx="1">
                  <c:v>93.57235928349489</c:v>
                </c:pt>
                <c:pt idx="2">
                  <c:v>102.73328248156623</c:v>
                </c:pt>
                <c:pt idx="3">
                  <c:v>112.36848027786529</c:v>
                </c:pt>
                <c:pt idx="4">
                  <c:v>133.89188830021934</c:v>
                </c:pt>
                <c:pt idx="5">
                  <c:v>147.66877153247805</c:v>
                </c:pt>
                <c:pt idx="6">
                  <c:v>102.35670299900991</c:v>
                </c:pt>
                <c:pt idx="7">
                  <c:v>80.369006087782694</c:v>
                </c:pt>
              </c:numCache>
            </c:numRef>
          </c:val>
          <c:extLst>
            <c:ext xmlns:c16="http://schemas.microsoft.com/office/drawing/2014/chart" uri="{C3380CC4-5D6E-409C-BE32-E72D297353CC}">
              <c16:uniqueId val="{00000000-3C50-43F9-B24C-615EF7555F1D}"/>
            </c:ext>
          </c:extLst>
        </c:ser>
        <c:ser>
          <c:idx val="1"/>
          <c:order val="1"/>
          <c:tx>
            <c:strRef>
              <c:f>Analysis!$C$208</c:f>
              <c:strCache>
                <c:ptCount val="1"/>
                <c:pt idx="0">
                  <c:v>TV</c:v>
                </c:pt>
              </c:strCache>
            </c:strRef>
          </c:tx>
          <c:spPr>
            <a:solidFill>
              <a:srgbClr val="9999FF"/>
            </a:solidFill>
            <a:ln w="25400">
              <a:noFill/>
            </a:ln>
            <a:effectLst/>
          </c:spPr>
          <c:invertIfNegative val="0"/>
          <c:cat>
            <c:numRef>
              <c:f>Analysis!$H$196:$O$196</c:f>
              <c:numCache>
                <c:formatCode>General</c:formatCode>
                <c:ptCount val="8"/>
                <c:pt idx="0">
                  <c:v>0</c:v>
                </c:pt>
                <c:pt idx="1">
                  <c:v>0</c:v>
                </c:pt>
                <c:pt idx="2">
                  <c:v>0</c:v>
                </c:pt>
                <c:pt idx="3">
                  <c:v>0</c:v>
                </c:pt>
                <c:pt idx="4">
                  <c:v>0</c:v>
                </c:pt>
                <c:pt idx="5">
                  <c:v>0</c:v>
                </c:pt>
                <c:pt idx="6">
                  <c:v>0</c:v>
                </c:pt>
                <c:pt idx="7">
                  <c:v>0</c:v>
                </c:pt>
              </c:numCache>
            </c:numRef>
          </c:cat>
          <c:val>
            <c:numRef>
              <c:f>Analysis!$H$208:$O$208</c:f>
              <c:numCache>
                <c:formatCode>#,##0</c:formatCode>
                <c:ptCount val="8"/>
                <c:pt idx="0">
                  <c:v>116.3237203706787</c:v>
                </c:pt>
                <c:pt idx="1">
                  <c:v>110.92754799358607</c:v>
                </c:pt>
                <c:pt idx="2">
                  <c:v>96.358889470001102</c:v>
                </c:pt>
                <c:pt idx="3">
                  <c:v>96.010502531491099</c:v>
                </c:pt>
                <c:pt idx="4">
                  <c:v>97.791274997205619</c:v>
                </c:pt>
                <c:pt idx="5">
                  <c:v>117.00136219617791</c:v>
                </c:pt>
                <c:pt idx="6">
                  <c:v>119.6674051401544</c:v>
                </c:pt>
                <c:pt idx="7">
                  <c:v>120.44007538420713</c:v>
                </c:pt>
              </c:numCache>
            </c:numRef>
          </c:val>
          <c:extLst>
            <c:ext xmlns:c16="http://schemas.microsoft.com/office/drawing/2014/chart" uri="{C3380CC4-5D6E-409C-BE32-E72D297353CC}">
              <c16:uniqueId val="{00000001-3C50-43F9-B24C-615EF7555F1D}"/>
            </c:ext>
          </c:extLst>
        </c:ser>
        <c:dLbls>
          <c:showLegendKey val="0"/>
          <c:showVal val="0"/>
          <c:showCatName val="0"/>
          <c:showSerName val="0"/>
          <c:showPercent val="0"/>
          <c:showBubbleSize val="0"/>
        </c:dLbls>
        <c:gapWidth val="219"/>
        <c:overlap val="-27"/>
        <c:axId val="338794080"/>
        <c:axId val="806100256"/>
      </c:barChart>
      <c:catAx>
        <c:axId val="338794080"/>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06100256"/>
        <c:crosses val="autoZero"/>
        <c:auto val="1"/>
        <c:lblAlgn val="ctr"/>
        <c:lblOffset val="100"/>
        <c:noMultiLvlLbl val="0"/>
      </c:catAx>
      <c:valAx>
        <c:axId val="806100256"/>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Capex/sub, USD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3879408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Analysis!$U$331</c:f>
              <c:strCache>
                <c:ptCount val="1"/>
                <c:pt idx="0">
                  <c:v>MEGA </c:v>
                </c:pt>
              </c:strCache>
            </c:strRef>
          </c:tx>
          <c:spPr>
            <a:solidFill>
              <a:srgbClr val="000080"/>
            </a:solidFill>
            <a:ln w="25400">
              <a:noFill/>
            </a:ln>
            <a:effectLst/>
          </c:spPr>
          <c:invertIfNegative val="0"/>
          <c:cat>
            <c:strRef>
              <c:f>Analysis!$R$332:$R$363</c:f>
              <c:strCache>
                <c:ptCount val="32"/>
                <c:pt idx="0">
                  <c:v>Sonora</c:v>
                </c:pt>
                <c:pt idx="1">
                  <c:v>Sinaloa</c:v>
                </c:pt>
                <c:pt idx="2">
                  <c:v>Durango</c:v>
                </c:pt>
                <c:pt idx="3">
                  <c:v>Michoacan de Ocampo</c:v>
                </c:pt>
                <c:pt idx="4">
                  <c:v>Guanajuato</c:v>
                </c:pt>
                <c:pt idx="5">
                  <c:v>Queretaro</c:v>
                </c:pt>
                <c:pt idx="6">
                  <c:v>Nayarit</c:v>
                </c:pt>
                <c:pt idx="7">
                  <c:v>Chiapas</c:v>
                </c:pt>
                <c:pt idx="8">
                  <c:v>Colima</c:v>
                </c:pt>
                <c:pt idx="9">
                  <c:v>Puebla</c:v>
                </c:pt>
                <c:pt idx="10">
                  <c:v>Morellos</c:v>
                </c:pt>
                <c:pt idx="11">
                  <c:v>Zacatecas</c:v>
                </c:pt>
                <c:pt idx="12">
                  <c:v>Baja California Sur</c:v>
                </c:pt>
                <c:pt idx="13">
                  <c:v>Veracruz de Ignacio de la Llave</c:v>
                </c:pt>
                <c:pt idx="14">
                  <c:v>Jalisco</c:v>
                </c:pt>
                <c:pt idx="15">
                  <c:v>Coahuila de Zaragoza</c:v>
                </c:pt>
                <c:pt idx="16">
                  <c:v>Oaxaca</c:v>
                </c:pt>
                <c:pt idx="17">
                  <c:v>Mexico State</c:v>
                </c:pt>
                <c:pt idx="18">
                  <c:v>Guererro</c:v>
                </c:pt>
                <c:pt idx="19">
                  <c:v>Hidalgo</c:v>
                </c:pt>
                <c:pt idx="20">
                  <c:v>Campeche</c:v>
                </c:pt>
                <c:pt idx="21">
                  <c:v>Tlaxcala</c:v>
                </c:pt>
                <c:pt idx="22">
                  <c:v>Chihuahua</c:v>
                </c:pt>
                <c:pt idx="23">
                  <c:v>Baja California</c:v>
                </c:pt>
                <c:pt idx="24">
                  <c:v>Aguascalier</c:v>
                </c:pt>
                <c:pt idx="25">
                  <c:v>Ciudad de Mexico</c:v>
                </c:pt>
                <c:pt idx="26">
                  <c:v>Nuevo Leon</c:v>
                </c:pt>
                <c:pt idx="27">
                  <c:v>Quintana Roo</c:v>
                </c:pt>
                <c:pt idx="28">
                  <c:v>San Luis Potosi</c:v>
                </c:pt>
                <c:pt idx="29">
                  <c:v>Tabasco</c:v>
                </c:pt>
                <c:pt idx="30">
                  <c:v>Tamaulipas</c:v>
                </c:pt>
                <c:pt idx="31">
                  <c:v>Yucatan</c:v>
                </c:pt>
              </c:strCache>
            </c:strRef>
          </c:cat>
          <c:val>
            <c:numRef>
              <c:f>Analysis!$U$332:$U$363</c:f>
              <c:numCache>
                <c:formatCode>0%</c:formatCode>
                <c:ptCount val="32"/>
                <c:pt idx="0">
                  <c:v>0.59097366137060059</c:v>
                </c:pt>
                <c:pt idx="1">
                  <c:v>0.59072287180253868</c:v>
                </c:pt>
                <c:pt idx="2">
                  <c:v>0.49932053975719953</c:v>
                </c:pt>
                <c:pt idx="3">
                  <c:v>0.49860764311953509</c:v>
                </c:pt>
                <c:pt idx="4">
                  <c:v>0.39168989652868241</c:v>
                </c:pt>
                <c:pt idx="5">
                  <c:v>0.39115802104372088</c:v>
                </c:pt>
                <c:pt idx="6">
                  <c:v>0.38163244788990414</c:v>
                </c:pt>
                <c:pt idx="7">
                  <c:v>0.35701837356351801</c:v>
                </c:pt>
                <c:pt idx="8">
                  <c:v>0.35038415022056307</c:v>
                </c:pt>
                <c:pt idx="9">
                  <c:v>0.34967784796252788</c:v>
                </c:pt>
                <c:pt idx="10">
                  <c:v>0.33624596622734987</c:v>
                </c:pt>
                <c:pt idx="11">
                  <c:v>0.30490298883603983</c:v>
                </c:pt>
                <c:pt idx="12">
                  <c:v>0.26786504056174532</c:v>
                </c:pt>
                <c:pt idx="13">
                  <c:v>0.24404547609848617</c:v>
                </c:pt>
                <c:pt idx="14">
                  <c:v>0.24072295337038438</c:v>
                </c:pt>
                <c:pt idx="15">
                  <c:v>0.18426893429112931</c:v>
                </c:pt>
                <c:pt idx="16">
                  <c:v>0.15413725293393851</c:v>
                </c:pt>
                <c:pt idx="17">
                  <c:v>9.9348305878729892E-2</c:v>
                </c:pt>
                <c:pt idx="18">
                  <c:v>5.4585001199600976E-2</c:v>
                </c:pt>
                <c:pt idx="19">
                  <c:v>2.6127268171164928E-2</c:v>
                </c:pt>
                <c:pt idx="20">
                  <c:v>2.0080240722166499E-2</c:v>
                </c:pt>
                <c:pt idx="21">
                  <c:v>1.6093242183122268E-2</c:v>
                </c:pt>
                <c:pt idx="22">
                  <c:v>1.244195378570335E-2</c:v>
                </c:pt>
                <c:pt idx="23">
                  <c:v>4.0118444932658323E-3</c:v>
                </c:pt>
                <c:pt idx="24">
                  <c:v>0</c:v>
                </c:pt>
                <c:pt idx="25">
                  <c:v>0</c:v>
                </c:pt>
                <c:pt idx="26">
                  <c:v>0</c:v>
                </c:pt>
                <c:pt idx="27">
                  <c:v>0</c:v>
                </c:pt>
                <c:pt idx="28">
                  <c:v>0</c:v>
                </c:pt>
                <c:pt idx="29">
                  <c:v>0</c:v>
                </c:pt>
                <c:pt idx="30">
                  <c:v>0</c:v>
                </c:pt>
                <c:pt idx="31">
                  <c:v>0</c:v>
                </c:pt>
              </c:numCache>
            </c:numRef>
          </c:val>
          <c:extLst>
            <c:ext xmlns:c16="http://schemas.microsoft.com/office/drawing/2014/chart" uri="{C3380CC4-5D6E-409C-BE32-E72D297353CC}">
              <c16:uniqueId val="{00000000-EDAC-4F58-8B16-574F887C315E}"/>
            </c:ext>
          </c:extLst>
        </c:ser>
        <c:ser>
          <c:idx val="1"/>
          <c:order val="1"/>
          <c:tx>
            <c:strRef>
              <c:f>Analysis!$S$331</c:f>
              <c:strCache>
                <c:ptCount val="1"/>
                <c:pt idx="0">
                  <c:v>Total Play</c:v>
                </c:pt>
              </c:strCache>
            </c:strRef>
          </c:tx>
          <c:spPr>
            <a:solidFill>
              <a:srgbClr val="9999FF"/>
            </a:solidFill>
            <a:ln w="25400">
              <a:noFill/>
            </a:ln>
            <a:effectLst/>
          </c:spPr>
          <c:invertIfNegative val="0"/>
          <c:cat>
            <c:strRef>
              <c:f>Analysis!$R$332:$R$363</c:f>
              <c:strCache>
                <c:ptCount val="32"/>
                <c:pt idx="0">
                  <c:v>Sonora</c:v>
                </c:pt>
                <c:pt idx="1">
                  <c:v>Sinaloa</c:v>
                </c:pt>
                <c:pt idx="2">
                  <c:v>Durango</c:v>
                </c:pt>
                <c:pt idx="3">
                  <c:v>Michoacan de Ocampo</c:v>
                </c:pt>
                <c:pt idx="4">
                  <c:v>Guanajuato</c:v>
                </c:pt>
                <c:pt idx="5">
                  <c:v>Queretaro</c:v>
                </c:pt>
                <c:pt idx="6">
                  <c:v>Nayarit</c:v>
                </c:pt>
                <c:pt idx="7">
                  <c:v>Chiapas</c:v>
                </c:pt>
                <c:pt idx="8">
                  <c:v>Colima</c:v>
                </c:pt>
                <c:pt idx="9">
                  <c:v>Puebla</c:v>
                </c:pt>
                <c:pt idx="10">
                  <c:v>Morellos</c:v>
                </c:pt>
                <c:pt idx="11">
                  <c:v>Zacatecas</c:v>
                </c:pt>
                <c:pt idx="12">
                  <c:v>Baja California Sur</c:v>
                </c:pt>
                <c:pt idx="13">
                  <c:v>Veracruz de Ignacio de la Llave</c:v>
                </c:pt>
                <c:pt idx="14">
                  <c:v>Jalisco</c:v>
                </c:pt>
                <c:pt idx="15">
                  <c:v>Coahuila de Zaragoza</c:v>
                </c:pt>
                <c:pt idx="16">
                  <c:v>Oaxaca</c:v>
                </c:pt>
                <c:pt idx="17">
                  <c:v>Mexico State</c:v>
                </c:pt>
                <c:pt idx="18">
                  <c:v>Guererro</c:v>
                </c:pt>
                <c:pt idx="19">
                  <c:v>Hidalgo</c:v>
                </c:pt>
                <c:pt idx="20">
                  <c:v>Campeche</c:v>
                </c:pt>
                <c:pt idx="21">
                  <c:v>Tlaxcala</c:v>
                </c:pt>
                <c:pt idx="22">
                  <c:v>Chihuahua</c:v>
                </c:pt>
                <c:pt idx="23">
                  <c:v>Baja California</c:v>
                </c:pt>
                <c:pt idx="24">
                  <c:v>Aguascalier</c:v>
                </c:pt>
                <c:pt idx="25">
                  <c:v>Ciudad de Mexico</c:v>
                </c:pt>
                <c:pt idx="26">
                  <c:v>Nuevo Leon</c:v>
                </c:pt>
                <c:pt idx="27">
                  <c:v>Quintana Roo</c:v>
                </c:pt>
                <c:pt idx="28">
                  <c:v>San Luis Potosi</c:v>
                </c:pt>
                <c:pt idx="29">
                  <c:v>Tabasco</c:v>
                </c:pt>
                <c:pt idx="30">
                  <c:v>Tamaulipas</c:v>
                </c:pt>
                <c:pt idx="31">
                  <c:v>Yucatan</c:v>
                </c:pt>
              </c:strCache>
            </c:strRef>
          </c:cat>
          <c:val>
            <c:numRef>
              <c:f>Analysis!$S$332:$S$363</c:f>
              <c:numCache>
                <c:formatCode>0%</c:formatCode>
                <c:ptCount val="32"/>
                <c:pt idx="0">
                  <c:v>3.5230352303523035E-3</c:v>
                </c:pt>
                <c:pt idx="1">
                  <c:v>7.724364764438021E-4</c:v>
                </c:pt>
                <c:pt idx="2">
                  <c:v>4.7637433997081583E-4</c:v>
                </c:pt>
                <c:pt idx="3">
                  <c:v>2.5328328497875495E-2</c:v>
                </c:pt>
                <c:pt idx="4">
                  <c:v>0</c:v>
                </c:pt>
                <c:pt idx="5">
                  <c:v>3.133751523008993E-2</c:v>
                </c:pt>
                <c:pt idx="6">
                  <c:v>1.2119925828288018E-3</c:v>
                </c:pt>
                <c:pt idx="7">
                  <c:v>8.7585369668352342E-3</c:v>
                </c:pt>
                <c:pt idx="8">
                  <c:v>1.3981809665625022E-4</c:v>
                </c:pt>
                <c:pt idx="9">
                  <c:v>9.9433426619131696E-2</c:v>
                </c:pt>
                <c:pt idx="10">
                  <c:v>8.0362895597601527E-2</c:v>
                </c:pt>
                <c:pt idx="11">
                  <c:v>1.5062945732841277E-4</c:v>
                </c:pt>
                <c:pt idx="12">
                  <c:v>8.4819183675942256E-5</c:v>
                </c:pt>
                <c:pt idx="13">
                  <c:v>6.5886120965192654E-2</c:v>
                </c:pt>
                <c:pt idx="14">
                  <c:v>0.13377568633198592</c:v>
                </c:pt>
                <c:pt idx="15">
                  <c:v>6.4153288531538172E-3</c:v>
                </c:pt>
                <c:pt idx="16">
                  <c:v>3.419985353540986E-4</c:v>
                </c:pt>
                <c:pt idx="17">
                  <c:v>0.13540138520431419</c:v>
                </c:pt>
                <c:pt idx="18">
                  <c:v>1.6731276754258583E-4</c:v>
                </c:pt>
                <c:pt idx="19">
                  <c:v>0.1235204374935511</c:v>
                </c:pt>
                <c:pt idx="20">
                  <c:v>6.5195586760280846E-4</c:v>
                </c:pt>
                <c:pt idx="21">
                  <c:v>1.5689790429227837E-4</c:v>
                </c:pt>
                <c:pt idx="22">
                  <c:v>0.13240335682243076</c:v>
                </c:pt>
                <c:pt idx="23">
                  <c:v>7.7908731113200527E-2</c:v>
                </c:pt>
                <c:pt idx="24">
                  <c:v>0.13817203031662456</c:v>
                </c:pt>
                <c:pt idx="25">
                  <c:v>0.12498902967887979</c:v>
                </c:pt>
                <c:pt idx="26">
                  <c:v>7.8946456252413269E-2</c:v>
                </c:pt>
                <c:pt idx="27">
                  <c:v>7.3289933556093256E-2</c:v>
                </c:pt>
                <c:pt idx="28">
                  <c:v>0.19491382093820631</c:v>
                </c:pt>
                <c:pt idx="29">
                  <c:v>1.4338973329509608E-3</c:v>
                </c:pt>
                <c:pt idx="30">
                  <c:v>4.6937504301134087E-4</c:v>
                </c:pt>
                <c:pt idx="31">
                  <c:v>8.6120702984074621E-2</c:v>
                </c:pt>
              </c:numCache>
            </c:numRef>
          </c:val>
          <c:extLst>
            <c:ext xmlns:c16="http://schemas.microsoft.com/office/drawing/2014/chart" uri="{C3380CC4-5D6E-409C-BE32-E72D297353CC}">
              <c16:uniqueId val="{00000001-EDAC-4F58-8B16-574F887C315E}"/>
            </c:ext>
          </c:extLst>
        </c:ser>
        <c:dLbls>
          <c:showLegendKey val="0"/>
          <c:showVal val="0"/>
          <c:showCatName val="0"/>
          <c:showSerName val="0"/>
          <c:showPercent val="0"/>
          <c:showBubbleSize val="0"/>
        </c:dLbls>
        <c:gapWidth val="219"/>
        <c:overlap val="-27"/>
        <c:axId val="655097112"/>
        <c:axId val="655094488"/>
      </c:barChart>
      <c:catAx>
        <c:axId val="655097112"/>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55094488"/>
        <c:crosses val="autoZero"/>
        <c:auto val="1"/>
        <c:lblAlgn val="ctr"/>
        <c:lblOffset val="100"/>
        <c:noMultiLvlLbl val="0"/>
      </c:catAx>
      <c:valAx>
        <c:axId val="655094488"/>
        <c:scaling>
          <c:orientation val="minMax"/>
          <c:max val="0.60000000000000009"/>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55097112"/>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Analysis!$C$394</c:f>
              <c:strCache>
                <c:ptCount val="1"/>
                <c:pt idx="0">
                  <c:v>Cable revenue</c:v>
                </c:pt>
              </c:strCache>
            </c:strRef>
          </c:tx>
          <c:spPr>
            <a:ln w="25400" cap="rnd">
              <a:solidFill>
                <a:srgbClr val="333399"/>
              </a:solidFill>
              <a:prstDash val="solid"/>
              <a:round/>
            </a:ln>
            <a:effectLst/>
          </c:spPr>
          <c:marker>
            <c:symbol val="none"/>
          </c:marker>
          <c:cat>
            <c:strRef>
              <c:f>Analysis!$D$393:$K$393</c:f>
              <c:strCache>
                <c:ptCount val="8"/>
                <c:pt idx="0">
                  <c:v>Q1 19</c:v>
                </c:pt>
                <c:pt idx="1">
                  <c:v>Q2 19</c:v>
                </c:pt>
                <c:pt idx="3">
                  <c:v>Q4 19</c:v>
                </c:pt>
                <c:pt idx="4">
                  <c:v>Q1 20</c:v>
                </c:pt>
                <c:pt idx="5">
                  <c:v>Q2 20</c:v>
                </c:pt>
                <c:pt idx="6">
                  <c:v>Q3 20e</c:v>
                </c:pt>
                <c:pt idx="7">
                  <c:v>Q4 20e</c:v>
                </c:pt>
              </c:strCache>
            </c:strRef>
          </c:cat>
          <c:val>
            <c:numRef>
              <c:f>Analysis!$D$394:$K$394</c:f>
              <c:numCache>
                <c:formatCode>0.0%</c:formatCode>
                <c:ptCount val="8"/>
                <c:pt idx="0">
                  <c:v>9.2518063498788106E-2</c:v>
                </c:pt>
                <c:pt idx="1">
                  <c:v>0.11523843993953453</c:v>
                </c:pt>
                <c:pt idx="3">
                  <c:v>7.4444788946657736E-2</c:v>
                </c:pt>
                <c:pt idx="4">
                  <c:v>7.9387117621714909E-2</c:v>
                </c:pt>
                <c:pt idx="5">
                  <c:v>1.350615526185317E-2</c:v>
                </c:pt>
                <c:pt idx="6">
                  <c:v>0</c:v>
                </c:pt>
                <c:pt idx="7">
                  <c:v>0</c:v>
                </c:pt>
              </c:numCache>
            </c:numRef>
          </c:val>
          <c:smooth val="0"/>
          <c:extLst>
            <c:ext xmlns:c16="http://schemas.microsoft.com/office/drawing/2014/chart" uri="{C3380CC4-5D6E-409C-BE32-E72D297353CC}">
              <c16:uniqueId val="{00000000-A287-4B92-807E-CF3615519371}"/>
            </c:ext>
          </c:extLst>
        </c:ser>
        <c:ser>
          <c:idx val="1"/>
          <c:order val="1"/>
          <c:tx>
            <c:strRef>
              <c:f>Analysis!$C$396</c:f>
              <c:strCache>
                <c:ptCount val="1"/>
                <c:pt idx="0">
                  <c:v>Cable EBITDA</c:v>
                </c:pt>
              </c:strCache>
            </c:strRef>
          </c:tx>
          <c:spPr>
            <a:ln w="25400" cap="rnd">
              <a:solidFill>
                <a:srgbClr val="99CCFF"/>
              </a:solidFill>
              <a:prstDash val="solid"/>
              <a:round/>
            </a:ln>
            <a:effectLst/>
          </c:spPr>
          <c:marker>
            <c:symbol val="none"/>
          </c:marker>
          <c:cat>
            <c:strRef>
              <c:f>Analysis!$D$393:$K$393</c:f>
              <c:strCache>
                <c:ptCount val="8"/>
                <c:pt idx="0">
                  <c:v>Q1 19</c:v>
                </c:pt>
                <c:pt idx="1">
                  <c:v>Q2 19</c:v>
                </c:pt>
                <c:pt idx="3">
                  <c:v>Q4 19</c:v>
                </c:pt>
                <c:pt idx="4">
                  <c:v>Q1 20</c:v>
                </c:pt>
                <c:pt idx="5">
                  <c:v>Q2 20</c:v>
                </c:pt>
                <c:pt idx="6">
                  <c:v>Q3 20e</c:v>
                </c:pt>
                <c:pt idx="7">
                  <c:v>Q4 20e</c:v>
                </c:pt>
              </c:strCache>
            </c:strRef>
          </c:cat>
          <c:val>
            <c:numRef>
              <c:f>Analysis!$D$396:$K$396</c:f>
              <c:numCache>
                <c:formatCode>0.0%</c:formatCode>
                <c:ptCount val="8"/>
                <c:pt idx="0">
                  <c:v>3.671854742201619E-2</c:v>
                </c:pt>
                <c:pt idx="1">
                  <c:v>6.6776619600941167E-2</c:v>
                </c:pt>
                <c:pt idx="3">
                  <c:v>4.2913640778944551E-2</c:v>
                </c:pt>
                <c:pt idx="4">
                  <c:v>7.1380075634125628E-2</c:v>
                </c:pt>
                <c:pt idx="5">
                  <c:v>1.2273895225092923E-2</c:v>
                </c:pt>
                <c:pt idx="6">
                  <c:v>0</c:v>
                </c:pt>
                <c:pt idx="7">
                  <c:v>0</c:v>
                </c:pt>
              </c:numCache>
            </c:numRef>
          </c:val>
          <c:smooth val="0"/>
          <c:extLst>
            <c:ext xmlns:c16="http://schemas.microsoft.com/office/drawing/2014/chart" uri="{C3380CC4-5D6E-409C-BE32-E72D297353CC}">
              <c16:uniqueId val="{00000001-A287-4B92-807E-CF3615519371}"/>
            </c:ext>
          </c:extLst>
        </c:ser>
        <c:ser>
          <c:idx val="2"/>
          <c:order val="2"/>
          <c:tx>
            <c:strRef>
              <c:f>Analysis!$C$395</c:f>
              <c:strCache>
                <c:ptCount val="1"/>
                <c:pt idx="0">
                  <c:v>OTT adj revenue</c:v>
                </c:pt>
              </c:strCache>
            </c:strRef>
          </c:tx>
          <c:spPr>
            <a:ln w="25400" cap="rnd">
              <a:solidFill>
                <a:srgbClr val="333399"/>
              </a:solidFill>
              <a:prstDash val="lgDash"/>
              <a:round/>
            </a:ln>
            <a:effectLst/>
          </c:spPr>
          <c:marker>
            <c:symbol val="none"/>
          </c:marker>
          <c:val>
            <c:numRef>
              <c:f>Analysis!$D$395:$K$395</c:f>
              <c:numCache>
                <c:formatCode>0.0%</c:formatCode>
                <c:ptCount val="8"/>
                <c:pt idx="0">
                  <c:v>9.2518063498788106E-2</c:v>
                </c:pt>
                <c:pt idx="1">
                  <c:v>0.11523843993953453</c:v>
                </c:pt>
                <c:pt idx="3">
                  <c:v>7.4444788946657736E-2</c:v>
                </c:pt>
                <c:pt idx="4">
                  <c:v>7.9387117621714909E-2</c:v>
                </c:pt>
                <c:pt idx="5">
                  <c:v>1.350615526185317E-2</c:v>
                </c:pt>
                <c:pt idx="6">
                  <c:v>0</c:v>
                </c:pt>
                <c:pt idx="7">
                  <c:v>0</c:v>
                </c:pt>
              </c:numCache>
            </c:numRef>
          </c:val>
          <c:smooth val="0"/>
          <c:extLst>
            <c:ext xmlns:c16="http://schemas.microsoft.com/office/drawing/2014/chart" uri="{C3380CC4-5D6E-409C-BE32-E72D297353CC}">
              <c16:uniqueId val="{00000000-6354-4269-8DC0-22197B73A378}"/>
            </c:ext>
          </c:extLst>
        </c:ser>
        <c:dLbls>
          <c:showLegendKey val="0"/>
          <c:showVal val="0"/>
          <c:showCatName val="0"/>
          <c:showSerName val="0"/>
          <c:showPercent val="0"/>
          <c:showBubbleSize val="0"/>
        </c:dLbls>
        <c:smooth val="0"/>
        <c:axId val="752482248"/>
        <c:axId val="752480608"/>
      </c:lineChart>
      <c:catAx>
        <c:axId val="752482248"/>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52480608"/>
        <c:crosses val="autoZero"/>
        <c:auto val="1"/>
        <c:lblAlgn val="ctr"/>
        <c:lblOffset val="100"/>
        <c:noMultiLvlLbl val="0"/>
      </c:catAx>
      <c:valAx>
        <c:axId val="752480608"/>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5248224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Analysis!$D$416</c:f>
              <c:strCache>
                <c:ptCount val="1"/>
                <c:pt idx="0">
                  <c:v>2021</c:v>
                </c:pt>
              </c:strCache>
            </c:strRef>
          </c:tx>
          <c:spPr>
            <a:solidFill>
              <a:srgbClr val="000080"/>
            </a:solidFill>
            <a:ln w="25400">
              <a:noFill/>
            </a:ln>
            <a:effectLst/>
          </c:spPr>
          <c:invertIfNegative val="0"/>
          <c:cat>
            <c:strRef>
              <c:f>Analysis!$C$417:$C$419</c:f>
              <c:strCache>
                <c:ptCount val="3"/>
                <c:pt idx="0">
                  <c:v>MEGA</c:v>
                </c:pt>
                <c:pt idx="1">
                  <c:v>Televisa</c:v>
                </c:pt>
                <c:pt idx="2">
                  <c:v>AMX</c:v>
                </c:pt>
              </c:strCache>
            </c:strRef>
          </c:cat>
          <c:val>
            <c:numRef>
              <c:f>Analysis!$D$417:$D$419</c:f>
              <c:numCache>
                <c:formatCode>0.0%</c:formatCode>
                <c:ptCount val="3"/>
                <c:pt idx="0">
                  <c:v>-6.8228804181609155E-3</c:v>
                </c:pt>
                <c:pt idx="1">
                  <c:v>0</c:v>
                </c:pt>
                <c:pt idx="2">
                  <c:v>0.10043245449428712</c:v>
                </c:pt>
              </c:numCache>
            </c:numRef>
          </c:val>
          <c:extLst>
            <c:ext xmlns:c16="http://schemas.microsoft.com/office/drawing/2014/chart" uri="{C3380CC4-5D6E-409C-BE32-E72D297353CC}">
              <c16:uniqueId val="{00000000-2423-4C17-BE51-FE28C4B3272C}"/>
            </c:ext>
          </c:extLst>
        </c:ser>
        <c:ser>
          <c:idx val="1"/>
          <c:order val="1"/>
          <c:tx>
            <c:strRef>
              <c:f>Analysis!$E$416</c:f>
              <c:strCache>
                <c:ptCount val="1"/>
                <c:pt idx="0">
                  <c:v>2022</c:v>
                </c:pt>
              </c:strCache>
            </c:strRef>
          </c:tx>
          <c:spPr>
            <a:solidFill>
              <a:srgbClr val="9999FF"/>
            </a:solidFill>
            <a:ln w="25400">
              <a:noFill/>
            </a:ln>
            <a:effectLst/>
          </c:spPr>
          <c:invertIfNegative val="0"/>
          <c:cat>
            <c:strRef>
              <c:f>Analysis!$C$417:$C$419</c:f>
              <c:strCache>
                <c:ptCount val="3"/>
                <c:pt idx="0">
                  <c:v>MEGA</c:v>
                </c:pt>
                <c:pt idx="1">
                  <c:v>Televisa</c:v>
                </c:pt>
                <c:pt idx="2">
                  <c:v>AMX</c:v>
                </c:pt>
              </c:strCache>
            </c:strRef>
          </c:cat>
          <c:val>
            <c:numRef>
              <c:f>Analysis!$E$417:$E$419</c:f>
              <c:numCache>
                <c:formatCode>0.0%</c:formatCode>
                <c:ptCount val="3"/>
                <c:pt idx="0">
                  <c:v>-8.5966027655804647E-2</c:v>
                </c:pt>
                <c:pt idx="1">
                  <c:v>0</c:v>
                </c:pt>
                <c:pt idx="2">
                  <c:v>0.11972878185907988</c:v>
                </c:pt>
              </c:numCache>
            </c:numRef>
          </c:val>
          <c:extLst>
            <c:ext xmlns:c16="http://schemas.microsoft.com/office/drawing/2014/chart" uri="{C3380CC4-5D6E-409C-BE32-E72D297353CC}">
              <c16:uniqueId val="{00000001-2423-4C17-BE51-FE28C4B3272C}"/>
            </c:ext>
          </c:extLst>
        </c:ser>
        <c:dLbls>
          <c:showLegendKey val="0"/>
          <c:showVal val="0"/>
          <c:showCatName val="0"/>
          <c:showSerName val="0"/>
          <c:showPercent val="0"/>
          <c:showBubbleSize val="0"/>
        </c:dLbls>
        <c:gapWidth val="219"/>
        <c:overlap val="-27"/>
        <c:axId val="1117507592"/>
        <c:axId val="1117502672"/>
      </c:barChart>
      <c:catAx>
        <c:axId val="1117507592"/>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7502672"/>
        <c:crosses val="autoZero"/>
        <c:auto val="1"/>
        <c:lblAlgn val="ctr"/>
        <c:lblOffset val="100"/>
        <c:noMultiLvlLbl val="0"/>
      </c:catAx>
      <c:valAx>
        <c:axId val="1117502672"/>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750759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Analysis!$C$486</c:f>
              <c:strCache>
                <c:ptCount val="1"/>
                <c:pt idx="0">
                  <c:v>Totalplay</c:v>
                </c:pt>
              </c:strCache>
            </c:strRef>
          </c:tx>
          <c:spPr>
            <a:solidFill>
              <a:srgbClr val="000080"/>
            </a:solidFill>
            <a:ln w="25400">
              <a:noFill/>
            </a:ln>
            <a:effectLst/>
          </c:spPr>
          <c:invertIfNegative val="0"/>
          <c:cat>
            <c:strRef>
              <c:f>Analysis!$D$485:$E$485</c:f>
              <c:strCache>
                <c:ptCount val="2"/>
                <c:pt idx="0">
                  <c:v>Today</c:v>
                </c:pt>
                <c:pt idx="1">
                  <c:v>2025</c:v>
                </c:pt>
              </c:strCache>
            </c:strRef>
          </c:cat>
          <c:val>
            <c:numRef>
              <c:f>Analysis!$D$486:$E$486</c:f>
              <c:numCache>
                <c:formatCode>#,##0</c:formatCode>
                <c:ptCount val="2"/>
                <c:pt idx="0">
                  <c:v>13100</c:v>
                </c:pt>
                <c:pt idx="1">
                  <c:v>20000</c:v>
                </c:pt>
              </c:numCache>
            </c:numRef>
          </c:val>
          <c:extLst>
            <c:ext xmlns:c16="http://schemas.microsoft.com/office/drawing/2014/chart" uri="{C3380CC4-5D6E-409C-BE32-E72D297353CC}">
              <c16:uniqueId val="{00000000-65E6-43C1-9348-1B3271DDB29A}"/>
            </c:ext>
          </c:extLst>
        </c:ser>
        <c:ser>
          <c:idx val="1"/>
          <c:order val="1"/>
          <c:tx>
            <c:strRef>
              <c:f>Analysis!$C$487</c:f>
              <c:strCache>
                <c:ptCount val="1"/>
                <c:pt idx="0">
                  <c:v>MEGA</c:v>
                </c:pt>
              </c:strCache>
            </c:strRef>
          </c:tx>
          <c:spPr>
            <a:solidFill>
              <a:srgbClr val="9999FF"/>
            </a:solidFill>
            <a:ln w="25400">
              <a:noFill/>
            </a:ln>
            <a:effectLst/>
          </c:spPr>
          <c:invertIfNegative val="0"/>
          <c:cat>
            <c:strRef>
              <c:f>Analysis!$D$485:$E$485</c:f>
              <c:strCache>
                <c:ptCount val="2"/>
                <c:pt idx="0">
                  <c:v>Today</c:v>
                </c:pt>
                <c:pt idx="1">
                  <c:v>2025</c:v>
                </c:pt>
              </c:strCache>
            </c:strRef>
          </c:cat>
          <c:val>
            <c:numRef>
              <c:f>Analysis!$D$487:$E$487</c:f>
              <c:numCache>
                <c:formatCode>#,##0</c:formatCode>
                <c:ptCount val="2"/>
                <c:pt idx="0">
                  <c:v>9292.1260000000002</c:v>
                </c:pt>
                <c:pt idx="1">
                  <c:v>19000</c:v>
                </c:pt>
              </c:numCache>
            </c:numRef>
          </c:val>
          <c:extLst>
            <c:ext xmlns:c16="http://schemas.microsoft.com/office/drawing/2014/chart" uri="{C3380CC4-5D6E-409C-BE32-E72D297353CC}">
              <c16:uniqueId val="{00000001-65E6-43C1-9348-1B3271DDB29A}"/>
            </c:ext>
          </c:extLst>
        </c:ser>
        <c:ser>
          <c:idx val="2"/>
          <c:order val="2"/>
          <c:tx>
            <c:strRef>
              <c:f>Analysis!$C$488</c:f>
              <c:strCache>
                <c:ptCount val="1"/>
                <c:pt idx="0">
                  <c:v>Televisa</c:v>
                </c:pt>
              </c:strCache>
            </c:strRef>
          </c:tx>
          <c:spPr>
            <a:solidFill>
              <a:srgbClr val="3366FF"/>
            </a:solidFill>
            <a:ln w="25400">
              <a:noFill/>
            </a:ln>
            <a:effectLst/>
          </c:spPr>
          <c:invertIfNegative val="0"/>
          <c:cat>
            <c:strRef>
              <c:f>Analysis!$D$485:$E$485</c:f>
              <c:strCache>
                <c:ptCount val="2"/>
                <c:pt idx="0">
                  <c:v>Today</c:v>
                </c:pt>
                <c:pt idx="1">
                  <c:v>2025</c:v>
                </c:pt>
              </c:strCache>
            </c:strRef>
          </c:cat>
          <c:val>
            <c:numRef>
              <c:f>Analysis!$D$488:$E$488</c:f>
              <c:numCache>
                <c:formatCode>#,##0</c:formatCode>
                <c:ptCount val="2"/>
                <c:pt idx="0">
                  <c:v>17300</c:v>
                </c:pt>
                <c:pt idx="1">
                  <c:v>18000</c:v>
                </c:pt>
              </c:numCache>
            </c:numRef>
          </c:val>
          <c:extLst>
            <c:ext xmlns:c16="http://schemas.microsoft.com/office/drawing/2014/chart" uri="{C3380CC4-5D6E-409C-BE32-E72D297353CC}">
              <c16:uniqueId val="{00000003-65E6-43C1-9348-1B3271DDB29A}"/>
            </c:ext>
          </c:extLst>
        </c:ser>
        <c:ser>
          <c:idx val="3"/>
          <c:order val="3"/>
          <c:tx>
            <c:strRef>
              <c:f>Analysis!$C$489</c:f>
              <c:strCache>
                <c:ptCount val="1"/>
                <c:pt idx="0">
                  <c:v>Telmex</c:v>
                </c:pt>
              </c:strCache>
            </c:strRef>
          </c:tx>
          <c:spPr>
            <a:solidFill>
              <a:srgbClr val="CCCCFF"/>
            </a:solidFill>
            <a:ln w="25400">
              <a:noFill/>
            </a:ln>
            <a:effectLst/>
          </c:spPr>
          <c:invertIfNegative val="0"/>
          <c:cat>
            <c:strRef>
              <c:f>Analysis!$D$485:$E$485</c:f>
              <c:strCache>
                <c:ptCount val="2"/>
                <c:pt idx="0">
                  <c:v>Today</c:v>
                </c:pt>
                <c:pt idx="1">
                  <c:v>2025</c:v>
                </c:pt>
              </c:strCache>
            </c:strRef>
          </c:cat>
          <c:val>
            <c:numRef>
              <c:f>Analysis!$D$489:$E$489</c:f>
              <c:numCache>
                <c:formatCode>#,##0</c:formatCode>
                <c:ptCount val="2"/>
                <c:pt idx="0">
                  <c:v>10000</c:v>
                </c:pt>
                <c:pt idx="1">
                  <c:v>12000</c:v>
                </c:pt>
              </c:numCache>
            </c:numRef>
          </c:val>
          <c:extLst>
            <c:ext xmlns:c16="http://schemas.microsoft.com/office/drawing/2014/chart" uri="{C3380CC4-5D6E-409C-BE32-E72D297353CC}">
              <c16:uniqueId val="{00000004-65E6-43C1-9348-1B3271DDB29A}"/>
            </c:ext>
          </c:extLst>
        </c:ser>
        <c:dLbls>
          <c:showLegendKey val="0"/>
          <c:showVal val="0"/>
          <c:showCatName val="0"/>
          <c:showSerName val="0"/>
          <c:showPercent val="0"/>
          <c:showBubbleSize val="0"/>
        </c:dLbls>
        <c:gapWidth val="150"/>
        <c:overlap val="100"/>
        <c:axId val="933339791"/>
        <c:axId val="933340207"/>
      </c:barChart>
      <c:catAx>
        <c:axId val="933339791"/>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33340207"/>
        <c:crosses val="autoZero"/>
        <c:auto val="1"/>
        <c:lblAlgn val="ctr"/>
        <c:lblOffset val="100"/>
        <c:noMultiLvlLbl val="0"/>
      </c:catAx>
      <c:valAx>
        <c:axId val="933340207"/>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33339791"/>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Analysis!$C$190</c:f>
              <c:strCache>
                <c:ptCount val="1"/>
                <c:pt idx="0">
                  <c:v>MEGA</c:v>
                </c:pt>
              </c:strCache>
            </c:strRef>
          </c:tx>
          <c:spPr>
            <a:ln w="25400" cap="rnd">
              <a:solidFill>
                <a:srgbClr val="333399"/>
              </a:solidFill>
              <a:prstDash val="solid"/>
              <a:round/>
            </a:ln>
            <a:effectLst/>
          </c:spPr>
          <c:marker>
            <c:symbol val="none"/>
          </c:marker>
          <c:cat>
            <c:numRef>
              <c:f>Analysis!$G$189:$O$189</c:f>
              <c:numCache>
                <c:formatCode>General</c:formatCode>
                <c:ptCount val="9"/>
                <c:pt idx="0">
                  <c:v>0</c:v>
                </c:pt>
                <c:pt idx="1">
                  <c:v>0</c:v>
                </c:pt>
                <c:pt idx="2">
                  <c:v>0</c:v>
                </c:pt>
                <c:pt idx="3">
                  <c:v>0</c:v>
                </c:pt>
                <c:pt idx="4">
                  <c:v>0</c:v>
                </c:pt>
                <c:pt idx="5">
                  <c:v>0</c:v>
                </c:pt>
                <c:pt idx="6">
                  <c:v>0</c:v>
                </c:pt>
                <c:pt idx="7">
                  <c:v>0</c:v>
                </c:pt>
                <c:pt idx="8">
                  <c:v>0</c:v>
                </c:pt>
              </c:numCache>
            </c:numRef>
          </c:cat>
          <c:val>
            <c:numRef>
              <c:f>Analysis!$G$197:$O$197</c:f>
              <c:numCache>
                <c:formatCode>#,##0</c:formatCode>
                <c:ptCount val="9"/>
                <c:pt idx="0">
                  <c:v>253.62162162162161</c:v>
                </c:pt>
                <c:pt idx="1">
                  <c:v>299.64182291666668</c:v>
                </c:pt>
                <c:pt idx="2">
                  <c:v>339.48051948051949</c:v>
                </c:pt>
                <c:pt idx="3">
                  <c:v>404.05</c:v>
                </c:pt>
                <c:pt idx="4">
                  <c:v>466.67157991254754</c:v>
                </c:pt>
                <c:pt idx="5">
                  <c:v>588.85572139303474</c:v>
                </c:pt>
                <c:pt idx="6">
                  <c:v>730.34404963338977</c:v>
                </c:pt>
                <c:pt idx="7">
                  <c:v>565.0273224043716</c:v>
                </c:pt>
                <c:pt idx="8">
                  <c:v>478.51</c:v>
                </c:pt>
              </c:numCache>
            </c:numRef>
          </c:val>
          <c:smooth val="0"/>
          <c:extLst>
            <c:ext xmlns:c16="http://schemas.microsoft.com/office/drawing/2014/chart" uri="{C3380CC4-5D6E-409C-BE32-E72D297353CC}">
              <c16:uniqueId val="{00000000-5085-4CAF-8AAF-4F87FC7A2967}"/>
            </c:ext>
          </c:extLst>
        </c:ser>
        <c:ser>
          <c:idx val="1"/>
          <c:order val="1"/>
          <c:tx>
            <c:strRef>
              <c:f>Analysis!$C$191</c:f>
              <c:strCache>
                <c:ptCount val="1"/>
                <c:pt idx="0">
                  <c:v>TV</c:v>
                </c:pt>
              </c:strCache>
            </c:strRef>
          </c:tx>
          <c:spPr>
            <a:ln w="25400" cap="rnd">
              <a:solidFill>
                <a:srgbClr val="99CCFF"/>
              </a:solidFill>
              <a:prstDash val="solid"/>
              <a:round/>
            </a:ln>
            <a:effectLst/>
          </c:spPr>
          <c:marker>
            <c:symbol val="none"/>
          </c:marker>
          <c:cat>
            <c:numRef>
              <c:f>Analysis!$G$189:$O$189</c:f>
              <c:numCache>
                <c:formatCode>General</c:formatCode>
                <c:ptCount val="9"/>
                <c:pt idx="0">
                  <c:v>0</c:v>
                </c:pt>
                <c:pt idx="1">
                  <c:v>0</c:v>
                </c:pt>
                <c:pt idx="2">
                  <c:v>0</c:v>
                </c:pt>
                <c:pt idx="3">
                  <c:v>0</c:v>
                </c:pt>
                <c:pt idx="4">
                  <c:v>0</c:v>
                </c:pt>
                <c:pt idx="5">
                  <c:v>0</c:v>
                </c:pt>
                <c:pt idx="6">
                  <c:v>0</c:v>
                </c:pt>
                <c:pt idx="7">
                  <c:v>0</c:v>
                </c:pt>
                <c:pt idx="8">
                  <c:v>0</c:v>
                </c:pt>
              </c:numCache>
            </c:numRef>
          </c:cat>
          <c:val>
            <c:numRef>
              <c:f>Analysis!$G$198:$O$198</c:f>
              <c:numCache>
                <c:formatCode>#,##0</c:formatCode>
                <c:ptCount val="9"/>
                <c:pt idx="0">
                  <c:v>571.80162162162162</c:v>
                </c:pt>
                <c:pt idx="1">
                  <c:v>666.73177083333337</c:v>
                </c:pt>
                <c:pt idx="2">
                  <c:v>646.5472987012987</c:v>
                </c:pt>
                <c:pt idx="3">
                  <c:v>565.25744562500017</c:v>
                </c:pt>
                <c:pt idx="4">
                  <c:v>577.81636911852445</c:v>
                </c:pt>
                <c:pt idx="5">
                  <c:v>603.55321573217941</c:v>
                </c:pt>
                <c:pt idx="6">
                  <c:v>738.96972403351106</c:v>
                </c:pt>
                <c:pt idx="7">
                  <c:v>773.22884501001545</c:v>
                </c:pt>
                <c:pt idx="8">
                  <c:v>795.94244233218478</c:v>
                </c:pt>
              </c:numCache>
            </c:numRef>
          </c:val>
          <c:smooth val="0"/>
          <c:extLst>
            <c:ext xmlns:c16="http://schemas.microsoft.com/office/drawing/2014/chart" uri="{C3380CC4-5D6E-409C-BE32-E72D297353CC}">
              <c16:uniqueId val="{00000001-5085-4CAF-8AAF-4F87FC7A2967}"/>
            </c:ext>
          </c:extLst>
        </c:ser>
        <c:dLbls>
          <c:showLegendKey val="0"/>
          <c:showVal val="0"/>
          <c:showCatName val="0"/>
          <c:showSerName val="0"/>
          <c:showPercent val="0"/>
          <c:showBubbleSize val="0"/>
        </c:dLbls>
        <c:smooth val="0"/>
        <c:axId val="112546944"/>
        <c:axId val="112548480"/>
      </c:lineChart>
      <c:catAx>
        <c:axId val="112546944"/>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rebuchet MS"/>
                <a:ea typeface="Trebuchet MS"/>
                <a:cs typeface="Trebuchet MS"/>
              </a:defRPr>
            </a:pPr>
            <a:endParaRPr lang="en-US"/>
          </a:p>
        </c:txPr>
        <c:crossAx val="112548480"/>
        <c:crosses val="autoZero"/>
        <c:auto val="1"/>
        <c:lblAlgn val="ctr"/>
        <c:lblOffset val="100"/>
        <c:noMultiLvlLbl val="0"/>
      </c:catAx>
      <c:valAx>
        <c:axId val="112548480"/>
        <c:scaling>
          <c:orientation val="minMax"/>
        </c:scaling>
        <c:delete val="0"/>
        <c:axPos val="l"/>
        <c:majorGridlines>
          <c:spPr>
            <a:ln w="3175" cap="flat" cmpd="sng" algn="ctr">
              <a:solidFill>
                <a:srgbClr val="C0C0C0"/>
              </a:solidFill>
              <a:prstDash val="solid"/>
              <a:round/>
            </a:ln>
            <a:effectLst/>
          </c:spPr>
        </c:majorGridlines>
        <c:numFmt formatCode="General"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rebuchet MS"/>
                <a:ea typeface="Trebuchet MS"/>
                <a:cs typeface="Trebuchet MS"/>
              </a:defRPr>
            </a:pPr>
            <a:endParaRPr lang="en-US"/>
          </a:p>
        </c:txPr>
        <c:crossAx val="11254694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9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cat>
            <c:numRef>
              <c:f>Analysis!$F$825:$L$825</c:f>
              <c:numCache>
                <c:formatCode>General</c:formatCode>
                <c:ptCount val="7"/>
                <c:pt idx="0">
                  <c:v>2024</c:v>
                </c:pt>
                <c:pt idx="1">
                  <c:v>2025</c:v>
                </c:pt>
                <c:pt idx="2">
                  <c:v>2026</c:v>
                </c:pt>
                <c:pt idx="3">
                  <c:v>2027</c:v>
                </c:pt>
                <c:pt idx="4">
                  <c:v>2028</c:v>
                </c:pt>
                <c:pt idx="5">
                  <c:v>2029</c:v>
                </c:pt>
                <c:pt idx="6">
                  <c:v>2030</c:v>
                </c:pt>
              </c:numCache>
            </c:numRef>
          </c:cat>
          <c:val>
            <c:numRef>
              <c:f>Analysis!$F$837:$L$837</c:f>
              <c:numCache>
                <c:formatCode>0.0%</c:formatCode>
                <c:ptCount val="7"/>
                <c:pt idx="0">
                  <c:v>0.34933497145744274</c:v>
                </c:pt>
                <c:pt idx="1">
                  <c:v>2.4807326044999467E-2</c:v>
                </c:pt>
                <c:pt idx="2">
                  <c:v>-3.3021336823564229E-2</c:v>
                </c:pt>
                <c:pt idx="3">
                  <c:v>3.7188315775398717E-2</c:v>
                </c:pt>
                <c:pt idx="4">
                  <c:v>9.0915551305599696E-2</c:v>
                </c:pt>
                <c:pt idx="5">
                  <c:v>0.16420914220937144</c:v>
                </c:pt>
                <c:pt idx="6">
                  <c:v>0.22692691596698</c:v>
                </c:pt>
              </c:numCache>
            </c:numRef>
          </c:val>
          <c:extLst>
            <c:ext xmlns:c16="http://schemas.microsoft.com/office/drawing/2014/chart" uri="{C3380CC4-5D6E-409C-BE32-E72D297353CC}">
              <c16:uniqueId val="{00000000-3AC5-4849-A112-711007D9B67B}"/>
            </c:ext>
          </c:extLst>
        </c:ser>
        <c:dLbls>
          <c:showLegendKey val="0"/>
          <c:showVal val="0"/>
          <c:showCatName val="0"/>
          <c:showSerName val="0"/>
          <c:showPercent val="0"/>
          <c:showBubbleSize val="0"/>
        </c:dLbls>
        <c:gapWidth val="219"/>
        <c:overlap val="-27"/>
        <c:axId val="474483343"/>
        <c:axId val="474481263"/>
      </c:barChart>
      <c:catAx>
        <c:axId val="474483343"/>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74481263"/>
        <c:crosses val="autoZero"/>
        <c:auto val="1"/>
        <c:lblAlgn val="ctr"/>
        <c:lblOffset val="100"/>
        <c:noMultiLvlLbl val="0"/>
      </c:catAx>
      <c:valAx>
        <c:axId val="474481263"/>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74483343"/>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Analysis!$C$843:$C$848</c:f>
              <c:strCache>
                <c:ptCount val="6"/>
                <c:pt idx="0">
                  <c:v>Vivo (Br)</c:v>
                </c:pt>
                <c:pt idx="1">
                  <c:v>Oi (Br)</c:v>
                </c:pt>
                <c:pt idx="2">
                  <c:v>Megacable (Mex)</c:v>
                </c:pt>
                <c:pt idx="3">
                  <c:v>Izzy (Mex)</c:v>
                </c:pt>
                <c:pt idx="4">
                  <c:v>Millicom (pan-LatAm, HFC)</c:v>
                </c:pt>
                <c:pt idx="5">
                  <c:v>Entel (Chile)</c:v>
                </c:pt>
              </c:strCache>
            </c:strRef>
          </c:cat>
          <c:val>
            <c:numRef>
              <c:f>Analysis!$D$843:$D$848</c:f>
              <c:numCache>
                <c:formatCode>0</c:formatCode>
                <c:ptCount val="6"/>
                <c:pt idx="0">
                  <c:v>29.09090909090909</c:v>
                </c:pt>
                <c:pt idx="1">
                  <c:v>40.909090909090907</c:v>
                </c:pt>
                <c:pt idx="2">
                  <c:v>50</c:v>
                </c:pt>
                <c:pt idx="3">
                  <c:v>75</c:v>
                </c:pt>
                <c:pt idx="4">
                  <c:v>100</c:v>
                </c:pt>
                <c:pt idx="5">
                  <c:v>121.95121951219512</c:v>
                </c:pt>
              </c:numCache>
            </c:numRef>
          </c:val>
          <c:extLst>
            <c:ext xmlns:c16="http://schemas.microsoft.com/office/drawing/2014/chart" uri="{C3380CC4-5D6E-409C-BE32-E72D297353CC}">
              <c16:uniqueId val="{00000000-135A-44EA-987C-BAD6905549DC}"/>
            </c:ext>
          </c:extLst>
        </c:ser>
        <c:ser>
          <c:idx val="1"/>
          <c:order val="1"/>
          <c:spPr>
            <a:solidFill>
              <a:srgbClr val="9999FF"/>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Analysis!$C$843:$C$848</c:f>
              <c:strCache>
                <c:ptCount val="6"/>
                <c:pt idx="0">
                  <c:v>Vivo (Br)</c:v>
                </c:pt>
                <c:pt idx="1">
                  <c:v>Oi (Br)</c:v>
                </c:pt>
                <c:pt idx="2">
                  <c:v>Megacable (Mex)</c:v>
                </c:pt>
                <c:pt idx="3">
                  <c:v>Izzy (Mex)</c:v>
                </c:pt>
                <c:pt idx="4">
                  <c:v>Millicom (pan-LatAm, HFC)</c:v>
                </c:pt>
                <c:pt idx="5">
                  <c:v>Entel (Chile)</c:v>
                </c:pt>
              </c:strCache>
            </c:strRef>
          </c:cat>
          <c:val>
            <c:numRef>
              <c:f>Analysis!$E$843:$E$848</c:f>
              <c:numCache>
                <c:formatCode>0</c:formatCode>
                <c:ptCount val="6"/>
                <c:pt idx="0">
                  <c:v>145.45454545454547</c:v>
                </c:pt>
                <c:pt idx="1">
                  <c:v>98.181818181818187</c:v>
                </c:pt>
                <c:pt idx="2">
                  <c:v>150</c:v>
                </c:pt>
                <c:pt idx="3">
                  <c:v>150</c:v>
                </c:pt>
                <c:pt idx="4">
                  <c:v>150</c:v>
                </c:pt>
                <c:pt idx="5">
                  <c:v>243.90243902439025</c:v>
                </c:pt>
              </c:numCache>
            </c:numRef>
          </c:val>
          <c:extLst>
            <c:ext xmlns:c16="http://schemas.microsoft.com/office/drawing/2014/chart" uri="{C3380CC4-5D6E-409C-BE32-E72D297353CC}">
              <c16:uniqueId val="{00000001-135A-44EA-987C-BAD6905549DC}"/>
            </c:ext>
          </c:extLst>
        </c:ser>
        <c:dLbls>
          <c:showLegendKey val="0"/>
          <c:showVal val="0"/>
          <c:showCatName val="0"/>
          <c:showSerName val="0"/>
          <c:showPercent val="0"/>
          <c:showBubbleSize val="0"/>
        </c:dLbls>
        <c:gapWidth val="219"/>
        <c:overlap val="-27"/>
        <c:axId val="389940816"/>
        <c:axId val="389938320"/>
      </c:barChart>
      <c:catAx>
        <c:axId val="38994081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89938320"/>
        <c:crosses val="autoZero"/>
        <c:auto val="1"/>
        <c:lblAlgn val="ctr"/>
        <c:lblOffset val="100"/>
        <c:noMultiLvlLbl val="0"/>
      </c:catAx>
      <c:valAx>
        <c:axId val="389938320"/>
        <c:scaling>
          <c:orientation val="minMax"/>
          <c:max val="250"/>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USD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8994081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2-697F-4F68-9E7D-FE8701008B51}"/>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3-697F-4F68-9E7D-FE8701008B51}"/>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4-697F-4F68-9E7D-FE8701008B51}"/>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5-697F-4F68-9E7D-FE8701008B51}"/>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6-697F-4F68-9E7D-FE8701008B51}"/>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Analysis!$W$910:$AA$910</c:f>
              <c:strCache>
                <c:ptCount val="5"/>
                <c:pt idx="0">
                  <c:v>MEGA</c:v>
                </c:pt>
                <c:pt idx="1">
                  <c:v>Total Play</c:v>
                </c:pt>
                <c:pt idx="2">
                  <c:v>Telmex DSL</c:v>
                </c:pt>
                <c:pt idx="3">
                  <c:v>Telmex FTTH</c:v>
                </c:pt>
                <c:pt idx="4">
                  <c:v>Televisa</c:v>
                </c:pt>
              </c:strCache>
            </c:strRef>
          </c:cat>
          <c:val>
            <c:numRef>
              <c:f>Analysis!$W$943:$AA$943</c:f>
              <c:numCache>
                <c:formatCode>0%</c:formatCode>
                <c:ptCount val="5"/>
                <c:pt idx="0">
                  <c:v>0.17027880492066835</c:v>
                </c:pt>
                <c:pt idx="1">
                  <c:v>0.12356902080880548</c:v>
                </c:pt>
                <c:pt idx="2">
                  <c:v>0.30060425899048016</c:v>
                </c:pt>
                <c:pt idx="3">
                  <c:v>0.18499476623206593</c:v>
                </c:pt>
                <c:pt idx="4">
                  <c:v>0.22055314904798007</c:v>
                </c:pt>
              </c:numCache>
            </c:numRef>
          </c:val>
          <c:extLst>
            <c:ext xmlns:c16="http://schemas.microsoft.com/office/drawing/2014/chart" uri="{C3380CC4-5D6E-409C-BE32-E72D297353CC}">
              <c16:uniqueId val="{00000000-697F-4F68-9E7D-FE8701008B51}"/>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rtl="0">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64DE-4D00-850A-BF0F33E8258C}"/>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3-64DE-4D00-850A-BF0F33E8258C}"/>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5-64DE-4D00-850A-BF0F33E8258C}"/>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7-64DE-4D00-850A-BF0F33E8258C}"/>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9-64DE-4D00-850A-BF0F33E8258C}"/>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Analysis!$W$910:$AA$910</c:f>
              <c:strCache>
                <c:ptCount val="5"/>
                <c:pt idx="0">
                  <c:v>MEGA</c:v>
                </c:pt>
                <c:pt idx="1">
                  <c:v>Total Play</c:v>
                </c:pt>
                <c:pt idx="2">
                  <c:v>Telmex DSL</c:v>
                </c:pt>
                <c:pt idx="3">
                  <c:v>Telmex FTTH</c:v>
                </c:pt>
                <c:pt idx="4">
                  <c:v>Televisa</c:v>
                </c:pt>
              </c:strCache>
            </c:strRef>
          </c:cat>
          <c:val>
            <c:numRef>
              <c:f>Analysis!$W$943:$AA$943</c:f>
              <c:numCache>
                <c:formatCode>0%</c:formatCode>
                <c:ptCount val="5"/>
                <c:pt idx="0">
                  <c:v>0.17027880492066835</c:v>
                </c:pt>
                <c:pt idx="1">
                  <c:v>0.12356902080880548</c:v>
                </c:pt>
                <c:pt idx="2">
                  <c:v>0.30060425899048016</c:v>
                </c:pt>
                <c:pt idx="3">
                  <c:v>0.18499476623206593</c:v>
                </c:pt>
                <c:pt idx="4">
                  <c:v>0.22055314904798007</c:v>
                </c:pt>
              </c:numCache>
            </c:numRef>
          </c:val>
          <c:extLst>
            <c:ext xmlns:c16="http://schemas.microsoft.com/office/drawing/2014/chart" uri="{C3380CC4-5D6E-409C-BE32-E72D297353CC}">
              <c16:uniqueId val="{0000000A-64DE-4D00-850A-BF0F33E8258C}"/>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rtl="0">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'Earnings snaps'!$B$95</c:f>
              <c:strCache>
                <c:ptCount val="1"/>
                <c:pt idx="0">
                  <c:v>Gross adds</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cat>
            <c:strRef>
              <c:f>'Earnings snaps'!$F$94:$AE$94</c:f>
              <c:strCache>
                <c:ptCount val="26"/>
                <c:pt idx="0">
                  <c:v>4Q19</c:v>
                </c:pt>
                <c:pt idx="1">
                  <c:v>1Q20</c:v>
                </c:pt>
                <c:pt idx="2">
                  <c:v>2Q20</c:v>
                </c:pt>
                <c:pt idx="3">
                  <c:v>3Q20</c:v>
                </c:pt>
                <c:pt idx="4">
                  <c:v>4Q20</c:v>
                </c:pt>
                <c:pt idx="5">
                  <c:v>1Q21</c:v>
                </c:pt>
                <c:pt idx="6">
                  <c:v>2Q21</c:v>
                </c:pt>
                <c:pt idx="7">
                  <c:v>3Q21</c:v>
                </c:pt>
                <c:pt idx="8">
                  <c:v>4Q21</c:v>
                </c:pt>
                <c:pt idx="9">
                  <c:v>1Q22</c:v>
                </c:pt>
                <c:pt idx="10">
                  <c:v>2Q22</c:v>
                </c:pt>
                <c:pt idx="11">
                  <c:v>3Q22</c:v>
                </c:pt>
                <c:pt idx="12">
                  <c:v>4Q22</c:v>
                </c:pt>
                <c:pt idx="13">
                  <c:v>1Q23</c:v>
                </c:pt>
                <c:pt idx="14">
                  <c:v>2Q23</c:v>
                </c:pt>
                <c:pt idx="15">
                  <c:v>3Q23</c:v>
                </c:pt>
                <c:pt idx="16">
                  <c:v>4Q23</c:v>
                </c:pt>
                <c:pt idx="17">
                  <c:v>1Q24</c:v>
                </c:pt>
                <c:pt idx="18">
                  <c:v>2Q24</c:v>
                </c:pt>
                <c:pt idx="19">
                  <c:v>3Q24</c:v>
                </c:pt>
                <c:pt idx="20">
                  <c:v>4Q24</c:v>
                </c:pt>
                <c:pt idx="21">
                  <c:v>1Q25</c:v>
                </c:pt>
                <c:pt idx="22">
                  <c:v>2Q25</c:v>
                </c:pt>
                <c:pt idx="23">
                  <c:v>3Q25</c:v>
                </c:pt>
                <c:pt idx="24">
                  <c:v>4Q25</c:v>
                </c:pt>
                <c:pt idx="25">
                  <c:v>1Q26</c:v>
                </c:pt>
              </c:strCache>
            </c:strRef>
          </c:cat>
          <c:val>
            <c:numRef>
              <c:f>'Earnings snaps'!$F$91:$AE$91</c:f>
              <c:numCache>
                <c:formatCode>0</c:formatCode>
                <c:ptCount val="26"/>
                <c:pt idx="0">
                  <c:v>232.92599999999979</c:v>
                </c:pt>
                <c:pt idx="1">
                  <c:v>211.86727400000038</c:v>
                </c:pt>
                <c:pt idx="2">
                  <c:v>202.50616199999993</c:v>
                </c:pt>
                <c:pt idx="3">
                  <c:v>266.40340000000015</c:v>
                </c:pt>
                <c:pt idx="4">
                  <c:v>212.52565599999974</c:v>
                </c:pt>
                <c:pt idx="5">
                  <c:v>197.66499699999989</c:v>
                </c:pt>
                <c:pt idx="6">
                  <c:v>248.52662200000017</c:v>
                </c:pt>
                <c:pt idx="7">
                  <c:v>296.79599999999999</c:v>
                </c:pt>
                <c:pt idx="8">
                  <c:v>255.6948040000002</c:v>
                </c:pt>
                <c:pt idx="9">
                  <c:v>246.42557999999991</c:v>
                </c:pt>
                <c:pt idx="10">
                  <c:v>277.75584400000002</c:v>
                </c:pt>
                <c:pt idx="11">
                  <c:v>303.84041600000006</c:v>
                </c:pt>
                <c:pt idx="12">
                  <c:v>277.40515199999965</c:v>
                </c:pt>
                <c:pt idx="13">
                  <c:v>306.83389999999997</c:v>
                </c:pt>
                <c:pt idx="14">
                  <c:v>309.64672000000019</c:v>
                </c:pt>
                <c:pt idx="15">
                  <c:v>308.40523599999995</c:v>
                </c:pt>
                <c:pt idx="16">
                  <c:v>281.87047600000017</c:v>
                </c:pt>
                <c:pt idx="17">
                  <c:v>261.43666999999971</c:v>
                </c:pt>
                <c:pt idx="18">
                  <c:v>246.44624200000004</c:v>
                </c:pt>
                <c:pt idx="19">
                  <c:v>266.27081600000008</c:v>
                </c:pt>
                <c:pt idx="20">
                  <c:v>235.48906800000017</c:v>
                </c:pt>
                <c:pt idx="21">
                  <c:v>267.82477499999999</c:v>
                </c:pt>
                <c:pt idx="22">
                  <c:v>309.277355</c:v>
                </c:pt>
                <c:pt idx="23">
                  <c:v>434.37601999999993</c:v>
                </c:pt>
                <c:pt idx="24">
                  <c:v>311.15938100000017</c:v>
                </c:pt>
                <c:pt idx="25">
                  <c:v>337.62856799999969</c:v>
                </c:pt>
              </c:numCache>
            </c:numRef>
          </c:val>
          <c:extLst>
            <c:ext xmlns:c16="http://schemas.microsoft.com/office/drawing/2014/chart" uri="{C3380CC4-5D6E-409C-BE32-E72D297353CC}">
              <c16:uniqueId val="{00000000-0E72-4D50-BE53-10D3F749E922}"/>
            </c:ext>
          </c:extLst>
        </c:ser>
        <c:dLbls>
          <c:showLegendKey val="0"/>
          <c:showVal val="0"/>
          <c:showCatName val="0"/>
          <c:showSerName val="0"/>
          <c:showPercent val="0"/>
          <c:showBubbleSize val="0"/>
        </c:dLbls>
        <c:gapWidth val="150"/>
        <c:axId val="1703756751"/>
        <c:axId val="1703756335"/>
      </c:barChart>
      <c:lineChart>
        <c:grouping val="standard"/>
        <c:varyColors val="0"/>
        <c:ser>
          <c:idx val="1"/>
          <c:order val="1"/>
          <c:tx>
            <c:strRef>
              <c:f>'Earnings snaps'!$B$96</c:f>
              <c:strCache>
                <c:ptCount val="1"/>
                <c:pt idx="0">
                  <c:v>Churn</c:v>
                </c:pt>
              </c:strCache>
            </c:strRef>
          </c:tx>
          <c:spPr>
            <a:ln w="25400" cap="rnd">
              <a:solidFill>
                <a:srgbClr val="799098"/>
              </a:solidFill>
              <a:prstDash val="solid"/>
              <a:round/>
            </a:ln>
            <a:effectLst/>
          </c:spPr>
          <c:marker>
            <c:symbol val="none"/>
          </c:marker>
          <c:cat>
            <c:strRef>
              <c:f>'Earnings snaps'!$F$94:$AE$94</c:f>
              <c:strCache>
                <c:ptCount val="26"/>
                <c:pt idx="0">
                  <c:v>4Q19</c:v>
                </c:pt>
                <c:pt idx="1">
                  <c:v>1Q20</c:v>
                </c:pt>
                <c:pt idx="2">
                  <c:v>2Q20</c:v>
                </c:pt>
                <c:pt idx="3">
                  <c:v>3Q20</c:v>
                </c:pt>
                <c:pt idx="4">
                  <c:v>4Q20</c:v>
                </c:pt>
                <c:pt idx="5">
                  <c:v>1Q21</c:v>
                </c:pt>
                <c:pt idx="6">
                  <c:v>2Q21</c:v>
                </c:pt>
                <c:pt idx="7">
                  <c:v>3Q21</c:v>
                </c:pt>
                <c:pt idx="8">
                  <c:v>4Q21</c:v>
                </c:pt>
                <c:pt idx="9">
                  <c:v>1Q22</c:v>
                </c:pt>
                <c:pt idx="10">
                  <c:v>2Q22</c:v>
                </c:pt>
                <c:pt idx="11">
                  <c:v>3Q22</c:v>
                </c:pt>
                <c:pt idx="12">
                  <c:v>4Q22</c:v>
                </c:pt>
                <c:pt idx="13">
                  <c:v>1Q23</c:v>
                </c:pt>
                <c:pt idx="14">
                  <c:v>2Q23</c:v>
                </c:pt>
                <c:pt idx="15">
                  <c:v>3Q23</c:v>
                </c:pt>
                <c:pt idx="16">
                  <c:v>4Q23</c:v>
                </c:pt>
                <c:pt idx="17">
                  <c:v>1Q24</c:v>
                </c:pt>
                <c:pt idx="18">
                  <c:v>2Q24</c:v>
                </c:pt>
                <c:pt idx="19">
                  <c:v>3Q24</c:v>
                </c:pt>
                <c:pt idx="20">
                  <c:v>4Q24</c:v>
                </c:pt>
                <c:pt idx="21">
                  <c:v>1Q25</c:v>
                </c:pt>
                <c:pt idx="22">
                  <c:v>2Q25</c:v>
                </c:pt>
                <c:pt idx="23">
                  <c:v>3Q25</c:v>
                </c:pt>
                <c:pt idx="24">
                  <c:v>4Q25</c:v>
                </c:pt>
                <c:pt idx="25">
                  <c:v>1Q26</c:v>
                </c:pt>
              </c:strCache>
            </c:strRef>
          </c:cat>
          <c:val>
            <c:numRef>
              <c:f>'Earnings snaps'!$F$92:$AE$92</c:f>
              <c:numCache>
                <c:formatCode>0.0%</c:formatCode>
                <c:ptCount val="26"/>
                <c:pt idx="0">
                  <c:v>2.4E-2</c:v>
                </c:pt>
                <c:pt idx="1">
                  <c:v>2.1000000000000001E-2</c:v>
                </c:pt>
                <c:pt idx="2">
                  <c:v>1.7999999999999999E-2</c:v>
                </c:pt>
                <c:pt idx="3">
                  <c:v>1.7000000000000001E-2</c:v>
                </c:pt>
                <c:pt idx="4">
                  <c:v>1.6E-2</c:v>
                </c:pt>
                <c:pt idx="5">
                  <c:v>1.7000000000000001E-2</c:v>
                </c:pt>
                <c:pt idx="6">
                  <c:v>2.1999999999999999E-2</c:v>
                </c:pt>
                <c:pt idx="7">
                  <c:v>2.3E-2</c:v>
                </c:pt>
                <c:pt idx="8">
                  <c:v>2.1999999999999999E-2</c:v>
                </c:pt>
                <c:pt idx="9">
                  <c:v>2.3E-2</c:v>
                </c:pt>
                <c:pt idx="10">
                  <c:v>2.5999999999999999E-2</c:v>
                </c:pt>
                <c:pt idx="11">
                  <c:v>2.4E-2</c:v>
                </c:pt>
                <c:pt idx="12">
                  <c:v>1.7999999999999999E-2</c:v>
                </c:pt>
                <c:pt idx="13">
                  <c:v>0.02</c:v>
                </c:pt>
                <c:pt idx="14">
                  <c:v>0.02</c:v>
                </c:pt>
                <c:pt idx="15">
                  <c:v>2.3E-2</c:v>
                </c:pt>
                <c:pt idx="16">
                  <c:v>2.1999999999999999E-2</c:v>
                </c:pt>
                <c:pt idx="17">
                  <c:v>2.1000000000000001E-2</c:v>
                </c:pt>
                <c:pt idx="18">
                  <c:v>2.5999999999999999E-2</c:v>
                </c:pt>
                <c:pt idx="19">
                  <c:v>2.4E-2</c:v>
                </c:pt>
                <c:pt idx="20">
                  <c:v>2.1000000000000001E-2</c:v>
                </c:pt>
                <c:pt idx="21">
                  <c:v>2.5000000000000001E-2</c:v>
                </c:pt>
                <c:pt idx="22">
                  <c:v>2.3E-2</c:v>
                </c:pt>
                <c:pt idx="23">
                  <c:v>2.7E-2</c:v>
                </c:pt>
                <c:pt idx="24">
                  <c:v>2.3E-2</c:v>
                </c:pt>
                <c:pt idx="25">
                  <c:v>2.4E-2</c:v>
                </c:pt>
              </c:numCache>
            </c:numRef>
          </c:val>
          <c:smooth val="0"/>
          <c:extLst>
            <c:ext xmlns:c16="http://schemas.microsoft.com/office/drawing/2014/chart" uri="{C3380CC4-5D6E-409C-BE32-E72D297353CC}">
              <c16:uniqueId val="{00000001-0E72-4D50-BE53-10D3F749E922}"/>
            </c:ext>
          </c:extLst>
        </c:ser>
        <c:dLbls>
          <c:showLegendKey val="0"/>
          <c:showVal val="0"/>
          <c:showCatName val="0"/>
          <c:showSerName val="0"/>
          <c:showPercent val="0"/>
          <c:showBubbleSize val="0"/>
        </c:dLbls>
        <c:marker val="1"/>
        <c:smooth val="0"/>
        <c:axId val="1703758415"/>
        <c:axId val="1703755503"/>
      </c:lineChart>
      <c:catAx>
        <c:axId val="1703756751"/>
        <c:scaling>
          <c:orientation val="minMax"/>
        </c:scaling>
        <c:delete val="0"/>
        <c:axPos val="b"/>
        <c:numFmt formatCode="General" sourceLinked="1"/>
        <c:majorTickMark val="none"/>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703756335"/>
        <c:crosses val="autoZero"/>
        <c:auto val="1"/>
        <c:lblAlgn val="ctr"/>
        <c:lblOffset val="100"/>
        <c:noMultiLvlLbl val="0"/>
      </c:catAx>
      <c:valAx>
        <c:axId val="170375633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703756751"/>
        <c:crosses val="autoZero"/>
        <c:crossBetween val="between"/>
      </c:valAx>
      <c:valAx>
        <c:axId val="1703755503"/>
        <c:scaling>
          <c:orientation val="minMax"/>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703758415"/>
        <c:crosses val="max"/>
        <c:crossBetween val="between"/>
      </c:valAx>
      <c:catAx>
        <c:axId val="1703758415"/>
        <c:scaling>
          <c:orientation val="minMax"/>
        </c:scaling>
        <c:delete val="1"/>
        <c:axPos val="b"/>
        <c:numFmt formatCode="General" sourceLinked="1"/>
        <c:majorTickMark val="none"/>
        <c:minorTickMark val="none"/>
        <c:tickLblPos val="nextTo"/>
        <c:crossAx val="1703755503"/>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cat>
            <c:strRef>
              <c:f>Analysis!$T$950:$T$953</c:f>
              <c:strCache>
                <c:ptCount val="4"/>
                <c:pt idx="0">
                  <c:v>MEGA</c:v>
                </c:pt>
                <c:pt idx="1">
                  <c:v>Telmex DSL</c:v>
                </c:pt>
                <c:pt idx="2">
                  <c:v>Telmex FTTH</c:v>
                </c:pt>
                <c:pt idx="3">
                  <c:v>Televisa</c:v>
                </c:pt>
              </c:strCache>
            </c:strRef>
          </c:cat>
          <c:val>
            <c:numRef>
              <c:f>Analysis!$U$950:$U$953</c:f>
              <c:numCache>
                <c:formatCode>0%</c:formatCode>
                <c:ptCount val="4"/>
                <c:pt idx="0">
                  <c:v>0.4508755027310854</c:v>
                </c:pt>
                <c:pt idx="1">
                  <c:v>0.55336374478841155</c:v>
                </c:pt>
                <c:pt idx="2">
                  <c:v>0.66597848128549242</c:v>
                </c:pt>
                <c:pt idx="3">
                  <c:v>0.68948563834892018</c:v>
                </c:pt>
              </c:numCache>
            </c:numRef>
          </c:val>
          <c:extLst>
            <c:ext xmlns:c16="http://schemas.microsoft.com/office/drawing/2014/chart" uri="{C3380CC4-5D6E-409C-BE32-E72D297353CC}">
              <c16:uniqueId val="{00000000-DF82-47C6-BB61-F82A8E3EAE12}"/>
            </c:ext>
          </c:extLst>
        </c:ser>
        <c:dLbls>
          <c:showLegendKey val="0"/>
          <c:showVal val="0"/>
          <c:showCatName val="0"/>
          <c:showSerName val="0"/>
          <c:showPercent val="0"/>
          <c:showBubbleSize val="0"/>
        </c:dLbls>
        <c:gapWidth val="219"/>
        <c:overlap val="-27"/>
        <c:axId val="1319221439"/>
        <c:axId val="1319223103"/>
      </c:barChart>
      <c:catAx>
        <c:axId val="1319221439"/>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319223103"/>
        <c:crosses val="autoZero"/>
        <c:auto val="1"/>
        <c:lblAlgn val="ctr"/>
        <c:lblOffset val="100"/>
        <c:noMultiLvlLbl val="0"/>
      </c:catAx>
      <c:valAx>
        <c:axId val="1319223103"/>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319221439"/>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'Market BB quarts'!$B$3</c:f>
              <c:strCache>
                <c:ptCount val="1"/>
                <c:pt idx="0">
                  <c:v>TotalPlay (Residential)</c:v>
                </c:pt>
              </c:strCache>
            </c:strRef>
          </c:tx>
          <c:spPr>
            <a:ln w="25400" cap="rnd">
              <a:solidFill>
                <a:srgbClr val="263238"/>
              </a:solidFill>
              <a:prstDash val="solid"/>
              <a:round/>
            </a:ln>
            <a:effectLst/>
          </c:spPr>
          <c:marker>
            <c:symbol val="none"/>
          </c:marker>
          <c:cat>
            <c:strRef>
              <c:f>'Market BB quarts'!$AD$2:$AI$2</c:f>
              <c:strCache>
                <c:ptCount val="6"/>
                <c:pt idx="0">
                  <c:v>Q1 21</c:v>
                </c:pt>
                <c:pt idx="1">
                  <c:v>Q2 21</c:v>
                </c:pt>
                <c:pt idx="2">
                  <c:v>Q3 21</c:v>
                </c:pt>
                <c:pt idx="3">
                  <c:v>Q4 21</c:v>
                </c:pt>
                <c:pt idx="4">
                  <c:v>Q1 22</c:v>
                </c:pt>
                <c:pt idx="5">
                  <c:v>Q2 22</c:v>
                </c:pt>
              </c:strCache>
            </c:strRef>
          </c:cat>
          <c:val>
            <c:numRef>
              <c:f>'Market BB quarts'!$AD$3:$AI$3</c:f>
              <c:numCache>
                <c:formatCode>0.0%</c:formatCode>
                <c:ptCount val="6"/>
                <c:pt idx="0">
                  <c:v>0.67371474504595796</c:v>
                </c:pt>
                <c:pt idx="1">
                  <c:v>0.60921095456432051</c:v>
                </c:pt>
                <c:pt idx="2">
                  <c:v>0.51494426900795709</c:v>
                </c:pt>
                <c:pt idx="3">
                  <c:v>0.42640186915887845</c:v>
                </c:pt>
                <c:pt idx="4">
                  <c:v>0.44080183754437252</c:v>
                </c:pt>
                <c:pt idx="5">
                  <c:v>0.39863065804488396</c:v>
                </c:pt>
              </c:numCache>
            </c:numRef>
          </c:val>
          <c:smooth val="0"/>
          <c:extLst>
            <c:ext xmlns:c16="http://schemas.microsoft.com/office/drawing/2014/chart" uri="{C3380CC4-5D6E-409C-BE32-E72D297353CC}">
              <c16:uniqueId val="{00000000-AA9F-4220-8BB6-4B8468A3A278}"/>
            </c:ext>
          </c:extLst>
        </c:ser>
        <c:ser>
          <c:idx val="1"/>
          <c:order val="1"/>
          <c:tx>
            <c:strRef>
              <c:f>'Market BB quarts'!$B$4</c:f>
              <c:strCache>
                <c:ptCount val="1"/>
                <c:pt idx="0">
                  <c:v>Megacable (Mass mkt)</c:v>
                </c:pt>
              </c:strCache>
            </c:strRef>
          </c:tx>
          <c:spPr>
            <a:ln w="25400" cap="rnd">
              <a:solidFill>
                <a:srgbClr val="799098"/>
              </a:solidFill>
              <a:prstDash val="solid"/>
              <a:round/>
            </a:ln>
            <a:effectLst/>
          </c:spPr>
          <c:marker>
            <c:symbol val="none"/>
          </c:marker>
          <c:cat>
            <c:strRef>
              <c:f>'Market BB quarts'!$AD$2:$AI$2</c:f>
              <c:strCache>
                <c:ptCount val="6"/>
                <c:pt idx="0">
                  <c:v>Q1 21</c:v>
                </c:pt>
                <c:pt idx="1">
                  <c:v>Q2 21</c:v>
                </c:pt>
                <c:pt idx="2">
                  <c:v>Q3 21</c:v>
                </c:pt>
                <c:pt idx="3">
                  <c:v>Q4 21</c:v>
                </c:pt>
                <c:pt idx="4">
                  <c:v>Q1 22</c:v>
                </c:pt>
                <c:pt idx="5">
                  <c:v>Q2 22</c:v>
                </c:pt>
              </c:strCache>
            </c:strRef>
          </c:cat>
          <c:val>
            <c:numRef>
              <c:f>'Market BB quarts'!$AD$4:$AI$4</c:f>
              <c:numCache>
                <c:formatCode>0.0%</c:formatCode>
                <c:ptCount val="6"/>
                <c:pt idx="0">
                  <c:v>8.7866567548424257E-2</c:v>
                </c:pt>
                <c:pt idx="1">
                  <c:v>0.12148916291184331</c:v>
                </c:pt>
                <c:pt idx="2">
                  <c:v>9.7987070051890779E-2</c:v>
                </c:pt>
                <c:pt idx="3">
                  <c:v>0.1146576156923993</c:v>
                </c:pt>
                <c:pt idx="4">
                  <c:v>9.3221592856135072E-2</c:v>
                </c:pt>
                <c:pt idx="5">
                  <c:v>9.275740115239417E-2</c:v>
                </c:pt>
              </c:numCache>
            </c:numRef>
          </c:val>
          <c:smooth val="0"/>
          <c:extLst>
            <c:ext xmlns:c16="http://schemas.microsoft.com/office/drawing/2014/chart" uri="{C3380CC4-5D6E-409C-BE32-E72D297353CC}">
              <c16:uniqueId val="{00000001-AA9F-4220-8BB6-4B8468A3A278}"/>
            </c:ext>
          </c:extLst>
        </c:ser>
        <c:ser>
          <c:idx val="2"/>
          <c:order val="2"/>
          <c:tx>
            <c:strRef>
              <c:f>'Market BB quarts'!$B$5</c:f>
              <c:strCache>
                <c:ptCount val="1"/>
                <c:pt idx="0">
                  <c:v>Televisa (Retail)</c:v>
                </c:pt>
              </c:strCache>
            </c:strRef>
          </c:tx>
          <c:spPr>
            <a:ln w="25400" cap="rnd">
              <a:solidFill>
                <a:srgbClr val="F9663E"/>
              </a:solidFill>
              <a:prstDash val="solid"/>
              <a:round/>
            </a:ln>
            <a:effectLst/>
          </c:spPr>
          <c:marker>
            <c:symbol val="none"/>
          </c:marker>
          <c:cat>
            <c:strRef>
              <c:f>'Market BB quarts'!$AD$2:$AI$2</c:f>
              <c:strCache>
                <c:ptCount val="6"/>
                <c:pt idx="0">
                  <c:v>Q1 21</c:v>
                </c:pt>
                <c:pt idx="1">
                  <c:v>Q2 21</c:v>
                </c:pt>
                <c:pt idx="2">
                  <c:v>Q3 21</c:v>
                </c:pt>
                <c:pt idx="3">
                  <c:v>Q4 21</c:v>
                </c:pt>
                <c:pt idx="4">
                  <c:v>Q1 22</c:v>
                </c:pt>
                <c:pt idx="5">
                  <c:v>Q2 22</c:v>
                </c:pt>
              </c:strCache>
            </c:strRef>
          </c:cat>
          <c:val>
            <c:numRef>
              <c:f>'Market BB quarts'!$AD$5:$AI$5</c:f>
              <c:numCache>
                <c:formatCode>0.0%</c:formatCode>
                <c:ptCount val="6"/>
                <c:pt idx="0">
                  <c:v>7.2673226732267393E-2</c:v>
                </c:pt>
                <c:pt idx="1">
                  <c:v>6.4054789001913637E-2</c:v>
                </c:pt>
                <c:pt idx="2">
                  <c:v>5.8277109611811762E-2</c:v>
                </c:pt>
                <c:pt idx="3">
                  <c:v>4.8198377875282583E-2</c:v>
                </c:pt>
                <c:pt idx="4">
                  <c:v>3.3979933110367844E-2</c:v>
                </c:pt>
                <c:pt idx="5">
                  <c:v>3.7917652626597187E-2</c:v>
                </c:pt>
              </c:numCache>
            </c:numRef>
          </c:val>
          <c:smooth val="0"/>
          <c:extLst>
            <c:ext xmlns:c16="http://schemas.microsoft.com/office/drawing/2014/chart" uri="{C3380CC4-5D6E-409C-BE32-E72D297353CC}">
              <c16:uniqueId val="{00000002-AA9F-4220-8BB6-4B8468A3A278}"/>
            </c:ext>
          </c:extLst>
        </c:ser>
        <c:ser>
          <c:idx val="3"/>
          <c:order val="3"/>
          <c:tx>
            <c:strRef>
              <c:f>'Market BB quarts'!$B$6</c:f>
              <c:strCache>
                <c:ptCount val="1"/>
                <c:pt idx="0">
                  <c:v>Telmex (AMX)</c:v>
                </c:pt>
              </c:strCache>
            </c:strRef>
          </c:tx>
          <c:spPr>
            <a:ln w="25400" cap="rnd">
              <a:solidFill>
                <a:srgbClr val="C7FE02"/>
              </a:solidFill>
              <a:prstDash val="solid"/>
              <a:round/>
            </a:ln>
            <a:effectLst/>
          </c:spPr>
          <c:marker>
            <c:symbol val="none"/>
          </c:marker>
          <c:cat>
            <c:strRef>
              <c:f>'Market BB quarts'!$AD$2:$AI$2</c:f>
              <c:strCache>
                <c:ptCount val="6"/>
                <c:pt idx="0">
                  <c:v>Q1 21</c:v>
                </c:pt>
                <c:pt idx="1">
                  <c:v>Q2 21</c:v>
                </c:pt>
                <c:pt idx="2">
                  <c:v>Q3 21</c:v>
                </c:pt>
                <c:pt idx="3">
                  <c:v>Q4 21</c:v>
                </c:pt>
                <c:pt idx="4">
                  <c:v>Q1 22</c:v>
                </c:pt>
                <c:pt idx="5">
                  <c:v>Q2 22</c:v>
                </c:pt>
              </c:strCache>
            </c:strRef>
          </c:cat>
          <c:val>
            <c:numRef>
              <c:f>'Market BB quarts'!$AD$6:$AI$6</c:f>
              <c:numCache>
                <c:formatCode>0.0%</c:formatCode>
                <c:ptCount val="6"/>
                <c:pt idx="0">
                  <c:v>-2.6254988447804717E-4</c:v>
                </c:pt>
                <c:pt idx="1">
                  <c:v>-4.300849680058727E-3</c:v>
                </c:pt>
                <c:pt idx="2">
                  <c:v>1.9341320582388688E-2</c:v>
                </c:pt>
                <c:pt idx="3">
                  <c:v>1.3271996615905168E-2</c:v>
                </c:pt>
                <c:pt idx="4">
                  <c:v>-3.1724355270760007E-2</c:v>
                </c:pt>
                <c:pt idx="5">
                  <c:v>-2.5495153813737903E-2</c:v>
                </c:pt>
              </c:numCache>
            </c:numRef>
          </c:val>
          <c:smooth val="0"/>
          <c:extLst>
            <c:ext xmlns:c16="http://schemas.microsoft.com/office/drawing/2014/chart" uri="{C3380CC4-5D6E-409C-BE32-E72D297353CC}">
              <c16:uniqueId val="{00000003-AA9F-4220-8BB6-4B8468A3A278}"/>
            </c:ext>
          </c:extLst>
        </c:ser>
        <c:ser>
          <c:idx val="4"/>
          <c:order val="4"/>
          <c:tx>
            <c:strRef>
              <c:f>'Market BB quarts'!$B$7</c:f>
              <c:strCache>
                <c:ptCount val="1"/>
                <c:pt idx="0">
                  <c:v>Total</c:v>
                </c:pt>
              </c:strCache>
            </c:strRef>
          </c:tx>
          <c:spPr>
            <a:ln w="25400" cap="rnd">
              <a:solidFill>
                <a:srgbClr val="00C994"/>
              </a:solidFill>
              <a:prstDash val="solid"/>
              <a:round/>
            </a:ln>
            <a:effectLst/>
          </c:spPr>
          <c:marker>
            <c:symbol val="none"/>
          </c:marker>
          <c:cat>
            <c:strRef>
              <c:f>'Market BB quarts'!$AD$2:$AI$2</c:f>
              <c:strCache>
                <c:ptCount val="6"/>
                <c:pt idx="0">
                  <c:v>Q1 21</c:v>
                </c:pt>
                <c:pt idx="1">
                  <c:v>Q2 21</c:v>
                </c:pt>
                <c:pt idx="2">
                  <c:v>Q3 21</c:v>
                </c:pt>
                <c:pt idx="3">
                  <c:v>Q4 21</c:v>
                </c:pt>
                <c:pt idx="4">
                  <c:v>Q1 22</c:v>
                </c:pt>
                <c:pt idx="5">
                  <c:v>Q2 22</c:v>
                </c:pt>
              </c:strCache>
            </c:strRef>
          </c:cat>
          <c:val>
            <c:numRef>
              <c:f>'Market BB quarts'!$AD$7:$AI$7</c:f>
              <c:numCache>
                <c:formatCode>0.0%</c:formatCode>
                <c:ptCount val="6"/>
                <c:pt idx="0">
                  <c:v>8.3717934453864551E-2</c:v>
                </c:pt>
                <c:pt idx="1">
                  <c:v>8.407505888090161E-2</c:v>
                </c:pt>
                <c:pt idx="2">
                  <c:v>8.9223504091435313E-2</c:v>
                </c:pt>
                <c:pt idx="3">
                  <c:v>8.1346580627645881E-2</c:v>
                </c:pt>
                <c:pt idx="4">
                  <c:v>5.9231388473502067E-2</c:v>
                </c:pt>
                <c:pt idx="5">
                  <c:v>6.2235140562248992E-2</c:v>
                </c:pt>
              </c:numCache>
            </c:numRef>
          </c:val>
          <c:smooth val="0"/>
          <c:extLst>
            <c:ext xmlns:c16="http://schemas.microsoft.com/office/drawing/2014/chart" uri="{C3380CC4-5D6E-409C-BE32-E72D297353CC}">
              <c16:uniqueId val="{00000004-AA9F-4220-8BB6-4B8468A3A278}"/>
            </c:ext>
          </c:extLst>
        </c:ser>
        <c:dLbls>
          <c:showLegendKey val="0"/>
          <c:showVal val="0"/>
          <c:showCatName val="0"/>
          <c:showSerName val="0"/>
          <c:showPercent val="0"/>
          <c:showBubbleSize val="0"/>
        </c:dLbls>
        <c:smooth val="0"/>
        <c:axId val="23546975"/>
        <c:axId val="23535743"/>
      </c:lineChart>
      <c:catAx>
        <c:axId val="23546975"/>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23535743"/>
        <c:crosses val="autoZero"/>
        <c:auto val="1"/>
        <c:lblAlgn val="ctr"/>
        <c:lblOffset val="100"/>
        <c:noMultiLvlLbl val="0"/>
      </c:catAx>
      <c:valAx>
        <c:axId val="23535743"/>
        <c:scaling>
          <c:orientation val="minMax"/>
        </c:scaling>
        <c:delete val="1"/>
        <c:axPos val="l"/>
        <c:numFmt formatCode="0.0%" sourceLinked="1"/>
        <c:majorTickMark val="out"/>
        <c:minorTickMark val="none"/>
        <c:tickLblPos val="nextTo"/>
        <c:crossAx val="23546975"/>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Analysis!$C$477</c:f>
              <c:strCache>
                <c:ptCount val="1"/>
                <c:pt idx="0">
                  <c:v>Totalplay</c:v>
                </c:pt>
              </c:strCache>
            </c:strRef>
          </c:tx>
          <c:spPr>
            <a:solidFill>
              <a:srgbClr val="000080"/>
            </a:solidFill>
            <a:ln w="25400">
              <a:noFill/>
            </a:ln>
            <a:effectLst/>
          </c:spPr>
          <c:invertIfNegative val="0"/>
          <c:cat>
            <c:multiLvlStrRef>
              <c:f>'Market BB quarts'!$D$2:$K$2</c:f>
            </c:multiLvlStrRef>
          </c:cat>
          <c:val>
            <c:numRef>
              <c:f>Analysis!$E$477:$L$477</c:f>
              <c:numCache>
                <c:formatCode>#,##0</c:formatCode>
                <c:ptCount val="8"/>
                <c:pt idx="0">
                  <c:v>254.07012666048809</c:v>
                </c:pt>
                <c:pt idx="1">
                  <c:v>277.43589743589746</c:v>
                </c:pt>
                <c:pt idx="2">
                  <c:v>289</c:v>
                </c:pt>
                <c:pt idx="3">
                  <c:v>251</c:v>
                </c:pt>
                <c:pt idx="4">
                  <c:v>234</c:v>
                </c:pt>
                <c:pt idx="5">
                  <c:v>279</c:v>
                </c:pt>
                <c:pt idx="6">
                  <c:v>250</c:v>
                </c:pt>
                <c:pt idx="7">
                  <c:v>274</c:v>
                </c:pt>
              </c:numCache>
            </c:numRef>
          </c:val>
          <c:extLst>
            <c:ext xmlns:c16="http://schemas.microsoft.com/office/drawing/2014/chart" uri="{C3380CC4-5D6E-409C-BE32-E72D297353CC}">
              <c16:uniqueId val="{00000000-9FC4-4228-AE83-D60F1972CFFD}"/>
            </c:ext>
          </c:extLst>
        </c:ser>
        <c:ser>
          <c:idx val="1"/>
          <c:order val="1"/>
          <c:tx>
            <c:strRef>
              <c:f>Analysis!$C$478</c:f>
              <c:strCache>
                <c:ptCount val="1"/>
                <c:pt idx="0">
                  <c:v>MEGA</c:v>
                </c:pt>
              </c:strCache>
            </c:strRef>
          </c:tx>
          <c:spPr>
            <a:solidFill>
              <a:srgbClr val="9999FF"/>
            </a:solidFill>
            <a:ln w="25400">
              <a:noFill/>
            </a:ln>
            <a:effectLst/>
          </c:spPr>
          <c:invertIfNegative val="0"/>
          <c:cat>
            <c:multiLvlStrRef>
              <c:f>'Market BB quarts'!$D$2:$K$2</c:f>
            </c:multiLvlStrRef>
          </c:cat>
          <c:val>
            <c:numRef>
              <c:f>Analysis!$E$478:$L$478</c:f>
              <c:numCache>
                <c:formatCode>#,##0</c:formatCode>
                <c:ptCount val="8"/>
                <c:pt idx="0">
                  <c:v>83.019000000000233</c:v>
                </c:pt>
                <c:pt idx="1">
                  <c:v>184.5949999999998</c:v>
                </c:pt>
                <c:pt idx="2">
                  <c:v>96.329000000000178</c:v>
                </c:pt>
                <c:pt idx="3">
                  <c:v>79.415999999999713</c:v>
                </c:pt>
                <c:pt idx="4">
                  <c:v>58.160000000000309</c:v>
                </c:pt>
                <c:pt idx="5">
                  <c:v>105.01199999999972</c:v>
                </c:pt>
                <c:pt idx="6">
                  <c:v>80.981000000000222</c:v>
                </c:pt>
                <c:pt idx="7">
                  <c:v>59.403999999999996</c:v>
                </c:pt>
              </c:numCache>
            </c:numRef>
          </c:val>
          <c:extLst>
            <c:ext xmlns:c16="http://schemas.microsoft.com/office/drawing/2014/chart" uri="{C3380CC4-5D6E-409C-BE32-E72D297353CC}">
              <c16:uniqueId val="{00000001-9FC4-4228-AE83-D60F1972CFFD}"/>
            </c:ext>
          </c:extLst>
        </c:ser>
        <c:ser>
          <c:idx val="2"/>
          <c:order val="2"/>
          <c:tx>
            <c:strRef>
              <c:f>Analysis!$C$479</c:f>
              <c:strCache>
                <c:ptCount val="1"/>
                <c:pt idx="0">
                  <c:v>Televisa</c:v>
                </c:pt>
              </c:strCache>
            </c:strRef>
          </c:tx>
          <c:spPr>
            <a:solidFill>
              <a:srgbClr val="3366FF"/>
            </a:solidFill>
            <a:ln w="25400">
              <a:noFill/>
            </a:ln>
            <a:effectLst/>
          </c:spPr>
          <c:invertIfNegative val="0"/>
          <c:cat>
            <c:multiLvlStrRef>
              <c:f>'Market BB quarts'!$D$2:$K$2</c:f>
            </c:multiLvlStrRef>
          </c:cat>
          <c:val>
            <c:numRef>
              <c:f>Analysis!$E$479:$L$479</c:f>
              <c:numCache>
                <c:formatCode>#,##0</c:formatCode>
                <c:ptCount val="8"/>
                <c:pt idx="0">
                  <c:v>252</c:v>
                </c:pt>
                <c:pt idx="1">
                  <c:v>234</c:v>
                </c:pt>
                <c:pt idx="2">
                  <c:v>128.80057500770636</c:v>
                </c:pt>
                <c:pt idx="3">
                  <c:v>103.19942499229364</c:v>
                </c:pt>
                <c:pt idx="4">
                  <c:v>31</c:v>
                </c:pt>
                <c:pt idx="5">
                  <c:v>25</c:v>
                </c:pt>
                <c:pt idx="6">
                  <c:v>58.101999999999862</c:v>
                </c:pt>
                <c:pt idx="7">
                  <c:v>82.923999999999978</c:v>
                </c:pt>
              </c:numCache>
            </c:numRef>
          </c:val>
          <c:extLst>
            <c:ext xmlns:c16="http://schemas.microsoft.com/office/drawing/2014/chart" uri="{C3380CC4-5D6E-409C-BE32-E72D297353CC}">
              <c16:uniqueId val="{00000002-9FC4-4228-AE83-D60F1972CFFD}"/>
            </c:ext>
          </c:extLst>
        </c:ser>
        <c:ser>
          <c:idx val="3"/>
          <c:order val="3"/>
          <c:tx>
            <c:strRef>
              <c:f>Analysis!$C$480</c:f>
              <c:strCache>
                <c:ptCount val="1"/>
                <c:pt idx="0">
                  <c:v>Telmex</c:v>
                </c:pt>
              </c:strCache>
            </c:strRef>
          </c:tx>
          <c:spPr>
            <a:solidFill>
              <a:srgbClr val="CCCCFF"/>
            </a:solidFill>
            <a:ln w="25400">
              <a:noFill/>
            </a:ln>
            <a:effectLst/>
          </c:spPr>
          <c:invertIfNegative val="0"/>
          <c:cat>
            <c:multiLvlStrRef>
              <c:f>'Market BB quarts'!$D$2:$K$2</c:f>
            </c:multiLvlStrRef>
          </c:cat>
          <c:val>
            <c:numRef>
              <c:f>Analysis!$E$480:$L$480</c:f>
              <c:numCache>
                <c:formatCode>#,##0</c:formatCode>
                <c:ptCount val="8"/>
                <c:pt idx="0">
                  <c:v>63</c:v>
                </c:pt>
                <c:pt idx="1">
                  <c:v>117</c:v>
                </c:pt>
                <c:pt idx="2">
                  <c:v>33</c:v>
                </c:pt>
                <c:pt idx="3">
                  <c:v>-19</c:v>
                </c:pt>
                <c:pt idx="4">
                  <c:v>-38</c:v>
                </c:pt>
                <c:pt idx="5">
                  <c:v>94</c:v>
                </c:pt>
                <c:pt idx="6">
                  <c:v>-11</c:v>
                </c:pt>
                <c:pt idx="7">
                  <c:v>63</c:v>
                </c:pt>
              </c:numCache>
            </c:numRef>
          </c:val>
          <c:extLst>
            <c:ext xmlns:c16="http://schemas.microsoft.com/office/drawing/2014/chart" uri="{C3380CC4-5D6E-409C-BE32-E72D297353CC}">
              <c16:uniqueId val="{00000003-9FC4-4228-AE83-D60F1972CFFD}"/>
            </c:ext>
          </c:extLst>
        </c:ser>
        <c:dLbls>
          <c:showLegendKey val="0"/>
          <c:showVal val="0"/>
          <c:showCatName val="0"/>
          <c:showSerName val="0"/>
          <c:showPercent val="0"/>
          <c:showBubbleSize val="0"/>
        </c:dLbls>
        <c:gapWidth val="219"/>
        <c:overlap val="-27"/>
        <c:axId val="1623347824"/>
        <c:axId val="1623355728"/>
      </c:barChart>
      <c:catAx>
        <c:axId val="1623347824"/>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623355728"/>
        <c:crosses val="autoZero"/>
        <c:auto val="1"/>
        <c:lblAlgn val="ctr"/>
        <c:lblOffset val="100"/>
        <c:noMultiLvlLbl val="0"/>
      </c:catAx>
      <c:valAx>
        <c:axId val="162335572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62334782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Analysis!$C$598</c:f>
              <c:strCache>
                <c:ptCount val="1"/>
                <c:pt idx="0">
                  <c:v>Base case capex</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Analysis!$F$595:$I$595</c:f>
              <c:numCache>
                <c:formatCode>General</c:formatCode>
                <c:ptCount val="4"/>
                <c:pt idx="0">
                  <c:v>2023</c:v>
                </c:pt>
                <c:pt idx="1">
                  <c:v>2024</c:v>
                </c:pt>
                <c:pt idx="2">
                  <c:v>2025</c:v>
                </c:pt>
                <c:pt idx="3">
                  <c:v>2026</c:v>
                </c:pt>
              </c:numCache>
            </c:numRef>
          </c:cat>
          <c:val>
            <c:numRef>
              <c:f>Analysis!$F$599:$I$599</c:f>
              <c:numCache>
                <c:formatCode>0%</c:formatCode>
                <c:ptCount val="4"/>
                <c:pt idx="0">
                  <c:v>0.43350404780094365</c:v>
                </c:pt>
                <c:pt idx="1">
                  <c:v>0.31485179676237351</c:v>
                </c:pt>
                <c:pt idx="2">
                  <c:v>0.25931321481321751</c:v>
                </c:pt>
                <c:pt idx="3">
                  <c:v>0.2525</c:v>
                </c:pt>
              </c:numCache>
            </c:numRef>
          </c:val>
          <c:smooth val="0"/>
          <c:extLst>
            <c:ext xmlns:c16="http://schemas.microsoft.com/office/drawing/2014/chart" uri="{C3380CC4-5D6E-409C-BE32-E72D297353CC}">
              <c16:uniqueId val="{00000000-A6B2-4ADE-B024-42E6C26A473A}"/>
            </c:ext>
          </c:extLst>
        </c:ser>
        <c:ser>
          <c:idx val="1"/>
          <c:order val="1"/>
          <c:tx>
            <c:strRef>
              <c:f>Analysis!$C$604</c:f>
              <c:strCache>
                <c:ptCount val="1"/>
                <c:pt idx="0">
                  <c:v>Normalised capex</c:v>
                </c:pt>
              </c:strCache>
            </c:strRef>
          </c:tx>
          <c:spPr>
            <a:ln w="25400" cap="rnd">
              <a:solidFill>
                <a:srgbClr val="79909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Analysis!$F$595:$I$595</c:f>
              <c:numCache>
                <c:formatCode>General</c:formatCode>
                <c:ptCount val="4"/>
                <c:pt idx="0">
                  <c:v>2023</c:v>
                </c:pt>
                <c:pt idx="1">
                  <c:v>2024</c:v>
                </c:pt>
                <c:pt idx="2">
                  <c:v>2025</c:v>
                </c:pt>
                <c:pt idx="3">
                  <c:v>2026</c:v>
                </c:pt>
              </c:numCache>
            </c:numRef>
          </c:cat>
          <c:val>
            <c:numRef>
              <c:f>Analysis!$F$603:$I$603</c:f>
              <c:numCache>
                <c:formatCode>0%</c:formatCode>
                <c:ptCount val="4"/>
                <c:pt idx="0">
                  <c:v>0.22500000000000001</c:v>
                </c:pt>
                <c:pt idx="1">
                  <c:v>0.22500000000000001</c:v>
                </c:pt>
                <c:pt idx="2">
                  <c:v>0.22500000000000001</c:v>
                </c:pt>
                <c:pt idx="3">
                  <c:v>0.22500000000000001</c:v>
                </c:pt>
              </c:numCache>
            </c:numRef>
          </c:val>
          <c:smooth val="0"/>
          <c:extLst>
            <c:ext xmlns:c16="http://schemas.microsoft.com/office/drawing/2014/chart" uri="{C3380CC4-5D6E-409C-BE32-E72D297353CC}">
              <c16:uniqueId val="{00000001-A6B2-4ADE-B024-42E6C26A473A}"/>
            </c:ext>
          </c:extLst>
        </c:ser>
        <c:dLbls>
          <c:showLegendKey val="0"/>
          <c:showVal val="0"/>
          <c:showCatName val="0"/>
          <c:showSerName val="0"/>
          <c:showPercent val="0"/>
          <c:showBubbleSize val="0"/>
        </c:dLbls>
        <c:smooth val="0"/>
        <c:axId val="1681059712"/>
        <c:axId val="1681070528"/>
      </c:lineChart>
      <c:catAx>
        <c:axId val="1681059712"/>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681070528"/>
        <c:crosses val="autoZero"/>
        <c:auto val="1"/>
        <c:lblAlgn val="ctr"/>
        <c:lblOffset val="100"/>
        <c:noMultiLvlLbl val="0"/>
      </c:catAx>
      <c:valAx>
        <c:axId val="1681070528"/>
        <c:scaling>
          <c:orientation val="minMax"/>
        </c:scaling>
        <c:delete val="1"/>
        <c:axPos val="l"/>
        <c:numFmt formatCode="0%" sourceLinked="1"/>
        <c:majorTickMark val="out"/>
        <c:minorTickMark val="none"/>
        <c:tickLblPos val="nextTo"/>
        <c:crossAx val="168105971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Analysis!$C$612</c:f>
              <c:strCache>
                <c:ptCount val="1"/>
                <c:pt idx="0">
                  <c:v>MEGA</c:v>
                </c:pt>
              </c:strCache>
            </c:strRef>
          </c:tx>
          <c:spPr>
            <a:ln w="25400" cap="rnd">
              <a:solidFill>
                <a:srgbClr val="263238"/>
              </a:solidFill>
              <a:prstDash val="solid"/>
              <a:round/>
            </a:ln>
            <a:effectLst/>
          </c:spPr>
          <c:marker>
            <c:symbol val="none"/>
          </c:marker>
          <c:cat>
            <c:numRef>
              <c:f>Analysis!$D$611:$K$611</c:f>
              <c:numCache>
                <c:formatCode>General</c:formatCode>
                <c:ptCount val="8"/>
                <c:pt idx="0">
                  <c:v>2023</c:v>
                </c:pt>
                <c:pt idx="1">
                  <c:v>2024</c:v>
                </c:pt>
                <c:pt idx="2">
                  <c:v>2025</c:v>
                </c:pt>
                <c:pt idx="3">
                  <c:v>2026</c:v>
                </c:pt>
                <c:pt idx="4">
                  <c:v>2027</c:v>
                </c:pt>
                <c:pt idx="5">
                  <c:v>2028</c:v>
                </c:pt>
                <c:pt idx="6">
                  <c:v>2029</c:v>
                </c:pt>
                <c:pt idx="7">
                  <c:v>2030</c:v>
                </c:pt>
              </c:numCache>
            </c:numRef>
          </c:cat>
          <c:val>
            <c:numRef>
              <c:f>Analysis!$D$612:$K$612</c:f>
              <c:numCache>
                <c:formatCode>0.0%</c:formatCode>
                <c:ptCount val="8"/>
                <c:pt idx="0">
                  <c:v>0.44592407770331571</c:v>
                </c:pt>
                <c:pt idx="1">
                  <c:v>0.44547732141386848</c:v>
                </c:pt>
                <c:pt idx="2">
                  <c:v>0.44979295625055921</c:v>
                </c:pt>
                <c:pt idx="3">
                  <c:v>0.45000000000000007</c:v>
                </c:pt>
                <c:pt idx="4">
                  <c:v>0.46000000000000008</c:v>
                </c:pt>
                <c:pt idx="5">
                  <c:v>0.47</c:v>
                </c:pt>
                <c:pt idx="6">
                  <c:v>0.47499999999999998</c:v>
                </c:pt>
                <c:pt idx="7">
                  <c:v>0.48</c:v>
                </c:pt>
              </c:numCache>
            </c:numRef>
          </c:val>
          <c:smooth val="0"/>
          <c:extLst>
            <c:ext xmlns:c16="http://schemas.microsoft.com/office/drawing/2014/chart" uri="{C3380CC4-5D6E-409C-BE32-E72D297353CC}">
              <c16:uniqueId val="{00000000-86A4-438C-845E-2E256045D26F}"/>
            </c:ext>
          </c:extLst>
        </c:ser>
        <c:ser>
          <c:idx val="1"/>
          <c:order val="1"/>
          <c:tx>
            <c:strRef>
              <c:f>Analysis!$C$613</c:f>
              <c:strCache>
                <c:ptCount val="1"/>
                <c:pt idx="0">
                  <c:v>TV</c:v>
                </c:pt>
              </c:strCache>
            </c:strRef>
          </c:tx>
          <c:spPr>
            <a:ln w="25400" cap="rnd">
              <a:solidFill>
                <a:srgbClr val="F9663E"/>
              </a:solidFill>
              <a:prstDash val="solid"/>
              <a:round/>
            </a:ln>
            <a:effectLst/>
          </c:spPr>
          <c:marker>
            <c:symbol val="none"/>
          </c:marker>
          <c:cat>
            <c:numRef>
              <c:f>Analysis!$D$611:$K$611</c:f>
              <c:numCache>
                <c:formatCode>General</c:formatCode>
                <c:ptCount val="8"/>
                <c:pt idx="0">
                  <c:v>2023</c:v>
                </c:pt>
                <c:pt idx="1">
                  <c:v>2024</c:v>
                </c:pt>
                <c:pt idx="2">
                  <c:v>2025</c:v>
                </c:pt>
                <c:pt idx="3">
                  <c:v>2026</c:v>
                </c:pt>
                <c:pt idx="4">
                  <c:v>2027</c:v>
                </c:pt>
                <c:pt idx="5">
                  <c:v>2028</c:v>
                </c:pt>
                <c:pt idx="6">
                  <c:v>2029</c:v>
                </c:pt>
                <c:pt idx="7">
                  <c:v>2030</c:v>
                </c:pt>
              </c:numCache>
            </c:numRef>
          </c:cat>
          <c:val>
            <c:numRef>
              <c:f>Analysis!$D$613:$K$613</c:f>
              <c:numCache>
                <c:formatCode>0.0%</c:formatCode>
                <c:ptCount val="8"/>
                <c:pt idx="0">
                  <c:v>0.38150000000000001</c:v>
                </c:pt>
                <c:pt idx="1">
                  <c:v>0.3805</c:v>
                </c:pt>
                <c:pt idx="2">
                  <c:v>0.3795</c:v>
                </c:pt>
                <c:pt idx="3">
                  <c:v>0.3785</c:v>
                </c:pt>
                <c:pt idx="4">
                  <c:v>0.3775</c:v>
                </c:pt>
                <c:pt idx="5">
                  <c:v>0.3775</c:v>
                </c:pt>
                <c:pt idx="6">
                  <c:v>0.3775</c:v>
                </c:pt>
                <c:pt idx="7">
                  <c:v>0.3775</c:v>
                </c:pt>
              </c:numCache>
            </c:numRef>
          </c:val>
          <c:smooth val="0"/>
          <c:extLst>
            <c:ext xmlns:c16="http://schemas.microsoft.com/office/drawing/2014/chart" uri="{C3380CC4-5D6E-409C-BE32-E72D297353CC}">
              <c16:uniqueId val="{00000001-86A4-438C-845E-2E256045D26F}"/>
            </c:ext>
          </c:extLst>
        </c:ser>
        <c:ser>
          <c:idx val="2"/>
          <c:order val="2"/>
          <c:tx>
            <c:strRef>
              <c:f>Analysis!$C$614</c:f>
              <c:strCache>
                <c:ptCount val="1"/>
                <c:pt idx="0">
                  <c:v>New Co </c:v>
                </c:pt>
              </c:strCache>
            </c:strRef>
          </c:tx>
          <c:spPr>
            <a:ln w="25400" cap="rnd">
              <a:solidFill>
                <a:srgbClr val="009999"/>
              </a:solidFill>
              <a:prstDash val="solid"/>
              <a:round/>
            </a:ln>
            <a:effectLst/>
          </c:spPr>
          <c:marker>
            <c:symbol val="none"/>
          </c:marker>
          <c:cat>
            <c:numRef>
              <c:f>Analysis!$D$611:$K$611</c:f>
              <c:numCache>
                <c:formatCode>General</c:formatCode>
                <c:ptCount val="8"/>
                <c:pt idx="0">
                  <c:v>2023</c:v>
                </c:pt>
                <c:pt idx="1">
                  <c:v>2024</c:v>
                </c:pt>
                <c:pt idx="2">
                  <c:v>2025</c:v>
                </c:pt>
                <c:pt idx="3">
                  <c:v>2026</c:v>
                </c:pt>
                <c:pt idx="4">
                  <c:v>2027</c:v>
                </c:pt>
                <c:pt idx="5">
                  <c:v>2028</c:v>
                </c:pt>
                <c:pt idx="6">
                  <c:v>2029</c:v>
                </c:pt>
                <c:pt idx="7">
                  <c:v>2030</c:v>
                </c:pt>
              </c:numCache>
            </c:numRef>
          </c:cat>
          <c:val>
            <c:numRef>
              <c:f>Analysis!$D$614:$K$614</c:f>
              <c:numCache>
                <c:formatCode>0.0%</c:formatCode>
                <c:ptCount val="8"/>
                <c:pt idx="0">
                  <c:v>0.42243535877910476</c:v>
                </c:pt>
                <c:pt idx="1">
                  <c:v>0.42707395804223747</c:v>
                </c:pt>
                <c:pt idx="2">
                  <c:v>0.44959373086232957</c:v>
                </c:pt>
                <c:pt idx="3">
                  <c:v>0.47330599763641779</c:v>
                </c:pt>
                <c:pt idx="4">
                  <c:v>0.47430599763641779</c:v>
                </c:pt>
                <c:pt idx="5">
                  <c:v>0.47530599763641779</c:v>
                </c:pt>
                <c:pt idx="6">
                  <c:v>0.47630599763641779</c:v>
                </c:pt>
                <c:pt idx="7">
                  <c:v>0.47730599763641779</c:v>
                </c:pt>
              </c:numCache>
            </c:numRef>
          </c:val>
          <c:smooth val="0"/>
          <c:extLst>
            <c:ext xmlns:c16="http://schemas.microsoft.com/office/drawing/2014/chart" uri="{C3380CC4-5D6E-409C-BE32-E72D297353CC}">
              <c16:uniqueId val="{00000002-86A4-438C-845E-2E256045D26F}"/>
            </c:ext>
          </c:extLst>
        </c:ser>
        <c:dLbls>
          <c:showLegendKey val="0"/>
          <c:showVal val="0"/>
          <c:showCatName val="0"/>
          <c:showSerName val="0"/>
          <c:showPercent val="0"/>
          <c:showBubbleSize val="0"/>
        </c:dLbls>
        <c:smooth val="0"/>
        <c:axId val="1261317808"/>
        <c:axId val="1424695888"/>
      </c:lineChart>
      <c:catAx>
        <c:axId val="1261317808"/>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424695888"/>
        <c:crosses val="autoZero"/>
        <c:auto val="1"/>
        <c:lblAlgn val="ctr"/>
        <c:lblOffset val="100"/>
        <c:noMultiLvlLbl val="0"/>
      </c:catAx>
      <c:valAx>
        <c:axId val="1424695888"/>
        <c:scaling>
          <c:orientation val="minMax"/>
          <c:min val="0.30000000000000004"/>
        </c:scaling>
        <c:delete val="0"/>
        <c:axPos val="l"/>
        <c:numFmt formatCode="0.0%" sourceLinked="1"/>
        <c:majorTickMark val="out"/>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26131780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Analysis!$C$617</c:f>
              <c:strCache>
                <c:ptCount val="1"/>
                <c:pt idx="0">
                  <c:v>MEGA</c:v>
                </c:pt>
              </c:strCache>
            </c:strRef>
          </c:tx>
          <c:spPr>
            <a:ln w="25400" cap="rnd">
              <a:solidFill>
                <a:srgbClr val="263238"/>
              </a:solidFill>
              <a:prstDash val="solid"/>
              <a:round/>
            </a:ln>
            <a:effectLst/>
          </c:spPr>
          <c:marker>
            <c:symbol val="none"/>
          </c:marker>
          <c:cat>
            <c:numRef>
              <c:f>Analysis!$D$611:$K$611</c:f>
              <c:numCache>
                <c:formatCode>General</c:formatCode>
                <c:ptCount val="8"/>
                <c:pt idx="0">
                  <c:v>2023</c:v>
                </c:pt>
                <c:pt idx="1">
                  <c:v>2024</c:v>
                </c:pt>
                <c:pt idx="2">
                  <c:v>2025</c:v>
                </c:pt>
                <c:pt idx="3">
                  <c:v>2026</c:v>
                </c:pt>
                <c:pt idx="4">
                  <c:v>2027</c:v>
                </c:pt>
                <c:pt idx="5">
                  <c:v>2028</c:v>
                </c:pt>
                <c:pt idx="6">
                  <c:v>2029</c:v>
                </c:pt>
                <c:pt idx="7">
                  <c:v>2030</c:v>
                </c:pt>
              </c:numCache>
            </c:numRef>
          </c:cat>
          <c:val>
            <c:numRef>
              <c:f>Analysis!$D$617:$K$617</c:f>
              <c:numCache>
                <c:formatCode>0.0%</c:formatCode>
                <c:ptCount val="8"/>
                <c:pt idx="0">
                  <c:v>0.43350404780094365</c:v>
                </c:pt>
                <c:pt idx="1">
                  <c:v>0.31485179676237351</c:v>
                </c:pt>
                <c:pt idx="2">
                  <c:v>0.25931321481321751</c:v>
                </c:pt>
                <c:pt idx="3">
                  <c:v>0.2525</c:v>
                </c:pt>
                <c:pt idx="4">
                  <c:v>0.24</c:v>
                </c:pt>
                <c:pt idx="5">
                  <c:v>0.23</c:v>
                </c:pt>
                <c:pt idx="6">
                  <c:v>0.21999999999999997</c:v>
                </c:pt>
                <c:pt idx="7">
                  <c:v>0.20999999999999996</c:v>
                </c:pt>
              </c:numCache>
            </c:numRef>
          </c:val>
          <c:smooth val="0"/>
          <c:extLst>
            <c:ext xmlns:c16="http://schemas.microsoft.com/office/drawing/2014/chart" uri="{C3380CC4-5D6E-409C-BE32-E72D297353CC}">
              <c16:uniqueId val="{00000000-AB16-4D0C-B23F-8B870AFA0CE4}"/>
            </c:ext>
          </c:extLst>
        </c:ser>
        <c:ser>
          <c:idx val="1"/>
          <c:order val="1"/>
          <c:tx>
            <c:strRef>
              <c:f>Analysis!$C$618</c:f>
              <c:strCache>
                <c:ptCount val="1"/>
                <c:pt idx="0">
                  <c:v>TV</c:v>
                </c:pt>
              </c:strCache>
            </c:strRef>
          </c:tx>
          <c:spPr>
            <a:ln w="25400" cap="rnd">
              <a:solidFill>
                <a:srgbClr val="F9663E"/>
              </a:solidFill>
              <a:prstDash val="solid"/>
              <a:round/>
            </a:ln>
            <a:effectLst/>
          </c:spPr>
          <c:marker>
            <c:symbol val="none"/>
          </c:marker>
          <c:cat>
            <c:numRef>
              <c:f>Analysis!$D$611:$K$611</c:f>
              <c:numCache>
                <c:formatCode>General</c:formatCode>
                <c:ptCount val="8"/>
                <c:pt idx="0">
                  <c:v>2023</c:v>
                </c:pt>
                <c:pt idx="1">
                  <c:v>2024</c:v>
                </c:pt>
                <c:pt idx="2">
                  <c:v>2025</c:v>
                </c:pt>
                <c:pt idx="3">
                  <c:v>2026</c:v>
                </c:pt>
                <c:pt idx="4">
                  <c:v>2027</c:v>
                </c:pt>
                <c:pt idx="5">
                  <c:v>2028</c:v>
                </c:pt>
                <c:pt idx="6">
                  <c:v>2029</c:v>
                </c:pt>
                <c:pt idx="7">
                  <c:v>2030</c:v>
                </c:pt>
              </c:numCache>
            </c:numRef>
          </c:cat>
          <c:val>
            <c:numRef>
              <c:f>Analysis!$D$618:$K$618</c:f>
              <c:numCache>
                <c:formatCode>0.0%</c:formatCode>
                <c:ptCount val="8"/>
                <c:pt idx="0">
                  <c:v>0.22500000000000003</c:v>
                </c:pt>
                <c:pt idx="1">
                  <c:v>0.22</c:v>
                </c:pt>
                <c:pt idx="2">
                  <c:v>0.22</c:v>
                </c:pt>
                <c:pt idx="3">
                  <c:v>0.22</c:v>
                </c:pt>
                <c:pt idx="4">
                  <c:v>0.22</c:v>
                </c:pt>
                <c:pt idx="5">
                  <c:v>0.22</c:v>
                </c:pt>
                <c:pt idx="6">
                  <c:v>0.22</c:v>
                </c:pt>
                <c:pt idx="7">
                  <c:v>0.22</c:v>
                </c:pt>
              </c:numCache>
            </c:numRef>
          </c:val>
          <c:smooth val="0"/>
          <c:extLst>
            <c:ext xmlns:c16="http://schemas.microsoft.com/office/drawing/2014/chart" uri="{C3380CC4-5D6E-409C-BE32-E72D297353CC}">
              <c16:uniqueId val="{00000001-AB16-4D0C-B23F-8B870AFA0CE4}"/>
            </c:ext>
          </c:extLst>
        </c:ser>
        <c:ser>
          <c:idx val="2"/>
          <c:order val="2"/>
          <c:tx>
            <c:strRef>
              <c:f>Analysis!$C$619</c:f>
              <c:strCache>
                <c:ptCount val="1"/>
                <c:pt idx="0">
                  <c:v>New Co </c:v>
                </c:pt>
              </c:strCache>
            </c:strRef>
          </c:tx>
          <c:spPr>
            <a:ln w="25400" cap="rnd">
              <a:solidFill>
                <a:srgbClr val="009999"/>
              </a:solidFill>
              <a:prstDash val="solid"/>
              <a:round/>
            </a:ln>
            <a:effectLst/>
          </c:spPr>
          <c:marker>
            <c:symbol val="none"/>
          </c:marker>
          <c:cat>
            <c:numRef>
              <c:f>Analysis!$D$611:$K$611</c:f>
              <c:numCache>
                <c:formatCode>General</c:formatCode>
                <c:ptCount val="8"/>
                <c:pt idx="0">
                  <c:v>2023</c:v>
                </c:pt>
                <c:pt idx="1">
                  <c:v>2024</c:v>
                </c:pt>
                <c:pt idx="2">
                  <c:v>2025</c:v>
                </c:pt>
                <c:pt idx="3">
                  <c:v>2026</c:v>
                </c:pt>
                <c:pt idx="4">
                  <c:v>2027</c:v>
                </c:pt>
                <c:pt idx="5">
                  <c:v>2028</c:v>
                </c:pt>
                <c:pt idx="6">
                  <c:v>2029</c:v>
                </c:pt>
                <c:pt idx="7">
                  <c:v>2030</c:v>
                </c:pt>
              </c:numCache>
            </c:numRef>
          </c:cat>
          <c:val>
            <c:numRef>
              <c:f>Analysis!$D$619:$K$619</c:f>
              <c:numCache>
                <c:formatCode>0.0%</c:formatCode>
                <c:ptCount val="8"/>
                <c:pt idx="0">
                  <c:v>0.30382857110202438</c:v>
                </c:pt>
                <c:pt idx="1">
                  <c:v>0.25</c:v>
                </c:pt>
                <c:pt idx="2">
                  <c:v>0.23</c:v>
                </c:pt>
                <c:pt idx="3">
                  <c:v>0.22</c:v>
                </c:pt>
                <c:pt idx="4">
                  <c:v>0.22</c:v>
                </c:pt>
                <c:pt idx="5">
                  <c:v>0.22</c:v>
                </c:pt>
                <c:pt idx="6">
                  <c:v>0.21</c:v>
                </c:pt>
                <c:pt idx="7">
                  <c:v>0.2</c:v>
                </c:pt>
              </c:numCache>
            </c:numRef>
          </c:val>
          <c:smooth val="0"/>
          <c:extLst>
            <c:ext xmlns:c16="http://schemas.microsoft.com/office/drawing/2014/chart" uri="{C3380CC4-5D6E-409C-BE32-E72D297353CC}">
              <c16:uniqueId val="{00000002-AB16-4D0C-B23F-8B870AFA0CE4}"/>
            </c:ext>
          </c:extLst>
        </c:ser>
        <c:dLbls>
          <c:showLegendKey val="0"/>
          <c:showVal val="0"/>
          <c:showCatName val="0"/>
          <c:showSerName val="0"/>
          <c:showPercent val="0"/>
          <c:showBubbleSize val="0"/>
        </c:dLbls>
        <c:smooth val="0"/>
        <c:axId val="1261317808"/>
        <c:axId val="1424695888"/>
      </c:lineChart>
      <c:catAx>
        <c:axId val="1261317808"/>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424695888"/>
        <c:crosses val="autoZero"/>
        <c:auto val="1"/>
        <c:lblAlgn val="ctr"/>
        <c:lblOffset val="100"/>
        <c:noMultiLvlLbl val="0"/>
      </c:catAx>
      <c:valAx>
        <c:axId val="1424695888"/>
        <c:scaling>
          <c:orientation val="minMax"/>
        </c:scaling>
        <c:delete val="0"/>
        <c:axPos val="l"/>
        <c:numFmt formatCode="0.0%" sourceLinked="1"/>
        <c:majorTickMark val="out"/>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26131780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Analysis!$C$656:$C$659</c:f>
              <c:strCache>
                <c:ptCount val="4"/>
                <c:pt idx="0">
                  <c:v>Current share price</c:v>
                </c:pt>
                <c:pt idx="1">
                  <c:v>Standalone TP</c:v>
                </c:pt>
                <c:pt idx="2">
                  <c:v>TP with full merger benefits</c:v>
                </c:pt>
                <c:pt idx="3">
                  <c:v>TP 33% deal probability</c:v>
                </c:pt>
              </c:strCache>
            </c:strRef>
          </c:cat>
          <c:val>
            <c:numRef>
              <c:f>Analysis!$D$656:$D$659</c:f>
              <c:numCache>
                <c:formatCode>General</c:formatCode>
                <c:ptCount val="4"/>
                <c:pt idx="0" formatCode="0">
                  <c:v>39.47</c:v>
                </c:pt>
                <c:pt idx="1">
                  <c:v>45</c:v>
                </c:pt>
                <c:pt idx="2">
                  <c:v>74</c:v>
                </c:pt>
                <c:pt idx="3" formatCode="0">
                  <c:v>54.666666666666664</c:v>
                </c:pt>
              </c:numCache>
            </c:numRef>
          </c:val>
          <c:extLst>
            <c:ext xmlns:c16="http://schemas.microsoft.com/office/drawing/2014/chart" uri="{C3380CC4-5D6E-409C-BE32-E72D297353CC}">
              <c16:uniqueId val="{00000000-A325-4D22-BC1F-61EAC2BE42D9}"/>
            </c:ext>
          </c:extLst>
        </c:ser>
        <c:dLbls>
          <c:showLegendKey val="0"/>
          <c:showVal val="0"/>
          <c:showCatName val="0"/>
          <c:showSerName val="0"/>
          <c:showPercent val="0"/>
          <c:showBubbleSize val="0"/>
        </c:dLbls>
        <c:gapWidth val="30"/>
        <c:axId val="1495160607"/>
        <c:axId val="1495161855"/>
        <c:extLst/>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Analysis!$C$662:$C$665</c:f>
              <c:strCache>
                <c:ptCount val="4"/>
                <c:pt idx="0">
                  <c:v>Current share price</c:v>
                </c:pt>
                <c:pt idx="1">
                  <c:v>Standalone TP</c:v>
                </c:pt>
                <c:pt idx="2">
                  <c:v>TP with full merger benefits</c:v>
                </c:pt>
                <c:pt idx="3">
                  <c:v>TP 33% deal probability</c:v>
                </c:pt>
              </c:strCache>
            </c:strRef>
          </c:cat>
          <c:val>
            <c:numRef>
              <c:f>Analysis!$D$662:$D$665</c:f>
              <c:numCache>
                <c:formatCode>General</c:formatCode>
                <c:ptCount val="4"/>
                <c:pt idx="0" formatCode="0.0">
                  <c:v>2.6</c:v>
                </c:pt>
                <c:pt idx="1">
                  <c:v>3.1</c:v>
                </c:pt>
                <c:pt idx="2">
                  <c:v>4.9000000000000004</c:v>
                </c:pt>
                <c:pt idx="3" formatCode="0.0">
                  <c:v>3.7</c:v>
                </c:pt>
              </c:numCache>
            </c:numRef>
          </c:val>
          <c:extLst>
            <c:ext xmlns:c16="http://schemas.microsoft.com/office/drawing/2014/chart" uri="{C3380CC4-5D6E-409C-BE32-E72D297353CC}">
              <c16:uniqueId val="{00000000-DA8D-42D0-A60F-28286D03EF64}"/>
            </c:ext>
          </c:extLst>
        </c:ser>
        <c:dLbls>
          <c:showLegendKey val="0"/>
          <c:showVal val="0"/>
          <c:showCatName val="0"/>
          <c:showSerName val="0"/>
          <c:showPercent val="0"/>
          <c:showBubbleSize val="0"/>
        </c:dLbls>
        <c:gapWidth val="30"/>
        <c:axId val="1495160607"/>
        <c:axId val="1495161855"/>
        <c:extLst/>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Analysis!$C$686</c:f>
              <c:strCache>
                <c:ptCount val="1"/>
                <c:pt idx="0">
                  <c:v>Capex passed</c:v>
                </c:pt>
              </c:strCache>
            </c:strRef>
          </c:tx>
          <c:spPr>
            <a:solidFill>
              <a:srgbClr val="799098"/>
            </a:solidFill>
            <a:ln>
              <a:noFill/>
            </a:ln>
            <a:effectLst/>
            <a:extLst>
              <a:ext uri="{91240B29-F687-4F45-9708-019B960494DF}">
                <a14:hiddenLine xmlns:a14="http://schemas.microsoft.com/office/drawing/2010/main">
                  <a:noFill/>
                </a14:hiddenLine>
              </a:ext>
            </a:extLst>
          </c:spPr>
          <c:cat>
            <c:strRef>
              <c:f>Analysis!$H$669:$V$669</c:f>
              <c:strCache>
                <c:ptCount val="15"/>
                <c:pt idx="0">
                  <c:v>1Q22</c:v>
                </c:pt>
                <c:pt idx="1">
                  <c:v>2Q22</c:v>
                </c:pt>
                <c:pt idx="2">
                  <c:v>3Q22</c:v>
                </c:pt>
                <c:pt idx="3">
                  <c:v>4Q22</c:v>
                </c:pt>
                <c:pt idx="4">
                  <c:v>1Q23</c:v>
                </c:pt>
                <c:pt idx="5">
                  <c:v>2Q23</c:v>
                </c:pt>
                <c:pt idx="6">
                  <c:v>3Q23</c:v>
                </c:pt>
                <c:pt idx="7">
                  <c:v>4Q23</c:v>
                </c:pt>
                <c:pt idx="8">
                  <c:v>1Q24</c:v>
                </c:pt>
                <c:pt idx="9">
                  <c:v>2Q24</c:v>
                </c:pt>
                <c:pt idx="10">
                  <c:v>3Q24</c:v>
                </c:pt>
                <c:pt idx="11">
                  <c:v>4Q24</c:v>
                </c:pt>
                <c:pt idx="12">
                  <c:v>1Q25</c:v>
                </c:pt>
                <c:pt idx="13">
                  <c:v>2Q25</c:v>
                </c:pt>
                <c:pt idx="14">
                  <c:v>3Q25</c:v>
                </c:pt>
              </c:strCache>
            </c:strRef>
          </c:cat>
          <c:val>
            <c:numRef>
              <c:f>Analysis!$H$686:$W$686</c:f>
              <c:numCache>
                <c:formatCode>0</c:formatCode>
                <c:ptCount val="16"/>
                <c:pt idx="0">
                  <c:v>10.240334999999993</c:v>
                </c:pt>
                <c:pt idx="1">
                  <c:v>36.397424999999998</c:v>
                </c:pt>
                <c:pt idx="2">
                  <c:v>37.515003999999948</c:v>
                </c:pt>
                <c:pt idx="3">
                  <c:v>80.491320000000101</c:v>
                </c:pt>
                <c:pt idx="4">
                  <c:v>73.261439999999894</c:v>
                </c:pt>
                <c:pt idx="5">
                  <c:v>74.160394000000082</c:v>
                </c:pt>
                <c:pt idx="6">
                  <c:v>82.642349999999951</c:v>
                </c:pt>
                <c:pt idx="7">
                  <c:v>66.398174999999938</c:v>
                </c:pt>
                <c:pt idx="8">
                  <c:v>38.51332500000003</c:v>
                </c:pt>
                <c:pt idx="9">
                  <c:v>41.792025000000059</c:v>
                </c:pt>
                <c:pt idx="10">
                  <c:v>36.711749999999846</c:v>
                </c:pt>
                <c:pt idx="11">
                  <c:v>32.34375</c:v>
                </c:pt>
                <c:pt idx="12">
                  <c:v>10.686300000000028</c:v>
                </c:pt>
                <c:pt idx="13">
                  <c:v>40.39095000000016</c:v>
                </c:pt>
                <c:pt idx="14">
                  <c:v>44.780249999999981</c:v>
                </c:pt>
                <c:pt idx="15">
                  <c:v>40.410074999999964</c:v>
                </c:pt>
              </c:numCache>
            </c:numRef>
          </c:val>
          <c:extLst>
            <c:ext xmlns:c16="http://schemas.microsoft.com/office/drawing/2014/chart" uri="{C3380CC4-5D6E-409C-BE32-E72D297353CC}">
              <c16:uniqueId val="{00000000-1605-44E4-8BBD-A4452650BE0B}"/>
            </c:ext>
          </c:extLst>
        </c:ser>
        <c:ser>
          <c:idx val="2"/>
          <c:order val="1"/>
          <c:tx>
            <c:strRef>
              <c:f>Analysis!$C$687</c:f>
              <c:strCache>
                <c:ptCount val="1"/>
                <c:pt idx="0">
                  <c:v>Capex connect</c:v>
                </c:pt>
              </c:strCache>
            </c:strRef>
          </c:tx>
          <c:spPr>
            <a:solidFill>
              <a:srgbClr val="00CC99"/>
            </a:solidFill>
            <a:ln w="25400">
              <a:noFill/>
            </a:ln>
            <a:effectLst/>
          </c:spPr>
          <c:cat>
            <c:strRef>
              <c:f>Analysis!$H$669:$V$669</c:f>
              <c:strCache>
                <c:ptCount val="15"/>
                <c:pt idx="0">
                  <c:v>1Q22</c:v>
                </c:pt>
                <c:pt idx="1">
                  <c:v>2Q22</c:v>
                </c:pt>
                <c:pt idx="2">
                  <c:v>3Q22</c:v>
                </c:pt>
                <c:pt idx="3">
                  <c:v>4Q22</c:v>
                </c:pt>
                <c:pt idx="4">
                  <c:v>1Q23</c:v>
                </c:pt>
                <c:pt idx="5">
                  <c:v>2Q23</c:v>
                </c:pt>
                <c:pt idx="6">
                  <c:v>3Q23</c:v>
                </c:pt>
                <c:pt idx="7">
                  <c:v>4Q23</c:v>
                </c:pt>
                <c:pt idx="8">
                  <c:v>1Q24</c:v>
                </c:pt>
                <c:pt idx="9">
                  <c:v>2Q24</c:v>
                </c:pt>
                <c:pt idx="10">
                  <c:v>3Q24</c:v>
                </c:pt>
                <c:pt idx="11">
                  <c:v>4Q24</c:v>
                </c:pt>
                <c:pt idx="12">
                  <c:v>1Q25</c:v>
                </c:pt>
                <c:pt idx="13">
                  <c:v>2Q25</c:v>
                </c:pt>
                <c:pt idx="14">
                  <c:v>3Q25</c:v>
                </c:pt>
              </c:strCache>
            </c:strRef>
          </c:cat>
          <c:val>
            <c:numRef>
              <c:f>Analysis!$H$687:$W$687</c:f>
              <c:numCache>
                <c:formatCode>0</c:formatCode>
                <c:ptCount val="16"/>
                <c:pt idx="0">
                  <c:v>35.365267079999995</c:v>
                </c:pt>
                <c:pt idx="1">
                  <c:v>29.994551999999985</c:v>
                </c:pt>
                <c:pt idx="2">
                  <c:v>40.175051076000017</c:v>
                </c:pt>
                <c:pt idx="3">
                  <c:v>42.784246547999956</c:v>
                </c:pt>
                <c:pt idx="4">
                  <c:v>44.908442478000033</c:v>
                </c:pt>
                <c:pt idx="5">
                  <c:v>45.856569599999986</c:v>
                </c:pt>
                <c:pt idx="6">
                  <c:v>40.265428500000048</c:v>
                </c:pt>
                <c:pt idx="7">
                  <c:v>45.474704999999929</c:v>
                </c:pt>
                <c:pt idx="8">
                  <c:v>45.949488749999993</c:v>
                </c:pt>
                <c:pt idx="9">
                  <c:v>40.238282250000033</c:v>
                </c:pt>
                <c:pt idx="10">
                  <c:v>51.270327000000023</c:v>
                </c:pt>
                <c:pt idx="11">
                  <c:v>50.602063499999964</c:v>
                </c:pt>
                <c:pt idx="12">
                  <c:v>44.158940999999977</c:v>
                </c:pt>
                <c:pt idx="13">
                  <c:v>48.404679750000064</c:v>
                </c:pt>
                <c:pt idx="14">
                  <c:v>49.192742249999938</c:v>
                </c:pt>
                <c:pt idx="15">
                  <c:v>50.776650000000032</c:v>
                </c:pt>
              </c:numCache>
            </c:numRef>
          </c:val>
          <c:extLst>
            <c:ext xmlns:c16="http://schemas.microsoft.com/office/drawing/2014/chart" uri="{C3380CC4-5D6E-409C-BE32-E72D297353CC}">
              <c16:uniqueId val="{00000002-1605-44E4-8BBD-A4452650BE0B}"/>
            </c:ext>
          </c:extLst>
        </c:ser>
        <c:ser>
          <c:idx val="1"/>
          <c:order val="2"/>
          <c:tx>
            <c:strRef>
              <c:f>Analysis!$C$694</c:f>
              <c:strCache>
                <c:ptCount val="1"/>
                <c:pt idx="0">
                  <c:v>Implied "Other" capex, $</c:v>
                </c:pt>
              </c:strCache>
            </c:strRef>
          </c:tx>
          <c:spPr>
            <a:solidFill>
              <a:srgbClr val="4A626E"/>
            </a:solidFill>
            <a:ln>
              <a:noFill/>
            </a:ln>
            <a:effectLst/>
            <a:extLst>
              <a:ext uri="{91240B29-F687-4F45-9708-019B960494DF}">
                <a14:hiddenLine xmlns:a14="http://schemas.microsoft.com/office/drawing/2010/main">
                  <a:noFill/>
                </a14:hiddenLine>
              </a:ext>
            </a:extLst>
          </c:spPr>
          <c:cat>
            <c:strRef>
              <c:f>Analysis!$H$669:$V$669</c:f>
              <c:strCache>
                <c:ptCount val="15"/>
                <c:pt idx="0">
                  <c:v>1Q22</c:v>
                </c:pt>
                <c:pt idx="1">
                  <c:v>2Q22</c:v>
                </c:pt>
                <c:pt idx="2">
                  <c:v>3Q22</c:v>
                </c:pt>
                <c:pt idx="3">
                  <c:v>4Q22</c:v>
                </c:pt>
                <c:pt idx="4">
                  <c:v>1Q23</c:v>
                </c:pt>
                <c:pt idx="5">
                  <c:v>2Q23</c:v>
                </c:pt>
                <c:pt idx="6">
                  <c:v>3Q23</c:v>
                </c:pt>
                <c:pt idx="7">
                  <c:v>4Q23</c:v>
                </c:pt>
                <c:pt idx="8">
                  <c:v>1Q24</c:v>
                </c:pt>
                <c:pt idx="9">
                  <c:v>2Q24</c:v>
                </c:pt>
                <c:pt idx="10">
                  <c:v>3Q24</c:v>
                </c:pt>
                <c:pt idx="11">
                  <c:v>4Q24</c:v>
                </c:pt>
                <c:pt idx="12">
                  <c:v>1Q25</c:v>
                </c:pt>
                <c:pt idx="13">
                  <c:v>2Q25</c:v>
                </c:pt>
                <c:pt idx="14">
                  <c:v>3Q25</c:v>
                </c:pt>
              </c:strCache>
            </c:strRef>
          </c:cat>
          <c:val>
            <c:numRef>
              <c:f>Analysis!$H$694:$W$694</c:f>
              <c:numCache>
                <c:formatCode>0</c:formatCode>
                <c:ptCount val="16"/>
                <c:pt idx="0">
                  <c:v>68.530752452393159</c:v>
                </c:pt>
                <c:pt idx="1">
                  <c:v>73.198229657102601</c:v>
                </c:pt>
                <c:pt idx="2">
                  <c:v>57.953491797989102</c:v>
                </c:pt>
                <c:pt idx="3">
                  <c:v>77.7916874078999</c:v>
                </c:pt>
                <c:pt idx="4">
                  <c:v>1.6565677457915697</c:v>
                </c:pt>
                <c:pt idx="5">
                  <c:v>45.766727550162685</c:v>
                </c:pt>
                <c:pt idx="6">
                  <c:v>99.348731161637659</c:v>
                </c:pt>
                <c:pt idx="7">
                  <c:v>115.43594131764972</c:v>
                </c:pt>
                <c:pt idx="8">
                  <c:v>54.25256633249851</c:v>
                </c:pt>
                <c:pt idx="9">
                  <c:v>77.264533329710048</c:v>
                </c:pt>
                <c:pt idx="10">
                  <c:v>73.282543139791485</c:v>
                </c:pt>
                <c:pt idx="11">
                  <c:v>62.406767488842483</c:v>
                </c:pt>
                <c:pt idx="12">
                  <c:v>80.262997792689617</c:v>
                </c:pt>
                <c:pt idx="13">
                  <c:v>23.026458222556649</c:v>
                </c:pt>
                <c:pt idx="14">
                  <c:v>45.174444322887126</c:v>
                </c:pt>
                <c:pt idx="15">
                  <c:v>60.557154737276534</c:v>
                </c:pt>
              </c:numCache>
            </c:numRef>
          </c:val>
          <c:extLst>
            <c:ext xmlns:c16="http://schemas.microsoft.com/office/drawing/2014/chart" uri="{C3380CC4-5D6E-409C-BE32-E72D297353CC}">
              <c16:uniqueId val="{00000001-1605-44E4-8BBD-A4452650BE0B}"/>
            </c:ext>
          </c:extLst>
        </c:ser>
        <c:dLbls>
          <c:showLegendKey val="0"/>
          <c:showVal val="0"/>
          <c:showCatName val="0"/>
          <c:showSerName val="0"/>
          <c:showPercent val="0"/>
          <c:showBubbleSize val="0"/>
        </c:dLbls>
        <c:axId val="1892457919"/>
        <c:axId val="101988447"/>
      </c:areaChart>
      <c:lineChart>
        <c:grouping val="standard"/>
        <c:varyColors val="0"/>
        <c:ser>
          <c:idx val="3"/>
          <c:order val="3"/>
          <c:tx>
            <c:strRef>
              <c:f>Analysis!$C$699</c:f>
              <c:strCache>
                <c:ptCount val="1"/>
                <c:pt idx="0">
                  <c:v>Group as % sales (12m rolling average)</c:v>
                </c:pt>
              </c:strCache>
            </c:strRef>
          </c:tx>
          <c:spPr>
            <a:ln w="28575" cap="rnd">
              <a:solidFill>
                <a:schemeClr val="tx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Analysis!$H$669:$V$669</c:f>
              <c:strCache>
                <c:ptCount val="15"/>
                <c:pt idx="0">
                  <c:v>1Q22</c:v>
                </c:pt>
                <c:pt idx="1">
                  <c:v>2Q22</c:v>
                </c:pt>
                <c:pt idx="2">
                  <c:v>3Q22</c:v>
                </c:pt>
                <c:pt idx="3">
                  <c:v>4Q22</c:v>
                </c:pt>
                <c:pt idx="4">
                  <c:v>1Q23</c:v>
                </c:pt>
                <c:pt idx="5">
                  <c:v>2Q23</c:v>
                </c:pt>
                <c:pt idx="6">
                  <c:v>3Q23</c:v>
                </c:pt>
                <c:pt idx="7">
                  <c:v>4Q23</c:v>
                </c:pt>
                <c:pt idx="8">
                  <c:v>1Q24</c:v>
                </c:pt>
                <c:pt idx="9">
                  <c:v>2Q24</c:v>
                </c:pt>
                <c:pt idx="10">
                  <c:v>3Q24</c:v>
                </c:pt>
                <c:pt idx="11">
                  <c:v>4Q24</c:v>
                </c:pt>
                <c:pt idx="12">
                  <c:v>1Q25</c:v>
                </c:pt>
                <c:pt idx="13">
                  <c:v>2Q25</c:v>
                </c:pt>
                <c:pt idx="14">
                  <c:v>3Q25</c:v>
                </c:pt>
              </c:strCache>
            </c:strRef>
          </c:cat>
          <c:val>
            <c:numRef>
              <c:f>Analysis!$H$699:$W$699</c:f>
              <c:numCache>
                <c:formatCode>0%</c:formatCode>
                <c:ptCount val="16"/>
                <c:pt idx="0">
                  <c:v>0.39338580184389521</c:v>
                </c:pt>
                <c:pt idx="1">
                  <c:v>0.41349752385624805</c:v>
                </c:pt>
                <c:pt idx="2">
                  <c:v>0.41751036244232281</c:v>
                </c:pt>
                <c:pt idx="3">
                  <c:v>0.4358436791293715</c:v>
                </c:pt>
                <c:pt idx="4">
                  <c:v>0.42279484498230818</c:v>
                </c:pt>
                <c:pt idx="5">
                  <c:v>0.41721112637833591</c:v>
                </c:pt>
                <c:pt idx="6">
                  <c:v>0.44238646016529853</c:v>
                </c:pt>
                <c:pt idx="7">
                  <c:v>0.43350404780094365</c:v>
                </c:pt>
                <c:pt idx="8">
                  <c:v>0.42562678413201599</c:v>
                </c:pt>
                <c:pt idx="9">
                  <c:v>0.40952954258057045</c:v>
                </c:pt>
                <c:pt idx="10">
                  <c:v>0.36802147267613394</c:v>
                </c:pt>
                <c:pt idx="11">
                  <c:v>0.31484129155252011</c:v>
                </c:pt>
                <c:pt idx="12">
                  <c:v>0.30760990982968223</c:v>
                </c:pt>
                <c:pt idx="13">
                  <c:v>0.27789667467566403</c:v>
                </c:pt>
                <c:pt idx="14">
                  <c:v>0.261376733948538</c:v>
                </c:pt>
                <c:pt idx="15">
                  <c:v>0.25931320749412828</c:v>
                </c:pt>
              </c:numCache>
            </c:numRef>
          </c:val>
          <c:smooth val="0"/>
          <c:extLst>
            <c:ext xmlns:c16="http://schemas.microsoft.com/office/drawing/2014/chart" uri="{C3380CC4-5D6E-409C-BE32-E72D297353CC}">
              <c16:uniqueId val="{00000003-1605-44E4-8BBD-A4452650BE0B}"/>
            </c:ext>
          </c:extLst>
        </c:ser>
        <c:dLbls>
          <c:showLegendKey val="0"/>
          <c:showVal val="0"/>
          <c:showCatName val="0"/>
          <c:showSerName val="0"/>
          <c:showPercent val="0"/>
          <c:showBubbleSize val="0"/>
        </c:dLbls>
        <c:marker val="1"/>
        <c:smooth val="0"/>
        <c:axId val="1892536159"/>
        <c:axId val="101993903"/>
      </c:lineChart>
      <c:catAx>
        <c:axId val="1892457919"/>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01988447"/>
        <c:crosses val="autoZero"/>
        <c:auto val="1"/>
        <c:lblAlgn val="ctr"/>
        <c:lblOffset val="100"/>
        <c:noMultiLvlLbl val="0"/>
      </c:catAx>
      <c:valAx>
        <c:axId val="101988447"/>
        <c:scaling>
          <c:orientation val="minMax"/>
        </c:scaling>
        <c:delete val="0"/>
        <c:axPos val="l"/>
        <c:numFmt formatCode="0" sourceLinked="1"/>
        <c:majorTickMark val="out"/>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892457919"/>
        <c:crosses val="autoZero"/>
        <c:crossBetween val="between"/>
      </c:valAx>
      <c:valAx>
        <c:axId val="101993903"/>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892536159"/>
        <c:crosses val="max"/>
        <c:crossBetween val="between"/>
      </c:valAx>
      <c:catAx>
        <c:axId val="1892536159"/>
        <c:scaling>
          <c:orientation val="minMax"/>
        </c:scaling>
        <c:delete val="1"/>
        <c:axPos val="b"/>
        <c:numFmt formatCode="General" sourceLinked="1"/>
        <c:majorTickMark val="out"/>
        <c:minorTickMark val="none"/>
        <c:tickLblPos val="nextTo"/>
        <c:crossAx val="101993903"/>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Analysis!$C$598</c:f>
              <c:strCache>
                <c:ptCount val="1"/>
                <c:pt idx="0">
                  <c:v>Base case capex</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Analysis!$F$595:$I$595</c:f>
              <c:numCache>
                <c:formatCode>General</c:formatCode>
                <c:ptCount val="4"/>
                <c:pt idx="0">
                  <c:v>2023</c:v>
                </c:pt>
                <c:pt idx="1">
                  <c:v>2024</c:v>
                </c:pt>
                <c:pt idx="2">
                  <c:v>2025</c:v>
                </c:pt>
                <c:pt idx="3">
                  <c:v>2026</c:v>
                </c:pt>
              </c:numCache>
            </c:numRef>
          </c:cat>
          <c:val>
            <c:numRef>
              <c:f>Analysis!$F$598:$I$598</c:f>
              <c:numCache>
                <c:formatCode>#,##0</c:formatCode>
                <c:ptCount val="4"/>
                <c:pt idx="0">
                  <c:v>12949</c:v>
                </c:pt>
                <c:pt idx="1">
                  <c:v>10340</c:v>
                </c:pt>
                <c:pt idx="2">
                  <c:v>9187.3919999999998</c:v>
                </c:pt>
                <c:pt idx="3">
                  <c:v>9717.293698700003</c:v>
                </c:pt>
              </c:numCache>
            </c:numRef>
          </c:val>
          <c:extLst>
            <c:ext xmlns:c16="http://schemas.microsoft.com/office/drawing/2014/chart" uri="{C3380CC4-5D6E-409C-BE32-E72D297353CC}">
              <c16:uniqueId val="{00000000-FF8D-41B0-9C5A-6E1A6A8975EF}"/>
            </c:ext>
          </c:extLst>
        </c:ser>
        <c:ser>
          <c:idx val="1"/>
          <c:order val="1"/>
          <c:tx>
            <c:strRef>
              <c:f>Analysis!$C$604</c:f>
              <c:strCache>
                <c:ptCount val="1"/>
                <c:pt idx="0">
                  <c:v>Normalised capex</c:v>
                </c:pt>
              </c:strCache>
            </c:strRef>
          </c:tx>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Analysis!$F$595:$I$595</c:f>
              <c:numCache>
                <c:formatCode>General</c:formatCode>
                <c:ptCount val="4"/>
                <c:pt idx="0">
                  <c:v>2023</c:v>
                </c:pt>
                <c:pt idx="1">
                  <c:v>2024</c:v>
                </c:pt>
                <c:pt idx="2">
                  <c:v>2025</c:v>
                </c:pt>
                <c:pt idx="3">
                  <c:v>2026</c:v>
                </c:pt>
              </c:numCache>
            </c:numRef>
          </c:cat>
          <c:val>
            <c:numRef>
              <c:f>Analysis!$F$604:$I$604</c:f>
              <c:numCache>
                <c:formatCode>#,##0</c:formatCode>
                <c:ptCount val="4"/>
                <c:pt idx="0">
                  <c:v>6720.8715000000002</c:v>
                </c:pt>
                <c:pt idx="1">
                  <c:v>6855.2889300000006</c:v>
                </c:pt>
                <c:pt idx="2">
                  <c:v>6992.3947086000007</c:v>
                </c:pt>
                <c:pt idx="3">
                  <c:v>7132.2426027720012</c:v>
                </c:pt>
              </c:numCache>
            </c:numRef>
          </c:val>
          <c:extLst>
            <c:ext xmlns:c16="http://schemas.microsoft.com/office/drawing/2014/chart" uri="{C3380CC4-5D6E-409C-BE32-E72D297353CC}">
              <c16:uniqueId val="{00000001-FF8D-41B0-9C5A-6E1A6A8975EF}"/>
            </c:ext>
          </c:extLst>
        </c:ser>
        <c:dLbls>
          <c:showLegendKey val="0"/>
          <c:showVal val="0"/>
          <c:showCatName val="0"/>
          <c:showSerName val="0"/>
          <c:showPercent val="0"/>
          <c:showBubbleSize val="0"/>
        </c:dLbls>
        <c:gapWidth val="30"/>
        <c:overlap val="-27"/>
        <c:axId val="1681059712"/>
        <c:axId val="1681070528"/>
      </c:barChart>
      <c:catAx>
        <c:axId val="1681059712"/>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681070528"/>
        <c:crosses val="autoZero"/>
        <c:auto val="1"/>
        <c:lblAlgn val="ctr"/>
        <c:lblOffset val="100"/>
        <c:noMultiLvlLbl val="0"/>
      </c:catAx>
      <c:valAx>
        <c:axId val="1681070528"/>
        <c:scaling>
          <c:orientation val="minMax"/>
        </c:scaling>
        <c:delete val="1"/>
        <c:axPos val="l"/>
        <c:numFmt formatCode="#,##0" sourceLinked="1"/>
        <c:majorTickMark val="out"/>
        <c:minorTickMark val="none"/>
        <c:tickLblPos val="nextTo"/>
        <c:crossAx val="168105971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'Earnings snaps'!$B$67</c:f>
              <c:strCache>
                <c:ptCount val="1"/>
                <c:pt idx="0">
                  <c:v>TV</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snaps'!$C$66:$U$66</c:f>
              <c:strCache>
                <c:ptCount val="19"/>
                <c:pt idx="0">
                  <c:v>1Q19</c:v>
                </c:pt>
                <c:pt idx="1">
                  <c:v>2Q19</c:v>
                </c:pt>
                <c:pt idx="2">
                  <c:v>3Q19</c:v>
                </c:pt>
                <c:pt idx="3">
                  <c:v>4Q19</c:v>
                </c:pt>
                <c:pt idx="4">
                  <c:v>1Q20</c:v>
                </c:pt>
                <c:pt idx="5">
                  <c:v>2Q20</c:v>
                </c:pt>
                <c:pt idx="6">
                  <c:v>3Q20</c:v>
                </c:pt>
                <c:pt idx="7">
                  <c:v>4Q20</c:v>
                </c:pt>
                <c:pt idx="8">
                  <c:v>1Q21</c:v>
                </c:pt>
                <c:pt idx="9">
                  <c:v>2Q21</c:v>
                </c:pt>
                <c:pt idx="10">
                  <c:v>3Q21</c:v>
                </c:pt>
                <c:pt idx="11">
                  <c:v>4Q21</c:v>
                </c:pt>
                <c:pt idx="12">
                  <c:v>1Q22</c:v>
                </c:pt>
                <c:pt idx="13">
                  <c:v>2Q22</c:v>
                </c:pt>
                <c:pt idx="14">
                  <c:v>3Q22</c:v>
                </c:pt>
                <c:pt idx="15">
                  <c:v>4Q22</c:v>
                </c:pt>
                <c:pt idx="16">
                  <c:v>1Q23</c:v>
                </c:pt>
                <c:pt idx="17">
                  <c:v>2Q23</c:v>
                </c:pt>
                <c:pt idx="18">
                  <c:v>3Q23</c:v>
                </c:pt>
              </c:strCache>
            </c:strRef>
          </c:cat>
          <c:val>
            <c:numRef>
              <c:f>'Earnings snaps'!$C$67:$U$67</c:f>
              <c:numCache>
                <c:formatCode>0.0%</c:formatCode>
                <c:ptCount val="19"/>
                <c:pt idx="0">
                  <c:v>5.6865464632454898E-2</c:v>
                </c:pt>
                <c:pt idx="1">
                  <c:v>9.1506335053965326E-2</c:v>
                </c:pt>
                <c:pt idx="2">
                  <c:v>8.1974848625989916E-2</c:v>
                </c:pt>
                <c:pt idx="3">
                  <c:v>8.3523505248744856E-2</c:v>
                </c:pt>
                <c:pt idx="4">
                  <c:v>5.7742782152230943E-2</c:v>
                </c:pt>
                <c:pt idx="5">
                  <c:v>4.2992261392948983E-3</c:v>
                </c:pt>
                <c:pt idx="6">
                  <c:v>-3.0133448127421802E-3</c:v>
                </c:pt>
                <c:pt idx="7">
                  <c:v>-3.5383319292333626E-2</c:v>
                </c:pt>
                <c:pt idx="8">
                  <c:v>-5.5004135649296959E-2</c:v>
                </c:pt>
                <c:pt idx="9">
                  <c:v>-3.210616438356162E-2</c:v>
                </c:pt>
                <c:pt idx="10">
                  <c:v>-3.3246977547495615E-2</c:v>
                </c:pt>
                <c:pt idx="11">
                  <c:v>1.1790393013100475E-2</c:v>
                </c:pt>
                <c:pt idx="12">
                  <c:v>2.1881838074397919E-3</c:v>
                </c:pt>
                <c:pt idx="13">
                  <c:v>2.0344980097302123E-2</c:v>
                </c:pt>
                <c:pt idx="14">
                  <c:v>2.4117909781152358E-2</c:v>
                </c:pt>
                <c:pt idx="15">
                  <c:v>4.747518342684609E-3</c:v>
                </c:pt>
                <c:pt idx="16">
                  <c:v>2.1397379912663883E-2</c:v>
                </c:pt>
                <c:pt idx="17">
                  <c:v>8.6692674469006636E-3</c:v>
                </c:pt>
                <c:pt idx="18">
                  <c:v>1.3519406890536434E-2</c:v>
                </c:pt>
              </c:numCache>
            </c:numRef>
          </c:val>
          <c:smooth val="0"/>
          <c:extLst>
            <c:ext xmlns:c16="http://schemas.microsoft.com/office/drawing/2014/chart" uri="{C3380CC4-5D6E-409C-BE32-E72D297353CC}">
              <c16:uniqueId val="{00000000-10F6-4E17-B8DE-E0406CC4EF2F}"/>
            </c:ext>
          </c:extLst>
        </c:ser>
        <c:ser>
          <c:idx val="1"/>
          <c:order val="1"/>
          <c:tx>
            <c:strRef>
              <c:f>'Earnings snaps'!$B$68</c:f>
              <c:strCache>
                <c:ptCount val="1"/>
                <c:pt idx="0">
                  <c:v>Internet</c:v>
                </c:pt>
              </c:strCache>
            </c:strRef>
          </c:tx>
          <c:spPr>
            <a:ln w="25400" cap="rnd">
              <a:solidFill>
                <a:srgbClr val="799098"/>
              </a:solidFill>
              <a:prstDash val="solid"/>
              <a:round/>
            </a:ln>
            <a:effectLst/>
          </c:spPr>
          <c:marker>
            <c:symbol val="none"/>
          </c:marker>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snaps'!$C$66:$U$66</c:f>
              <c:strCache>
                <c:ptCount val="19"/>
                <c:pt idx="0">
                  <c:v>1Q19</c:v>
                </c:pt>
                <c:pt idx="1">
                  <c:v>2Q19</c:v>
                </c:pt>
                <c:pt idx="2">
                  <c:v>3Q19</c:v>
                </c:pt>
                <c:pt idx="3">
                  <c:v>4Q19</c:v>
                </c:pt>
                <c:pt idx="4">
                  <c:v>1Q20</c:v>
                </c:pt>
                <c:pt idx="5">
                  <c:v>2Q20</c:v>
                </c:pt>
                <c:pt idx="6">
                  <c:v>3Q20</c:v>
                </c:pt>
                <c:pt idx="7">
                  <c:v>4Q20</c:v>
                </c:pt>
                <c:pt idx="8">
                  <c:v>1Q21</c:v>
                </c:pt>
                <c:pt idx="9">
                  <c:v>2Q21</c:v>
                </c:pt>
                <c:pt idx="10">
                  <c:v>3Q21</c:v>
                </c:pt>
                <c:pt idx="11">
                  <c:v>4Q21</c:v>
                </c:pt>
                <c:pt idx="12">
                  <c:v>1Q22</c:v>
                </c:pt>
                <c:pt idx="13">
                  <c:v>2Q22</c:v>
                </c:pt>
                <c:pt idx="14">
                  <c:v>3Q22</c:v>
                </c:pt>
                <c:pt idx="15">
                  <c:v>4Q22</c:v>
                </c:pt>
                <c:pt idx="16">
                  <c:v>1Q23</c:v>
                </c:pt>
                <c:pt idx="17">
                  <c:v>2Q23</c:v>
                </c:pt>
                <c:pt idx="18">
                  <c:v>3Q23</c:v>
                </c:pt>
              </c:strCache>
            </c:strRef>
          </c:cat>
          <c:val>
            <c:numRef>
              <c:f>'Earnings snaps'!$C$68:$U$68</c:f>
              <c:numCache>
                <c:formatCode>0.0%</c:formatCode>
                <c:ptCount val="19"/>
                <c:pt idx="0">
                  <c:v>5.4975261132494957E-4</c:v>
                </c:pt>
                <c:pt idx="1">
                  <c:v>1.8962632459564865E-2</c:v>
                </c:pt>
                <c:pt idx="2">
                  <c:v>2.0763187429854169E-2</c:v>
                </c:pt>
                <c:pt idx="3">
                  <c:v>2.8921023359288034E-2</c:v>
                </c:pt>
                <c:pt idx="4">
                  <c:v>2.3076923076922995E-2</c:v>
                </c:pt>
                <c:pt idx="5">
                  <c:v>-4.3787629994526123E-3</c:v>
                </c:pt>
                <c:pt idx="6">
                  <c:v>-4.9477735019242131E-3</c:v>
                </c:pt>
                <c:pt idx="7">
                  <c:v>-1.5675675675675738E-2</c:v>
                </c:pt>
                <c:pt idx="8">
                  <c:v>-3.759398496240518E-3</c:v>
                </c:pt>
                <c:pt idx="9">
                  <c:v>2.8037383177569986E-2</c:v>
                </c:pt>
                <c:pt idx="10">
                  <c:v>2.5966850828729182E-2</c:v>
                </c:pt>
                <c:pt idx="11">
                  <c:v>3.0203185063152116E-2</c:v>
                </c:pt>
                <c:pt idx="12">
                  <c:v>1.563342318059302E-2</c:v>
                </c:pt>
                <c:pt idx="13">
                  <c:v>3.7433155080213831E-2</c:v>
                </c:pt>
                <c:pt idx="14">
                  <c:v>1.1308562197092309E-2</c:v>
                </c:pt>
                <c:pt idx="15">
                  <c:v>3.1982942430703876E-3</c:v>
                </c:pt>
                <c:pt idx="16">
                  <c:v>4.7770700636942109E-3</c:v>
                </c:pt>
                <c:pt idx="17">
                  <c:v>-8.7628865979381132E-3</c:v>
                </c:pt>
                <c:pt idx="18">
                  <c:v>2.9818956336528091E-2</c:v>
                </c:pt>
              </c:numCache>
            </c:numRef>
          </c:val>
          <c:smooth val="0"/>
          <c:extLst>
            <c:ext xmlns:c16="http://schemas.microsoft.com/office/drawing/2014/chart" uri="{C3380CC4-5D6E-409C-BE32-E72D297353CC}">
              <c16:uniqueId val="{00000001-10F6-4E17-B8DE-E0406CC4EF2F}"/>
            </c:ext>
          </c:extLst>
        </c:ser>
        <c:dLbls>
          <c:showLegendKey val="0"/>
          <c:showVal val="0"/>
          <c:showCatName val="0"/>
          <c:showSerName val="0"/>
          <c:showPercent val="0"/>
          <c:showBubbleSize val="0"/>
        </c:dLbls>
        <c:smooth val="0"/>
        <c:axId val="1611764031"/>
        <c:axId val="1611753631"/>
      </c:lineChart>
      <c:catAx>
        <c:axId val="1611764031"/>
        <c:scaling>
          <c:orientation val="minMax"/>
        </c:scaling>
        <c:delete val="0"/>
        <c:axPos val="b"/>
        <c:numFmt formatCode="General" sourceLinked="1"/>
        <c:majorTickMark val="out"/>
        <c:minorTickMark val="none"/>
        <c:tickLblPos val="low"/>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611753631"/>
        <c:crosses val="autoZero"/>
        <c:auto val="1"/>
        <c:lblAlgn val="ctr"/>
        <c:lblOffset val="100"/>
        <c:noMultiLvlLbl val="0"/>
      </c:catAx>
      <c:valAx>
        <c:axId val="1611753631"/>
        <c:scaling>
          <c:orientation val="minMax"/>
        </c:scaling>
        <c:delete val="1"/>
        <c:axPos val="l"/>
        <c:numFmt formatCode="0.0%" sourceLinked="1"/>
        <c:majorTickMark val="out"/>
        <c:minorTickMark val="none"/>
        <c:tickLblPos val="nextTo"/>
        <c:crossAx val="1611764031"/>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'Earnings snaps'!$B$111</c:f>
              <c:strCache>
                <c:ptCount val="1"/>
                <c:pt idx="0">
                  <c:v>TV</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snaps'!$G$110:$X$110</c:f>
              <c:strCache>
                <c:ptCount val="18"/>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strCache>
            </c:strRef>
          </c:cat>
          <c:val>
            <c:numRef>
              <c:f>'Earnings snaps'!$G$111:$X$111</c:f>
              <c:numCache>
                <c:formatCode>0</c:formatCode>
                <c:ptCount val="18"/>
                <c:pt idx="0">
                  <c:v>241.8</c:v>
                </c:pt>
                <c:pt idx="1">
                  <c:v>233.6</c:v>
                </c:pt>
                <c:pt idx="2">
                  <c:v>231.6</c:v>
                </c:pt>
                <c:pt idx="3">
                  <c:v>229</c:v>
                </c:pt>
                <c:pt idx="4">
                  <c:v>228.5</c:v>
                </c:pt>
                <c:pt idx="5">
                  <c:v>226.1</c:v>
                </c:pt>
                <c:pt idx="6">
                  <c:v>223.9</c:v>
                </c:pt>
                <c:pt idx="7">
                  <c:v>231.7</c:v>
                </c:pt>
                <c:pt idx="8">
                  <c:v>229</c:v>
                </c:pt>
                <c:pt idx="9">
                  <c:v>230.7</c:v>
                </c:pt>
                <c:pt idx="10">
                  <c:v>229.3</c:v>
                </c:pt>
                <c:pt idx="11">
                  <c:v>232.8</c:v>
                </c:pt>
                <c:pt idx="12">
                  <c:v>233.9</c:v>
                </c:pt>
                <c:pt idx="13">
                  <c:v>232.7</c:v>
                </c:pt>
                <c:pt idx="14">
                  <c:v>232.4</c:v>
                </c:pt>
                <c:pt idx="15">
                  <c:v>240.7</c:v>
                </c:pt>
                <c:pt idx="16">
                  <c:v>238.5</c:v>
                </c:pt>
                <c:pt idx="17">
                  <c:v>239.2</c:v>
                </c:pt>
              </c:numCache>
            </c:numRef>
          </c:val>
          <c:smooth val="0"/>
          <c:extLst>
            <c:ext xmlns:c16="http://schemas.microsoft.com/office/drawing/2014/chart" uri="{C3380CC4-5D6E-409C-BE32-E72D297353CC}">
              <c16:uniqueId val="{00000000-3FBD-4BCB-88F0-C7E07EC15817}"/>
            </c:ext>
          </c:extLst>
        </c:ser>
        <c:ser>
          <c:idx val="1"/>
          <c:order val="1"/>
          <c:tx>
            <c:strRef>
              <c:f>'Earnings snaps'!$B$112</c:f>
              <c:strCache>
                <c:ptCount val="1"/>
                <c:pt idx="0">
                  <c:v>Internet</c:v>
                </c:pt>
              </c:strCache>
            </c:strRef>
          </c:tx>
          <c:spPr>
            <a:ln w="25400" cap="rnd">
              <a:solidFill>
                <a:srgbClr val="799098"/>
              </a:solidFill>
              <a:prstDash val="solid"/>
              <a:round/>
            </a:ln>
            <a:effectLst/>
          </c:spPr>
          <c:marker>
            <c:symbol val="none"/>
          </c:marker>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snaps'!$G$110:$X$110</c:f>
              <c:strCache>
                <c:ptCount val="18"/>
                <c:pt idx="0">
                  <c:v>1Q20</c:v>
                </c:pt>
                <c:pt idx="1">
                  <c:v>2Q20</c:v>
                </c:pt>
                <c:pt idx="2">
                  <c:v>3Q20</c:v>
                </c:pt>
                <c:pt idx="3">
                  <c:v>4Q20</c:v>
                </c:pt>
                <c:pt idx="4">
                  <c:v>1Q21</c:v>
                </c:pt>
                <c:pt idx="5">
                  <c:v>2Q21</c:v>
                </c:pt>
                <c:pt idx="6">
                  <c:v>3Q21</c:v>
                </c:pt>
                <c:pt idx="7">
                  <c:v>4Q21</c:v>
                </c:pt>
                <c:pt idx="8">
                  <c:v>1Q22</c:v>
                </c:pt>
                <c:pt idx="9">
                  <c:v>2Q22</c:v>
                </c:pt>
                <c:pt idx="10">
                  <c:v>3Q22</c:v>
                </c:pt>
                <c:pt idx="11">
                  <c:v>4Q22</c:v>
                </c:pt>
                <c:pt idx="12">
                  <c:v>1Q23</c:v>
                </c:pt>
                <c:pt idx="13">
                  <c:v>2Q23</c:v>
                </c:pt>
                <c:pt idx="14">
                  <c:v>3Q23</c:v>
                </c:pt>
                <c:pt idx="15">
                  <c:v>4Q23</c:v>
                </c:pt>
                <c:pt idx="16">
                  <c:v>1Q24</c:v>
                </c:pt>
                <c:pt idx="17">
                  <c:v>2Q24</c:v>
                </c:pt>
              </c:strCache>
            </c:strRef>
          </c:cat>
          <c:val>
            <c:numRef>
              <c:f>'Earnings snaps'!$G$112:$X$112</c:f>
              <c:numCache>
                <c:formatCode>0</c:formatCode>
                <c:ptCount val="18"/>
                <c:pt idx="0">
                  <c:v>186.2</c:v>
                </c:pt>
                <c:pt idx="1">
                  <c:v>181.9</c:v>
                </c:pt>
                <c:pt idx="2">
                  <c:v>181</c:v>
                </c:pt>
                <c:pt idx="3">
                  <c:v>182.1</c:v>
                </c:pt>
                <c:pt idx="4">
                  <c:v>185.5</c:v>
                </c:pt>
                <c:pt idx="5">
                  <c:v>187</c:v>
                </c:pt>
                <c:pt idx="6">
                  <c:v>185.7</c:v>
                </c:pt>
                <c:pt idx="7">
                  <c:v>187.6</c:v>
                </c:pt>
                <c:pt idx="8">
                  <c:v>188.4</c:v>
                </c:pt>
                <c:pt idx="9">
                  <c:v>194</c:v>
                </c:pt>
                <c:pt idx="10">
                  <c:v>187.8</c:v>
                </c:pt>
                <c:pt idx="11">
                  <c:v>188.2</c:v>
                </c:pt>
                <c:pt idx="12">
                  <c:v>189.3</c:v>
                </c:pt>
                <c:pt idx="13">
                  <c:v>192.3</c:v>
                </c:pt>
                <c:pt idx="14">
                  <c:v>193.4</c:v>
                </c:pt>
                <c:pt idx="15">
                  <c:v>197.6</c:v>
                </c:pt>
                <c:pt idx="16">
                  <c:v>198.7</c:v>
                </c:pt>
                <c:pt idx="17">
                  <c:v>202.9</c:v>
                </c:pt>
              </c:numCache>
            </c:numRef>
          </c:val>
          <c:smooth val="0"/>
          <c:extLst>
            <c:ext xmlns:c16="http://schemas.microsoft.com/office/drawing/2014/chart" uri="{C3380CC4-5D6E-409C-BE32-E72D297353CC}">
              <c16:uniqueId val="{00000001-3FBD-4BCB-88F0-C7E07EC15817}"/>
            </c:ext>
          </c:extLst>
        </c:ser>
        <c:dLbls>
          <c:showLegendKey val="0"/>
          <c:showVal val="0"/>
          <c:showCatName val="0"/>
          <c:showSerName val="0"/>
          <c:showPercent val="0"/>
          <c:showBubbleSize val="0"/>
        </c:dLbls>
        <c:smooth val="0"/>
        <c:axId val="1611752383"/>
        <c:axId val="1611762783"/>
      </c:lineChart>
      <c:catAx>
        <c:axId val="1611752383"/>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611762783"/>
        <c:crosses val="autoZero"/>
        <c:auto val="1"/>
        <c:lblAlgn val="ctr"/>
        <c:lblOffset val="100"/>
        <c:noMultiLvlLbl val="0"/>
      </c:catAx>
      <c:valAx>
        <c:axId val="1611762783"/>
        <c:scaling>
          <c:orientation val="minMax"/>
        </c:scaling>
        <c:delete val="1"/>
        <c:axPos val="l"/>
        <c:numFmt formatCode="0" sourceLinked="1"/>
        <c:majorTickMark val="out"/>
        <c:minorTickMark val="none"/>
        <c:tickLblPos val="nextTo"/>
        <c:crossAx val="1611752383"/>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956E6A7-7960-48FD-9570-5F1DDB8A00AC}" type="doc">
      <dgm:prSet loTypeId="urn:microsoft.com/office/officeart/2005/8/layout/venn1" loCatId="relationship" qsTypeId="urn:microsoft.com/office/officeart/2005/8/quickstyle/simple1" qsCatId="simple" csTypeId="urn:microsoft.com/office/officeart/2005/8/colors/accent1_2" csCatId="accent1" phldr="1"/>
      <dgm:spPr/>
    </dgm:pt>
    <dgm:pt modelId="{76EDB396-132F-4C1E-994C-D593BB93E3A5}">
      <dgm:prSet phldrT="[Text]"/>
      <dgm:spPr/>
      <dgm:t>
        <a:bodyPr/>
        <a:lstStyle/>
        <a:p>
          <a:r>
            <a:rPr lang="en-GB"/>
            <a:t>Megacable</a:t>
          </a:r>
        </a:p>
      </dgm:t>
    </dgm:pt>
    <dgm:pt modelId="{C196D270-4A1D-4143-A305-90C75166FB93}" type="parTrans" cxnId="{37EBD4D0-CB52-43C5-A3EC-E46EBAB63BB5}">
      <dgm:prSet/>
      <dgm:spPr/>
      <dgm:t>
        <a:bodyPr/>
        <a:lstStyle/>
        <a:p>
          <a:endParaRPr lang="en-GB"/>
        </a:p>
      </dgm:t>
    </dgm:pt>
    <dgm:pt modelId="{E1608D89-FFF5-41C5-A7CE-3688A19A47DE}" type="sibTrans" cxnId="{37EBD4D0-CB52-43C5-A3EC-E46EBAB63BB5}">
      <dgm:prSet/>
      <dgm:spPr/>
      <dgm:t>
        <a:bodyPr/>
        <a:lstStyle/>
        <a:p>
          <a:endParaRPr lang="en-GB"/>
        </a:p>
      </dgm:t>
    </dgm:pt>
    <dgm:pt modelId="{4F424889-2CE2-4971-BE5E-9EC9D3BCD45F}">
      <dgm:prSet phldrT="[Text]"/>
      <dgm:spPr/>
      <dgm:t>
        <a:bodyPr/>
        <a:lstStyle/>
        <a:p>
          <a:r>
            <a:rPr lang="en-GB"/>
            <a:t>Izzy</a:t>
          </a:r>
        </a:p>
      </dgm:t>
    </dgm:pt>
    <dgm:pt modelId="{578A9A58-FC4A-44C9-BEAB-96DCA55853A7}" type="parTrans" cxnId="{F8C52347-F932-4F75-A362-435F7E107D33}">
      <dgm:prSet/>
      <dgm:spPr/>
      <dgm:t>
        <a:bodyPr/>
        <a:lstStyle/>
        <a:p>
          <a:endParaRPr lang="en-GB"/>
        </a:p>
      </dgm:t>
    </dgm:pt>
    <dgm:pt modelId="{B340E1E6-0F67-40C3-9B6D-F8D12BFA0ADA}" type="sibTrans" cxnId="{F8C52347-F932-4F75-A362-435F7E107D33}">
      <dgm:prSet/>
      <dgm:spPr/>
      <dgm:t>
        <a:bodyPr/>
        <a:lstStyle/>
        <a:p>
          <a:endParaRPr lang="en-GB"/>
        </a:p>
      </dgm:t>
    </dgm:pt>
    <dgm:pt modelId="{FF76776E-EAE2-49B0-8E3E-08E82BC0EB05}" type="pres">
      <dgm:prSet presAssocID="{9956E6A7-7960-48FD-9570-5F1DDB8A00AC}" presName="compositeShape" presStyleCnt="0">
        <dgm:presLayoutVars>
          <dgm:chMax val="7"/>
          <dgm:dir/>
          <dgm:resizeHandles val="exact"/>
        </dgm:presLayoutVars>
      </dgm:prSet>
      <dgm:spPr/>
    </dgm:pt>
    <dgm:pt modelId="{8C20E4EA-9F9B-4CC5-9CB2-AA9491D3358E}" type="pres">
      <dgm:prSet presAssocID="{76EDB396-132F-4C1E-994C-D593BB93E3A5}" presName="circ1" presStyleLbl="vennNode1" presStyleIdx="0" presStyleCnt="2" custScaleX="91726" custScaleY="78078"/>
      <dgm:spPr/>
    </dgm:pt>
    <dgm:pt modelId="{065E1C70-6711-484F-BDD0-2FEBDD17056F}" type="pres">
      <dgm:prSet presAssocID="{76EDB396-132F-4C1E-994C-D593BB93E3A5}" presName="circ1Tx" presStyleLbl="revTx" presStyleIdx="0" presStyleCnt="0">
        <dgm:presLayoutVars>
          <dgm:chMax val="0"/>
          <dgm:chPref val="0"/>
          <dgm:bulletEnabled val="1"/>
        </dgm:presLayoutVars>
      </dgm:prSet>
      <dgm:spPr/>
    </dgm:pt>
    <dgm:pt modelId="{8F3E0E68-B631-4B68-ADE4-3C2DE1C1E5D0}" type="pres">
      <dgm:prSet presAssocID="{4F424889-2CE2-4971-BE5E-9EC9D3BCD45F}" presName="circ2" presStyleLbl="vennNode1" presStyleIdx="1" presStyleCnt="2"/>
      <dgm:spPr/>
    </dgm:pt>
    <dgm:pt modelId="{13F7CE0A-12D4-46D9-B260-054BE9D40406}" type="pres">
      <dgm:prSet presAssocID="{4F424889-2CE2-4971-BE5E-9EC9D3BCD45F}" presName="circ2Tx" presStyleLbl="revTx" presStyleIdx="0" presStyleCnt="0">
        <dgm:presLayoutVars>
          <dgm:chMax val="0"/>
          <dgm:chPref val="0"/>
          <dgm:bulletEnabled val="1"/>
        </dgm:presLayoutVars>
      </dgm:prSet>
      <dgm:spPr/>
    </dgm:pt>
  </dgm:ptLst>
  <dgm:cxnLst>
    <dgm:cxn modelId="{D2D8DE06-A647-456D-9B2F-927BBB116AD3}" type="presOf" srcId="{9956E6A7-7960-48FD-9570-5F1DDB8A00AC}" destId="{FF76776E-EAE2-49B0-8E3E-08E82BC0EB05}" srcOrd="0" destOrd="0" presId="urn:microsoft.com/office/officeart/2005/8/layout/venn1"/>
    <dgm:cxn modelId="{D236A72C-8C87-45BD-BBB5-E44E61FADD39}" type="presOf" srcId="{4F424889-2CE2-4971-BE5E-9EC9D3BCD45F}" destId="{8F3E0E68-B631-4B68-ADE4-3C2DE1C1E5D0}" srcOrd="0" destOrd="0" presId="urn:microsoft.com/office/officeart/2005/8/layout/venn1"/>
    <dgm:cxn modelId="{F8C52347-F932-4F75-A362-435F7E107D33}" srcId="{9956E6A7-7960-48FD-9570-5F1DDB8A00AC}" destId="{4F424889-2CE2-4971-BE5E-9EC9D3BCD45F}" srcOrd="1" destOrd="0" parTransId="{578A9A58-FC4A-44C9-BEAB-96DCA55853A7}" sibTransId="{B340E1E6-0F67-40C3-9B6D-F8D12BFA0ADA}"/>
    <dgm:cxn modelId="{9491316C-1112-4B2C-8D7C-33BBD6A036E9}" type="presOf" srcId="{4F424889-2CE2-4971-BE5E-9EC9D3BCD45F}" destId="{13F7CE0A-12D4-46D9-B260-054BE9D40406}" srcOrd="1" destOrd="0" presId="urn:microsoft.com/office/officeart/2005/8/layout/venn1"/>
    <dgm:cxn modelId="{45014789-5C43-462C-97ED-DBD2EFECC064}" type="presOf" srcId="{76EDB396-132F-4C1E-994C-D593BB93E3A5}" destId="{8C20E4EA-9F9B-4CC5-9CB2-AA9491D3358E}" srcOrd="0" destOrd="0" presId="urn:microsoft.com/office/officeart/2005/8/layout/venn1"/>
    <dgm:cxn modelId="{37EBD4D0-CB52-43C5-A3EC-E46EBAB63BB5}" srcId="{9956E6A7-7960-48FD-9570-5F1DDB8A00AC}" destId="{76EDB396-132F-4C1E-994C-D593BB93E3A5}" srcOrd="0" destOrd="0" parTransId="{C196D270-4A1D-4143-A305-90C75166FB93}" sibTransId="{E1608D89-FFF5-41C5-A7CE-3688A19A47DE}"/>
    <dgm:cxn modelId="{23D200D8-9C4B-4B11-A739-C6D05A609DF9}" type="presOf" srcId="{76EDB396-132F-4C1E-994C-D593BB93E3A5}" destId="{065E1C70-6711-484F-BDD0-2FEBDD17056F}" srcOrd="1" destOrd="0" presId="urn:microsoft.com/office/officeart/2005/8/layout/venn1"/>
    <dgm:cxn modelId="{21E9B088-F80F-4220-8023-8143DB9AE466}" type="presParOf" srcId="{FF76776E-EAE2-49B0-8E3E-08E82BC0EB05}" destId="{8C20E4EA-9F9B-4CC5-9CB2-AA9491D3358E}" srcOrd="0" destOrd="0" presId="urn:microsoft.com/office/officeart/2005/8/layout/venn1"/>
    <dgm:cxn modelId="{21AD476E-7B44-4C88-B8D9-9A7DEA2A27A4}" type="presParOf" srcId="{FF76776E-EAE2-49B0-8E3E-08E82BC0EB05}" destId="{065E1C70-6711-484F-BDD0-2FEBDD17056F}" srcOrd="1" destOrd="0" presId="urn:microsoft.com/office/officeart/2005/8/layout/venn1"/>
    <dgm:cxn modelId="{6BF91416-1906-423A-88CC-8872AAB55FE0}" type="presParOf" srcId="{FF76776E-EAE2-49B0-8E3E-08E82BC0EB05}" destId="{8F3E0E68-B631-4B68-ADE4-3C2DE1C1E5D0}" srcOrd="2" destOrd="0" presId="urn:microsoft.com/office/officeart/2005/8/layout/venn1"/>
    <dgm:cxn modelId="{F549B7C9-7FB5-493C-927C-8DA56CE37396}" type="presParOf" srcId="{FF76776E-EAE2-49B0-8E3E-08E82BC0EB05}" destId="{13F7CE0A-12D4-46D9-B260-054BE9D40406}" srcOrd="3" destOrd="0" presId="urn:microsoft.com/office/officeart/2005/8/layout/venn1"/>
  </dgm:cxnLst>
  <dgm:bg/>
  <dgm:whole/>
  <dgm:extLst>
    <a:ext uri="http://schemas.microsoft.com/office/drawing/2008/diagram">
      <dsp:dataModelExt xmlns:dsp="http://schemas.microsoft.com/office/drawing/2008/diagram" relId="rId2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C20E4EA-9F9B-4CC5-9CB2-AA9491D3358E}">
      <dsp:nvSpPr>
        <dsp:cNvPr id="0" name=""/>
        <dsp:cNvSpPr/>
      </dsp:nvSpPr>
      <dsp:spPr>
        <a:xfrm>
          <a:off x="147761" y="603221"/>
          <a:ext cx="2213715" cy="1884334"/>
        </a:xfrm>
        <a:prstGeom prst="ellipse">
          <a:avLst/>
        </a:prstGeom>
        <a:solidFill>
          <a:schemeClr val="accent1">
            <a:alpha val="50000"/>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tx1"/>
        </a:fontRef>
      </dsp:style>
      <dsp:txBody>
        <a:bodyPr spcFirstLastPara="0" vert="horz" wrap="square" lIns="0" tIns="0" rIns="0" bIns="0" numCol="1" spcCol="1270" anchor="ctr" anchorCtr="0">
          <a:noAutofit/>
        </a:bodyPr>
        <a:lstStyle/>
        <a:p>
          <a:pPr marL="0" lvl="0" indent="0" algn="ctr" defTabSz="977900">
            <a:lnSpc>
              <a:spcPct val="90000"/>
            </a:lnSpc>
            <a:spcBef>
              <a:spcPct val="0"/>
            </a:spcBef>
            <a:spcAft>
              <a:spcPct val="35000"/>
            </a:spcAft>
            <a:buNone/>
          </a:pPr>
          <a:r>
            <a:rPr lang="en-GB" sz="2200" kern="1200"/>
            <a:t>Megacable</a:t>
          </a:r>
        </a:p>
      </dsp:txBody>
      <dsp:txXfrm>
        <a:off x="456884" y="825425"/>
        <a:ext cx="1276376" cy="1439927"/>
      </dsp:txXfrm>
    </dsp:sp>
    <dsp:sp modelId="{8F3E0E68-B631-4B68-ADE4-3C2DE1C1E5D0}">
      <dsp:nvSpPr>
        <dsp:cNvPr id="0" name=""/>
        <dsp:cNvSpPr/>
      </dsp:nvSpPr>
      <dsp:spPr>
        <a:xfrm>
          <a:off x="1787306" y="338688"/>
          <a:ext cx="2413400" cy="2413400"/>
        </a:xfrm>
        <a:prstGeom prst="ellipse">
          <a:avLst/>
        </a:prstGeom>
        <a:solidFill>
          <a:schemeClr val="accent1">
            <a:alpha val="50000"/>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tx1"/>
        </a:fontRef>
      </dsp:style>
      <dsp:txBody>
        <a:bodyPr spcFirstLastPara="0" vert="horz" wrap="square" lIns="0" tIns="0" rIns="0" bIns="0" numCol="1" spcCol="1270" anchor="ctr" anchorCtr="0">
          <a:noAutofit/>
        </a:bodyPr>
        <a:lstStyle/>
        <a:p>
          <a:pPr marL="0" lvl="0" indent="0" algn="ctr" defTabSz="977900">
            <a:lnSpc>
              <a:spcPct val="90000"/>
            </a:lnSpc>
            <a:spcBef>
              <a:spcPct val="0"/>
            </a:spcBef>
            <a:spcAft>
              <a:spcPct val="35000"/>
            </a:spcAft>
            <a:buNone/>
          </a:pPr>
          <a:r>
            <a:rPr lang="en-GB" sz="2200" kern="1200"/>
            <a:t>Izzy</a:t>
          </a:r>
        </a:p>
      </dsp:txBody>
      <dsp:txXfrm>
        <a:off x="2472190" y="623280"/>
        <a:ext cx="1391510" cy="1844216"/>
      </dsp:txXfrm>
    </dsp:sp>
  </dsp:spTree>
</dsp:drawing>
</file>

<file path=xl/diagrams/layout1.xml><?xml version="1.0" encoding="utf-8"?>
<dgm:layoutDef xmlns:dgm="http://schemas.openxmlformats.org/drawingml/2006/diagram" xmlns:a="http://schemas.openxmlformats.org/drawingml/2006/main" uniqueId="urn:microsoft.com/office/officeart/2005/8/layout/venn1">
  <dgm:title val=""/>
  <dgm:desc val=""/>
  <dgm:catLst>
    <dgm:cat type="relationship" pri="28000"/>
    <dgm:cat type="convert" pri="19000"/>
  </dgm:catLst>
  <dgm:sampData useDef="1">
    <dgm:dataModel>
      <dgm:ptLst/>
      <dgm:bg/>
      <dgm:whole/>
    </dgm:dataModel>
  </dgm:sampData>
  <dgm:styleData useDef="1">
    <dgm:dataModel>
      <dgm:ptLst/>
      <dgm:bg/>
      <dgm:whole/>
    </dgm:dataModel>
  </dgm:styleData>
  <dgm:clrData>
    <dgm:dataModel>
      <dgm:ptLst>
        <dgm:pt modelId="0" type="doc"/>
        <dgm:pt modelId="1"/>
        <dgm:pt modelId="2"/>
        <dgm:pt modelId="3"/>
        <dgm:pt modelId="4"/>
      </dgm:ptLst>
      <dgm:cxnLst>
        <dgm:cxn modelId="7" srcId="0" destId="1" srcOrd="0" destOrd="0"/>
        <dgm:cxn modelId="8" srcId="0" destId="2" srcOrd="1" destOrd="0"/>
        <dgm:cxn modelId="9" srcId="0" destId="3" srcOrd="2" destOrd="0"/>
        <dgm:cxn modelId="10" srcId="0" destId="4" srcOrd="3" destOrd="0"/>
      </dgm:cxnLst>
      <dgm:bg/>
      <dgm:whole/>
    </dgm:dataModel>
  </dgm:clrData>
  <dgm:layoutNode name="compositeShape">
    <dgm:varLst>
      <dgm:chMax val="7"/>
      <dgm:dir/>
      <dgm:resizeHandles val="exact"/>
    </dgm:varLst>
    <dgm:choose name="Name0">
      <dgm:if name="Name1" axis="ch" ptType="node" func="cnt" op="equ" val="1">
        <dgm:alg type="composite">
          <dgm:param type="ar" val="1"/>
        </dgm:alg>
      </dgm:if>
      <dgm:if name="Name2" axis="ch" ptType="node" func="cnt" op="equ" val="2">
        <dgm:alg type="composite">
          <dgm:param type="ar" val="1.792"/>
        </dgm:alg>
      </dgm:if>
      <dgm:if name="Name3" axis="ch" ptType="node" func="cnt" op="equ" val="3">
        <dgm:alg type="composite">
          <dgm:param type="ar" val="1"/>
        </dgm:alg>
      </dgm:if>
      <dgm:if name="Name4" axis="ch" ptType="node" func="cnt" op="equ" val="4">
        <dgm:alg type="composite">
          <dgm:param type="ar" val="1"/>
        </dgm:alg>
      </dgm:if>
      <dgm:if name="Name5" axis="ch" ptType="node" func="cnt" op="equ" val="5">
        <dgm:alg type="composite">
          <dgm:param type="ar" val="1.4"/>
        </dgm:alg>
      </dgm:if>
      <dgm:if name="Name6" axis="ch" ptType="node" func="cnt" op="equ" val="6">
        <dgm:alg type="composite">
          <dgm:param type="ar" val="1.285"/>
        </dgm:alg>
      </dgm:if>
      <dgm:if name="Name7" axis="ch" ptType="node" func="cnt" op="equ" val="7">
        <dgm:alg type="composite">
          <dgm:param type="ar" val="1.359"/>
        </dgm:alg>
      </dgm:if>
      <dgm:else name="Name8">
        <dgm:alg type="composite">
          <dgm:param type="ar" val="1.359"/>
        </dgm:alg>
      </dgm:else>
    </dgm:choose>
    <dgm:shape xmlns:r="http://schemas.openxmlformats.org/officeDocument/2006/relationships" r:blip="">
      <dgm:adjLst/>
    </dgm:shape>
    <dgm:presOf/>
    <dgm:choose name="Name9">
      <dgm:if name="Name10" axis="ch" ptType="node" func="cnt" op="equ" val="1">
        <dgm:constrLst>
          <dgm:constr type="ctrX" for="ch" forName="circ1TxSh" refType="w" fact="0.5"/>
          <dgm:constr type="ctrY" for="ch" forName="circ1TxSh" refType="h" fact="0.5"/>
          <dgm:constr type="w" for="ch" forName="circ1TxSh" refType="w"/>
          <dgm:constr type="h" for="ch" forName="circ1TxSh" refType="h"/>
          <dgm:constr type="primFontSz" for="ch" ptType="node" op="equ"/>
        </dgm:constrLst>
      </dgm:if>
      <dgm:if name="Name11" axis="ch" ptType="node" func="cnt" op="equ" val="2">
        <dgm:constrLst>
          <dgm:constr type="ctrX" for="ch" forName="circ1" refType="w" fact="0.3"/>
          <dgm:constr type="ctrY" for="ch" forName="circ1" refType="h" fact="0.5"/>
          <dgm:constr type="w" for="ch" forName="circ1" refType="w" fact="0.555"/>
          <dgm:constr type="h" for="ch" forName="circ1" refType="h" fact="0.99456"/>
          <dgm:constr type="l" for="ch" forName="circ1Tx" refType="w" fact="0.1"/>
          <dgm:constr type="t" for="ch" forName="circ1Tx" refType="h" fact="0.12"/>
          <dgm:constr type="w" for="ch" forName="circ1Tx" refType="w" fact="0.32"/>
          <dgm:constr type="h" for="ch" forName="circ1Tx" refType="h" fact="0.76"/>
          <dgm:constr type="ctrX" for="ch" forName="circ2" refType="w" fact="0.7"/>
          <dgm:constr type="ctrY" for="ch" forName="circ2" refType="h" fact="0.5"/>
          <dgm:constr type="w" for="ch" forName="circ2" refType="w" fact="0.555"/>
          <dgm:constr type="h" for="ch" forName="circ2" refType="h" fact="0.99456"/>
          <dgm:constr type="l" for="ch" forName="circ2Tx" refType="w" fact="0.58"/>
          <dgm:constr type="t" for="ch" forName="circ2Tx" refType="h" fact="0.12"/>
          <dgm:constr type="w" for="ch" forName="circ2Tx" refType="w" fact="0.32"/>
          <dgm:constr type="h" for="ch" forName="circ2Tx" refType="h" fact="0.76"/>
          <dgm:constr type="primFontSz" for="ch" ptType="node" op="equ"/>
        </dgm:constrLst>
      </dgm:if>
      <dgm:if name="Name12" axis="ch" ptType="node" func="cnt" op="equ" val="3">
        <dgm:constrLst>
          <dgm:constr type="ctrX" for="ch" forName="circ1" refType="w" fact="0.5"/>
          <dgm:constr type="ctrY" for="ch" forName="circ1" refType="w" fact="0.25"/>
          <dgm:constr type="w" for="ch" forName="circ1" refType="w" fact="0.6"/>
          <dgm:constr type="h" for="ch" forName="circ1" refType="h" fact="0.6"/>
          <dgm:constr type="l" for="ch" forName="circ1Tx" refType="w" fact="0.28"/>
          <dgm:constr type="t" for="ch" forName="circ1Tx" refType="h" fact="0.055"/>
          <dgm:constr type="w" for="ch" forName="circ1Tx" refType="w" fact="0.44"/>
          <dgm:constr type="h" for="ch" forName="circ1Tx" refType="h" fact="0.27"/>
          <dgm:constr type="ctrX" for="ch" forName="circ2" refType="w" fact="0.7165"/>
          <dgm:constr type="ctrY" for="ch" forName="circ2" refType="w" fact="0.625"/>
          <dgm:constr type="w" for="ch" forName="circ2" refType="w" fact="0.6"/>
          <dgm:constr type="h" for="ch" forName="circ2" refType="h" fact="0.6"/>
          <dgm:constr type="l" for="ch" forName="circ2Tx" refType="w" fact="0.6"/>
          <dgm:constr type="t" for="ch" forName="circ2Tx" refType="h" fact="0.48"/>
          <dgm:constr type="w" for="ch" forName="circ2Tx" refType="w" fact="0.36"/>
          <dgm:constr type="h" for="ch" forName="circ2Tx" refType="h" fact="0.33"/>
          <dgm:constr type="ctrX" for="ch" forName="circ3" refType="w" fact="0.2835"/>
          <dgm:constr type="ctrY" for="ch" forName="circ3" refType="w" fact="0.625"/>
          <dgm:constr type="w" for="ch" forName="circ3" refType="w" fact="0.6"/>
          <dgm:constr type="h" for="ch" forName="circ3" refType="h" fact="0.6"/>
          <dgm:constr type="l" for="ch" forName="circ3Tx" refType="w" fact="0.04"/>
          <dgm:constr type="t" for="ch" forName="circ3Tx" refType="h" fact="0.48"/>
          <dgm:constr type="w" for="ch" forName="circ3Tx" refType="w" fact="0.36"/>
          <dgm:constr type="h" for="ch" forName="circ3Tx" refType="h" fact="0.33"/>
          <dgm:constr type="primFontSz" for="ch" ptType="node" op="equ"/>
        </dgm:constrLst>
      </dgm:if>
      <dgm:if name="Name13" axis="ch" ptType="node" func="cnt" op="equ" val="4">
        <dgm:constrLst>
          <dgm:constr type="ctrX" for="ch" forName="circ1" refType="w" fact="0.5"/>
          <dgm:constr type="ctrY" for="ch" forName="circ1" refType="w" fact="0.27"/>
          <dgm:constr type="w" for="ch" forName="circ1" refType="w" fact="0.52"/>
          <dgm:constr type="h" for="ch" forName="circ1" refType="h" fact="0.52"/>
          <dgm:constr type="l" for="ch" forName="circ1Tx" refType="w" fact="0.3"/>
          <dgm:constr type="t" for="ch" forName="circ1Tx" refType="h" fact="0.08"/>
          <dgm:constr type="w" for="ch" forName="circ1Tx" refType="w" fact="0.4"/>
          <dgm:constr type="h" for="ch" forName="circ1Tx" refType="h" fact="0.165"/>
          <dgm:constr type="ctrX" for="ch" forName="circ2" refType="w" fact="0.73"/>
          <dgm:constr type="ctrY" for="ch" forName="circ2" refType="w" fact="0.5"/>
          <dgm:constr type="w" for="ch" forName="circ2" refType="w" fact="0.52"/>
          <dgm:constr type="h" for="ch" forName="circ2" refType="h" fact="0.52"/>
          <dgm:constr type="r" for="ch" forName="circ2Tx" refType="w" fact="0.95"/>
          <dgm:constr type="t" for="ch" forName="circ2Tx" refType="h" fact="0.3"/>
          <dgm:constr type="w" for="ch" forName="circ2Tx" refType="w" fact="0.2"/>
          <dgm:constr type="h" for="ch" forName="circ2Tx" refType="h" fact="0.4"/>
          <dgm:constr type="ctrX" for="ch" forName="circ3" refType="w" fact="0.5"/>
          <dgm:constr type="ctrY" for="ch" forName="circ3" refType="w" fact="0.73"/>
          <dgm:constr type="w" for="ch" forName="circ3" refType="w" fact="0.52"/>
          <dgm:constr type="h" for="ch" forName="circ3" refType="h" fact="0.52"/>
          <dgm:constr type="l" for="ch" forName="circ3Tx" refType="w" fact="0.3"/>
          <dgm:constr type="b" for="ch" forName="circ3Tx" refType="h" fact="0.92"/>
          <dgm:constr type="w" for="ch" forName="circ3Tx" refType="w" fact="0.4"/>
          <dgm:constr type="h" for="ch" forName="circ3Tx" refType="h" fact="0.165"/>
          <dgm:constr type="ctrX" for="ch" forName="circ4" refType="w" fact="0.27"/>
          <dgm:constr type="ctrY" for="ch" forName="circ4" refType="h" fact="0.5"/>
          <dgm:constr type="w" for="ch" forName="circ4" refType="w" fact="0.52"/>
          <dgm:constr type="h" for="ch" forName="circ4" refType="h" fact="0.52"/>
          <dgm:constr type="l" for="ch" forName="circ4Tx" refType="w" fact="0.05"/>
          <dgm:constr type="t" for="ch" forName="circ4Tx" refType="h" fact="0.3"/>
          <dgm:constr type="w" for="ch" forName="circ4Tx" refType="w" fact="0.2"/>
          <dgm:constr type="h" for="ch" forName="circ4Tx" refType="h" fact="0.4"/>
          <dgm:constr type="primFontSz" for="ch" ptType="node" op="equ"/>
        </dgm:constrLst>
      </dgm:if>
      <dgm:if name="Name14" axis="ch" ptType="node" func="cnt" op="equ" val="5">
        <dgm:constrLst>
          <dgm:constr type="ctrX" for="ch" forName="circ1" refType="w" fact="0.5"/>
          <dgm:constr type="ctrY" for="ch" forName="circ1" refType="h" fact="0.46"/>
          <dgm:constr type="w" for="ch" forName="circ1" refType="w" fact="0.25"/>
          <dgm:constr type="h" for="ch" forName="circ1" refType="h" fact="0.35"/>
          <dgm:constr type="l" for="ch" forName="circ1Tx" refType="w" fact="0.355"/>
          <dgm:constr type="t" for="ch" forName="circ1Tx"/>
          <dgm:constr type="w" for="ch" forName="circ1Tx" refType="w" fact="0.29"/>
          <dgm:constr type="h" for="ch" forName="circ1Tx" refType="h" fact="0.235"/>
          <dgm:constr type="ctrX" for="ch" forName="circ2" refType="w" fact="0.5951"/>
          <dgm:constr type="ctrY" for="ch" forName="circ2" refType="h" fact="0.5567"/>
          <dgm:constr type="w" for="ch" forName="circ2" refType="w" fact="0.25"/>
          <dgm:constr type="h" for="ch" forName="circ2" refType="h" fact="0.35"/>
          <dgm:constr type="l" for="ch" forName="circ2Tx" refType="w" fact="0.74"/>
          <dgm:constr type="t" for="ch" forName="circ2Tx" refType="h" fact="0.31"/>
          <dgm:constr type="w" for="ch" forName="circ2Tx" refType="w" fact="0.26"/>
          <dgm:constr type="h" for="ch" forName="circ2Tx" refType="h" fact="0.255"/>
          <dgm:constr type="ctrX" for="ch" forName="circ3" refType="w" fact="0.5588"/>
          <dgm:constr type="ctrY" for="ch" forName="circ3" refType="h" fact="0.7133"/>
          <dgm:constr type="w" for="ch" forName="circ3" refType="w" fact="0.25"/>
          <dgm:constr type="h" for="ch" forName="circ3" refType="h" fact="0.35"/>
          <dgm:constr type="l" for="ch" forName="circ3Tx" refType="w" fact="0.7"/>
          <dgm:constr type="t" for="ch" forName="circ3Tx" refType="h" fact="0.745"/>
          <dgm:constr type="w" for="ch" forName="circ3Tx" refType="w" fact="0.26"/>
          <dgm:constr type="h" for="ch" forName="circ3Tx" refType="h" fact="0.255"/>
          <dgm:constr type="ctrX" for="ch" forName="circ4" refType="w" fact="0.4412"/>
          <dgm:constr type="ctrY" for="ch" forName="circ4" refType="h" fact="0.7133"/>
          <dgm:constr type="w" for="ch" forName="circ4" refType="w" fact="0.25"/>
          <dgm:constr type="h" for="ch" forName="circ4" refType="h" fact="0.35"/>
          <dgm:constr type="l" for="ch" forName="circ4Tx" refType="w" fact="0.04"/>
          <dgm:constr type="t" for="ch" forName="circ4Tx" refType="h" fact="0.745"/>
          <dgm:constr type="w" for="ch" forName="circ4Tx" refType="w" fact="0.26"/>
          <dgm:constr type="h" for="ch" forName="circ4Tx" refType="h" fact="0.255"/>
          <dgm:constr type="ctrX" for="ch" forName="circ5" refType="w" fact="0.4049"/>
          <dgm:constr type="ctrY" for="ch" forName="circ5" refType="h" fact="0.5567"/>
          <dgm:constr type="w" for="ch" forName="circ5" refType="w" fact="0.25"/>
          <dgm:constr type="h" for="ch" forName="circ5" refType="h" fact="0.35"/>
          <dgm:constr type="l" for="ch" forName="circ5Tx"/>
          <dgm:constr type="t" for="ch" forName="circ5Tx" refType="h" fact="0.31"/>
          <dgm:constr type="w" for="ch" forName="circ5Tx" refType="w" fact="0.26"/>
          <dgm:constr type="h" for="ch" forName="circ5Tx" refType="h" fact="0.255"/>
          <dgm:constr type="primFontSz" for="ch" ptType="node" op="equ"/>
        </dgm:constrLst>
      </dgm:if>
      <dgm:if name="Name15" axis="ch" ptType="node" func="cnt" op="equ" val="6">
        <dgm:constrLst>
          <dgm:constr type="ctrX" for="ch" forName="circ1" refType="w" fact="0.5"/>
          <dgm:constr type="ctrY" for="ch" forName="circ1" refType="h" fact="0.3844"/>
          <dgm:constr type="w" for="ch" forName="circ1" refType="w" fact="0.24"/>
          <dgm:constr type="h" for="ch" forName="circ1" refType="h" fact="0.3084"/>
          <dgm:constr type="l" for="ch" forName="circ1Tx" refType="w" fact="0.35"/>
          <dgm:constr type="t" for="ch" forName="circ1Tx"/>
          <dgm:constr type="w" for="ch" forName="circ1Tx" refType="w" fact="0.3"/>
          <dgm:constr type="h" for="ch" forName="circ1Tx" refType="h" fact="0.21"/>
          <dgm:constr type="ctrX" for="ch" forName="circ2" refType="w" fact="0.5779"/>
          <dgm:constr type="ctrY" for="ch" forName="circ2" refType="h" fact="0.4422"/>
          <dgm:constr type="w" for="ch" forName="circ2" refType="w" fact="0.24"/>
          <dgm:constr type="h" for="ch" forName="circ2" refType="h" fact="0.3084"/>
          <dgm:constr type="l" for="ch" forName="circ2Tx" refType="w" fact="0.7157"/>
          <dgm:constr type="t" for="ch" forName="circ2Tx" refType="h" fact="0.2"/>
          <dgm:constr type="w" for="ch" forName="circ2Tx" refType="w" fact="0.2843"/>
          <dgm:constr type="h" for="ch" forName="circ2Tx" refType="h" fact="0.23"/>
          <dgm:constr type="ctrX" for="ch" forName="circ3" refType="w" fact="0.5779"/>
          <dgm:constr type="ctrY" for="ch" forName="circ3" refType="h" fact="0.5578"/>
          <dgm:constr type="w" for="ch" forName="circ3" refType="w" fact="0.24"/>
          <dgm:constr type="h" for="ch" forName="circ3" refType="h" fact="0.3084"/>
          <dgm:constr type="l" for="ch" forName="circ3Tx" refType="w" fact="0.7157"/>
          <dgm:constr type="t" for="ch" forName="circ3Tx" refType="h" fact="0.543"/>
          <dgm:constr type="w" for="ch" forName="circ3Tx" refType="w" fact="0.2843"/>
          <dgm:constr type="h" for="ch" forName="circ3Tx" refType="h" fact="0.257"/>
          <dgm:constr type="ctrX" for="ch" forName="circ4" refType="w" fact="0.5"/>
          <dgm:constr type="ctrY" for="ch" forName="circ4" refType="h" fact="0.6157"/>
          <dgm:constr type="w" for="ch" forName="circ4" refType="w" fact="0.24"/>
          <dgm:constr type="h" for="ch" forName="circ4" refType="h" fact="0.3084"/>
          <dgm:constr type="l" for="ch" forName="circ4Tx" refType="w" fact="0.35"/>
          <dgm:constr type="t" for="ch" forName="circ4Tx" refType="h" fact="0.79"/>
          <dgm:constr type="w" for="ch" forName="circ4Tx" refType="w" fact="0.3"/>
          <dgm:constr type="h" for="ch" forName="circ4Tx" refType="h" fact="0.21"/>
          <dgm:constr type="ctrX" for="ch" forName="circ5" refType="w" fact="0.4221"/>
          <dgm:constr type="ctrY" for="ch" forName="circ5" refType="h" fact="0.5578"/>
          <dgm:constr type="w" for="ch" forName="circ5" refType="w" fact="0.24"/>
          <dgm:constr type="h" for="ch" forName="circ5" refType="h" fact="0.3084"/>
          <dgm:constr type="l" for="ch" forName="circ5Tx" refType="w" fact="0"/>
          <dgm:constr type="t" for="ch" forName="circ5Tx" refType="h" fact="0.543"/>
          <dgm:constr type="w" for="ch" forName="circ5Tx" refType="w" fact="0.2843"/>
          <dgm:constr type="h" for="ch" forName="circ5Tx" refType="h" fact="0.257"/>
          <dgm:constr type="ctrX" for="ch" forName="circ6" refType="w" fact="0.4221"/>
          <dgm:constr type="ctrY" for="ch" forName="circ6" refType="h" fact="0.4422"/>
          <dgm:constr type="w" for="ch" forName="circ6" refType="w" fact="0.24"/>
          <dgm:constr type="h" for="ch" forName="circ6" refType="h" fact="0.3084"/>
          <dgm:constr type="l" for="ch" forName="circ6Tx" refType="w" fact="0"/>
          <dgm:constr type="t" for="ch" forName="circ6Tx" refType="h" fact="0.2"/>
          <dgm:constr type="w" for="ch" forName="circ6Tx" refType="w" fact="0.2843"/>
          <dgm:constr type="h" for="ch" forName="circ6Tx" refType="h" fact="0.257"/>
          <dgm:constr type="primFontSz" for="ch" ptType="node" op="equ"/>
        </dgm:constrLst>
      </dgm:if>
      <dgm:else name="Name16">
        <dgm:constrLst>
          <dgm:constr type="ctrX" for="ch" forName="circ1" refType="w" fact="0.5"/>
          <dgm:constr type="ctrY" for="ch" forName="circ1" refType="h" fact="0.4177"/>
          <dgm:constr type="w" for="ch" forName="circ1" refType="w" fact="0.24"/>
          <dgm:constr type="h" for="ch" forName="circ1" refType="h" fact="0.3262"/>
          <dgm:constr type="l" for="ch" forName="circ1Tx" refType="w" fact="0.3625"/>
          <dgm:constr type="t" for="ch" forName="circ1Tx"/>
          <dgm:constr type="w" for="ch" forName="circ1Tx" refType="w" fact="0.275"/>
          <dgm:constr type="h" for="ch" forName="circ1Tx" refType="h" fact="0.2"/>
          <dgm:constr type="ctrX" for="ch" forName="circ2" refType="w" fact="0.5704"/>
          <dgm:constr type="ctrY" for="ch" forName="circ2" refType="h" fact="0.4637"/>
          <dgm:constr type="w" for="ch" forName="circ2" refType="w" fact="0.24"/>
          <dgm:constr type="h" for="ch" forName="circ2" refType="h" fact="0.3262"/>
          <dgm:constr type="l" for="ch" forName="circ2Tx" refType="w" fact="0.72"/>
          <dgm:constr type="t" for="ch" forName="circ2Tx" refType="h" fact="0.19"/>
          <dgm:constr type="w" for="ch" forName="circ2Tx" refType="w" fact="0.26"/>
          <dgm:constr type="h" for="ch" forName="circ2Tx" refType="h" fact="0.22"/>
          <dgm:constr type="ctrX" for="ch" forName="circ3" refType="w" fact="0.5877"/>
          <dgm:constr type="ctrY" for="ch" forName="circ3" refType="h" fact="0.5672"/>
          <dgm:constr type="w" for="ch" forName="circ3" refType="w" fact="0.24"/>
          <dgm:constr type="h" for="ch" forName="circ3" refType="h" fact="0.3262"/>
          <dgm:constr type="l" for="ch" forName="circ3Tx" refType="w" fact="0.745"/>
          <dgm:constr type="t" for="ch" forName="circ3Tx" refType="h" fact="0.47"/>
          <dgm:constr type="w" for="ch" forName="circ3Tx" refType="w" fact="0.255"/>
          <dgm:constr type="h" for="ch" forName="circ3Tx" refType="h" fact="0.235"/>
          <dgm:constr type="ctrX" for="ch" forName="circ4" refType="w" fact="0.539"/>
          <dgm:constr type="ctrY" for="ch" forName="circ4" refType="h" fact="0.6502"/>
          <dgm:constr type="w" for="ch" forName="circ4" refType="w" fact="0.24"/>
          <dgm:constr type="h" for="ch" forName="circ4" refType="h" fact="0.3262"/>
          <dgm:constr type="l" for="ch" forName="circ4Tx" refType="w" fact="0.635"/>
          <dgm:constr type="t" for="ch" forName="circ4Tx" refType="h" fact="0.785"/>
          <dgm:constr type="w" for="ch" forName="circ4Tx" refType="w" fact="0.275"/>
          <dgm:constr type="h" for="ch" forName="circ4Tx" refType="h" fact="0.215"/>
          <dgm:constr type="ctrX" for="ch" forName="circ5" refType="w" fact="0.461"/>
          <dgm:constr type="ctrY" for="ch" forName="circ5" refType="h" fact="0.6502"/>
          <dgm:constr type="w" for="ch" forName="circ5" refType="w" fact="0.24"/>
          <dgm:constr type="h" for="ch" forName="circ5" refType="h" fact="0.3262"/>
          <dgm:constr type="l" for="ch" forName="circ5Tx" refType="w" fact="0.09"/>
          <dgm:constr type="t" for="ch" forName="circ5Tx" refType="h" fact="0.785"/>
          <dgm:constr type="w" for="ch" forName="circ5Tx" refType="w" fact="0.275"/>
          <dgm:constr type="h" for="ch" forName="circ5Tx" refType="h" fact="0.215"/>
          <dgm:constr type="ctrX" for="ch" forName="circ6" refType="w" fact="0.4123"/>
          <dgm:constr type="ctrY" for="ch" forName="circ6" refType="h" fact="0.5672"/>
          <dgm:constr type="w" for="ch" forName="circ6" refType="w" fact="0.24"/>
          <dgm:constr type="h" for="ch" forName="circ6" refType="h" fact="0.3262"/>
          <dgm:constr type="l" for="ch" forName="circ6Tx"/>
          <dgm:constr type="t" for="ch" forName="circ6Tx" refType="h" fact="0.47"/>
          <dgm:constr type="w" for="ch" forName="circ6Tx" refType="w" fact="0.255"/>
          <dgm:constr type="h" for="ch" forName="circ6Tx" refType="h" fact="0.235"/>
          <dgm:constr type="ctrX" for="ch" forName="circ7" refType="w" fact="0.4296"/>
          <dgm:constr type="ctrY" for="ch" forName="circ7" refType="h" fact="0.4637"/>
          <dgm:constr type="w" for="ch" forName="circ7" refType="w" fact="0.24"/>
          <dgm:constr type="h" for="ch" forName="circ7" refType="h" fact="0.3262"/>
          <dgm:constr type="l" for="ch" forName="circ7Tx" refType="w" fact="0.02"/>
          <dgm:constr type="t" for="ch" forName="circ7Tx" refType="h" fact="0.19"/>
          <dgm:constr type="w" for="ch" forName="circ7Tx" refType="w" fact="0.26"/>
          <dgm:constr type="h" for="ch" forName="circ7Tx" refType="h" fact="0.22"/>
          <dgm:constr type="primFontSz" for="ch" ptType="node" op="equ"/>
        </dgm:constrLst>
      </dgm:else>
    </dgm:choose>
    <dgm:ruleLst/>
    <dgm:forEach name="Name17" axis="ch" ptType="node" cnt="1">
      <dgm:choose name="Name18">
        <dgm:if name="Name19" axis="root ch" ptType="all node" func="cnt" op="equ" val="1">
          <dgm:layoutNode name="circ1TxSh" styleLbl="vennNode1">
            <dgm:alg type="tx">
              <dgm:param type="txAnchorHorzCh" val="ctr"/>
              <dgm:param type="txAnchorVertCh" val="mid"/>
            </dgm:alg>
            <dgm:shape xmlns:r="http://schemas.openxmlformats.org/officeDocument/2006/relationships" type="ellipse" r:blip="">
              <dgm:adjLst/>
            </dgm:shape>
            <dgm:choose name="Name20">
              <dgm:if name="Name21" func="var" arg="dir" op="equ" val="norm">
                <dgm:choose name="Name22">
                  <dgm:if name="Name23" axis="root ch" ptType="all node" func="cnt" op="lte" val="4">
                    <dgm:presOf axis="desOrSelf" ptType="node"/>
                  </dgm:if>
                  <dgm:else name="Name24">
                    <dgm:presOf/>
                  </dgm:else>
                </dgm:choose>
              </dgm:if>
              <dgm:else name="Name25">
                <dgm:choose name="Name26">
                  <dgm:if name="Name27" axis="root ch" ptType="all node" func="cnt" op="equ" val="2">
                    <dgm:presOf axis="root ch desOrSelf" ptType="all node node" st="1 2 1" cnt="1 1 0"/>
                  </dgm:if>
                  <dgm:else name="Name28">
                    <dgm:presOf axis="desOrSelf" ptType="node"/>
                  </dgm:else>
                </dgm:choose>
              </dgm:else>
            </dgm:choose>
            <dgm:constrLst>
              <dgm:constr type="tMarg"/>
              <dgm:constr type="bMarg"/>
              <dgm:constr type="lMarg"/>
              <dgm:constr type="rMarg"/>
              <dgm:constr type="primFontSz" val="65"/>
            </dgm:constrLst>
            <dgm:ruleLst>
              <dgm:rule type="primFontSz" val="5" fact="NaN" max="NaN"/>
            </dgm:ruleLst>
          </dgm:layoutNode>
        </dgm:if>
        <dgm:else name="Name29">
          <dgm:layoutNode name="circ1" styleLbl="vennNode1">
            <dgm:alg type="sp"/>
            <dgm:shape xmlns:r="http://schemas.openxmlformats.org/officeDocument/2006/relationships" type="ellipse" r:blip="">
              <dgm:adjLst/>
            </dgm:shape>
            <dgm:choose name="Name30">
              <dgm:if name="Name31" func="var" arg="dir" op="equ" val="norm">
                <dgm:choose name="Name32">
                  <dgm:if name="Name33" axis="root ch" ptType="all node" func="cnt" op="lte" val="4">
                    <dgm:presOf axis="desOrSelf" ptType="node"/>
                  </dgm:if>
                  <dgm:else name="Name34">
                    <dgm:presOf/>
                  </dgm:else>
                </dgm:choose>
              </dgm:if>
              <dgm:else name="Name35">
                <dgm:choose name="Name36">
                  <dgm:if name="Name37" axis="root ch" ptType="all node" func="cnt" op="equ" val="2">
                    <dgm:presOf axis="root ch desOrSelf" ptType="all node node" st="1 2 1" cnt="1 1 0"/>
                  </dgm:if>
                  <dgm:else name="Name38">
                    <dgm:choose name="Name39">
                      <dgm:if name="Name40" axis="root ch" ptType="all node" func="cnt" op="lte" val="4">
                        <dgm:presOf axis="desOrSelf" ptType="node"/>
                      </dgm:if>
                      <dgm:else name="Name41">
                        <dgm:presOf/>
                      </dgm:else>
                    </dgm:choose>
                  </dgm:else>
                </dgm:choose>
              </dgm:else>
            </dgm:choose>
            <dgm:constrLst/>
            <dgm:ruleLst/>
          </dgm:layoutNode>
          <dgm:layoutNode name="circ1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42">
              <dgm:if name="Name43" func="var" arg="dir" op="equ" val="norm">
                <dgm:presOf axis="desOrSelf" ptType="node"/>
              </dgm:if>
              <dgm:else name="Name44">
                <dgm:choose name="Name45">
                  <dgm:if name="Name46" axis="root ch" ptType="all node" func="cnt" op="equ" val="2">
                    <dgm:presOf axis="root ch desOrSelf" ptType="all node node" st="1 2 1" cnt="1 1 0"/>
                  </dgm:if>
                  <dgm:else name="Name47">
                    <dgm:presOf axis="desOrSelf" ptType="node"/>
                  </dgm:else>
                </dgm:choose>
              </dgm:else>
            </dgm:choose>
            <dgm:constrLst>
              <dgm:constr type="tMarg"/>
              <dgm:constr type="bMarg"/>
              <dgm:constr type="lMarg"/>
              <dgm:constr type="rMarg"/>
              <dgm:constr type="primFontSz" val="65"/>
            </dgm:constrLst>
            <dgm:ruleLst>
              <dgm:rule type="primFontSz" val="5" fact="NaN" max="NaN"/>
            </dgm:ruleLst>
          </dgm:layoutNode>
        </dgm:else>
      </dgm:choose>
    </dgm:forEach>
    <dgm:forEach name="Name48" axis="ch" ptType="node" st="2" cnt="1">
      <dgm:layoutNode name="circ2" styleLbl="vennNode1">
        <dgm:alg type="sp"/>
        <dgm:shape xmlns:r="http://schemas.openxmlformats.org/officeDocument/2006/relationships" type="ellipse" r:blip="">
          <dgm:adjLst/>
        </dgm:shape>
        <dgm:choose name="Name49">
          <dgm:if name="Name50" func="var" arg="dir" op="equ" val="norm">
            <dgm:choose name="Name51">
              <dgm:if name="Name52" axis="root ch" ptType="all node" func="cnt" op="lte" val="4">
                <dgm:presOf axis="desOrSelf" ptType="node"/>
              </dgm:if>
              <dgm:else name="Name53">
                <dgm:presOf/>
              </dgm:else>
            </dgm:choose>
          </dgm:if>
          <dgm:else name="Name54">
            <dgm:choose name="Name55">
              <dgm:if name="Name56" axis="root ch" ptType="all node" func="cnt" op="equ" val="2">
                <dgm:presOf axis="root ch desOrSelf" ptType="all node node" st="1 1 1" cnt="1 1 0"/>
              </dgm:if>
              <dgm:if name="Name57" axis="root ch" ptType="all node" func="cnt" op="equ" val="3">
                <dgm:presOf axis="root ch desOrSelf" ptType="all node node" st="1 3 1" cnt="1 1 0"/>
              </dgm:if>
              <dgm:if name="Name58" axis="root ch" ptType="all node" func="cnt" op="equ" val="4">
                <dgm:presOf axis="root ch desOrSelf" ptType="all node node" st="1 4 1" cnt="1 1 0"/>
              </dgm:if>
              <dgm:else name="Name59">
                <dgm:presOf/>
              </dgm:else>
            </dgm:choose>
          </dgm:else>
        </dgm:choose>
        <dgm:constrLst/>
        <dgm:ruleLst/>
      </dgm:layoutNode>
      <dgm:layoutNode name="circ2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60">
          <dgm:if name="Name61" func="var" arg="dir" op="equ" val="norm">
            <dgm:presOf axis="desOrSelf" ptType="node"/>
          </dgm:if>
          <dgm:else name="Name62">
            <dgm:choose name="Name63">
              <dgm:if name="Name64" axis="root ch" ptType="all node" func="cnt" op="equ" val="2">
                <dgm:presOf axis="root ch desOrSelf" ptType="all node node" st="1 1 1" cnt="1 1 0"/>
              </dgm:if>
              <dgm:if name="Name65" axis="root ch" ptType="all node" func="cnt" op="equ" val="3">
                <dgm:presOf axis="root ch desOrSelf" ptType="all node node" st="1 3 1" cnt="1 1 0"/>
              </dgm:if>
              <dgm:if name="Name66" axis="root ch" ptType="all node" func="cnt" op="equ" val="4">
                <dgm:presOf axis="root ch desOrSelf" ptType="all node node" st="1 4 1" cnt="1 1 0"/>
              </dgm:if>
              <dgm:if name="Name67" axis="root ch" ptType="all node" func="cnt" op="equ" val="5">
                <dgm:presOf axis="root ch desOrSelf" ptType="all node node" st="1 5 1" cnt="1 1 0"/>
              </dgm:if>
              <dgm:if name="Name68" axis="root ch" ptType="all node" func="cnt" op="equ" val="6">
                <dgm:presOf axis="root ch desOrSelf" ptType="all node node" st="1 6 1" cnt="1 1 0"/>
              </dgm:if>
              <dgm:else name="Name69">
                <dgm:presOf axis="root ch desOrSelf" ptType="all node node" st="1 7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70" axis="ch" ptType="node" st="3" cnt="1">
      <dgm:layoutNode name="circ3" styleLbl="vennNode1">
        <dgm:alg type="sp"/>
        <dgm:shape xmlns:r="http://schemas.openxmlformats.org/officeDocument/2006/relationships" type="ellipse" r:blip="">
          <dgm:adjLst/>
        </dgm:shape>
        <dgm:choose name="Name71">
          <dgm:if name="Name72" func="var" arg="dir" op="equ" val="norm">
            <dgm:choose name="Name73">
              <dgm:if name="Name74" axis="root ch" ptType="all node" func="cnt" op="lte" val="4">
                <dgm:presOf axis="desOrSelf" ptType="node"/>
              </dgm:if>
              <dgm:else name="Name75">
                <dgm:presOf/>
              </dgm:else>
            </dgm:choose>
          </dgm:if>
          <dgm:else name="Name76">
            <dgm:choose name="Name77">
              <dgm:if name="Name78" axis="root ch" ptType="all node" func="cnt" op="equ" val="3">
                <dgm:presOf axis="root ch desOrSelf" ptType="all node node" st="1 2 1" cnt="1 1 0"/>
              </dgm:if>
              <dgm:if name="Name79" axis="root ch" ptType="all node" func="cnt" op="equ" val="4">
                <dgm:presOf axis="root ch desOrSelf" ptType="all node node" st="1 3 1" cnt="1 1 0"/>
              </dgm:if>
              <dgm:else name="Name80">
                <dgm:presOf/>
              </dgm:else>
            </dgm:choose>
          </dgm:else>
        </dgm:choose>
        <dgm:constrLst/>
        <dgm:ruleLst/>
      </dgm:layoutNode>
      <dgm:layoutNode name="circ3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81">
          <dgm:if name="Name82" func="var" arg="dir" op="equ" val="norm">
            <dgm:presOf axis="desOrSelf" ptType="node"/>
          </dgm:if>
          <dgm:else name="Name83">
            <dgm:choose name="Name84">
              <dgm:if name="Name85" axis="root ch" ptType="all node" func="cnt" op="equ" val="3">
                <dgm:presOf axis="root ch desOrSelf" ptType="all node node" st="1 2 1" cnt="1 1 0"/>
              </dgm:if>
              <dgm:if name="Name86" axis="root ch" ptType="all node" func="cnt" op="equ" val="4">
                <dgm:presOf axis="root ch desOrSelf" ptType="all node node" st="1 3 1" cnt="1 1 0"/>
              </dgm:if>
              <dgm:if name="Name87" axis="root ch" ptType="all node" func="cnt" op="equ" val="5">
                <dgm:presOf axis="root ch desOrSelf" ptType="all node node" st="1 4 1" cnt="1 1 0"/>
              </dgm:if>
              <dgm:if name="Name88" axis="root ch" ptType="all node" func="cnt" op="equ" val="6">
                <dgm:presOf axis="root ch desOrSelf" ptType="all node node" st="1 5 1" cnt="1 1 0"/>
              </dgm:if>
              <dgm:else name="Name89">
                <dgm:presOf axis="root ch desOrSelf" ptType="all node node" st="1 6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90" axis="ch" ptType="node" st="4" cnt="1">
      <dgm:layoutNode name="circ4" styleLbl="vennNode1">
        <dgm:alg type="sp"/>
        <dgm:shape xmlns:r="http://schemas.openxmlformats.org/officeDocument/2006/relationships" type="ellipse" r:blip="">
          <dgm:adjLst/>
        </dgm:shape>
        <dgm:choose name="Name91">
          <dgm:if name="Name92" func="var" arg="dir" op="equ" val="norm">
            <dgm:choose name="Name93">
              <dgm:if name="Name94" axis="root ch" ptType="all node" func="cnt" op="lte" val="4">
                <dgm:presOf axis="desOrSelf" ptType="node"/>
              </dgm:if>
              <dgm:else name="Name95">
                <dgm:presOf/>
              </dgm:else>
            </dgm:choose>
          </dgm:if>
          <dgm:else name="Name96">
            <dgm:choose name="Name97">
              <dgm:if name="Name98" axis="root ch" ptType="all node" func="cnt" op="equ" val="4">
                <dgm:presOf axis="root ch desOrSelf" ptType="all node node" st="1 2 1" cnt="1 1 0"/>
              </dgm:if>
              <dgm:else name="Name99">
                <dgm:presOf/>
              </dgm:else>
            </dgm:choose>
          </dgm:else>
        </dgm:choose>
        <dgm:constrLst/>
        <dgm:ruleLst/>
      </dgm:layoutNode>
      <dgm:layoutNode name="circ4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100">
          <dgm:if name="Name101" func="var" arg="dir" op="equ" val="norm">
            <dgm:presOf axis="desOrSelf" ptType="node"/>
          </dgm:if>
          <dgm:else name="Name102">
            <dgm:choose name="Name103">
              <dgm:if name="Name104" axis="root ch" ptType="all node" func="cnt" op="equ" val="4">
                <dgm:presOf axis="root ch desOrSelf" ptType="all node node" st="1 2 1" cnt="1 1 0"/>
              </dgm:if>
              <dgm:if name="Name105" axis="root ch" ptType="all node" func="cnt" op="equ" val="5">
                <dgm:presOf axis="root ch desOrSelf" ptType="all node node" st="1 3 1" cnt="1 1 0"/>
              </dgm:if>
              <dgm:if name="Name106" axis="root ch" ptType="all node" func="cnt" op="equ" val="6">
                <dgm:presOf axis="root ch desOrSelf" ptType="all node node" st="1 4 1" cnt="1 1 0"/>
              </dgm:if>
              <dgm:else name="Name107">
                <dgm:presOf axis="root ch desOrSelf" ptType="all node node" st="1 5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108" axis="ch" ptType="node" st="5" cnt="1">
      <dgm:layoutNode name="circ5" styleLbl="vennNode1">
        <dgm:alg type="sp"/>
        <dgm:shape xmlns:r="http://schemas.openxmlformats.org/officeDocument/2006/relationships" type="ellipse" r:blip="">
          <dgm:adjLst/>
        </dgm:shape>
        <dgm:presOf/>
        <dgm:constrLst/>
        <dgm:ruleLst/>
      </dgm:layoutNode>
      <dgm:layoutNode name="circ5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109">
          <dgm:if name="Name110" func="var" arg="dir" op="equ" val="norm">
            <dgm:presOf axis="desOrSelf" ptType="node"/>
          </dgm:if>
          <dgm:else name="Name111">
            <dgm:choose name="Name112">
              <dgm:if name="Name113" axis="root ch" ptType="all node" func="cnt" op="equ" val="5">
                <dgm:presOf axis="root ch desOrSelf" ptType="all node node" st="1 2 1" cnt="1 1 0"/>
              </dgm:if>
              <dgm:if name="Name114" axis="root ch" ptType="all node" func="cnt" op="equ" val="6">
                <dgm:presOf axis="root ch desOrSelf" ptType="all node node" st="1 3 1" cnt="1 1 0"/>
              </dgm:if>
              <dgm:else name="Name115">
                <dgm:presOf axis="root ch desOrSelf" ptType="all node node" st="1 4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116" axis="ch" ptType="node" st="6" cnt="1">
      <dgm:layoutNode name="circ6" styleLbl="vennNode1">
        <dgm:alg type="sp"/>
        <dgm:shape xmlns:r="http://schemas.openxmlformats.org/officeDocument/2006/relationships" type="ellipse" r:blip="">
          <dgm:adjLst/>
        </dgm:shape>
        <dgm:presOf/>
        <dgm:constrLst/>
        <dgm:ruleLst/>
      </dgm:layoutNode>
      <dgm:layoutNode name="circ6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117">
          <dgm:if name="Name118" func="var" arg="dir" op="equ" val="norm">
            <dgm:presOf axis="desOrSelf" ptType="node"/>
          </dgm:if>
          <dgm:else name="Name119">
            <dgm:choose name="Name120">
              <dgm:if name="Name121" axis="root ch" ptType="all node" func="cnt" op="equ" val="6">
                <dgm:presOf axis="root ch desOrSelf" ptType="all node node" st="1 2 1" cnt="1 1 0"/>
              </dgm:if>
              <dgm:else name="Name122">
                <dgm:presOf axis="root ch desOrSelf" ptType="all node node" st="1 3 1" cnt="1 1 0"/>
              </dgm:else>
            </dgm:choose>
          </dgm:else>
        </dgm:choose>
        <dgm:constrLst>
          <dgm:constr type="tMarg"/>
          <dgm:constr type="bMarg"/>
          <dgm:constr type="lMarg"/>
          <dgm:constr type="rMarg"/>
          <dgm:constr type="primFontSz" val="65"/>
        </dgm:constrLst>
        <dgm:ruleLst>
          <dgm:rule type="primFontSz" val="5" fact="NaN" max="NaN"/>
        </dgm:ruleLst>
      </dgm:layoutNode>
    </dgm:forEach>
    <dgm:forEach name="Name123" axis="ch" ptType="node" st="7" cnt="1">
      <dgm:layoutNode name="circ7" styleLbl="vennNode1">
        <dgm:alg type="sp"/>
        <dgm:shape xmlns:r="http://schemas.openxmlformats.org/officeDocument/2006/relationships" type="ellipse" r:blip="">
          <dgm:adjLst/>
        </dgm:shape>
        <dgm:presOf/>
        <dgm:constrLst/>
        <dgm:ruleLst/>
      </dgm:layoutNode>
      <dgm:layoutNode name="circ7Tx" styleLbl="revTx">
        <dgm:varLst>
          <dgm:chMax val="0"/>
          <dgm:chPref val="0"/>
          <dgm:bulletEnabled val="1"/>
        </dgm:varLst>
        <dgm:alg type="tx">
          <dgm:param type="txAnchorHorzCh" val="ctr"/>
          <dgm:param type="txAnchorVertCh" val="mid"/>
        </dgm:alg>
        <dgm:shape xmlns:r="http://schemas.openxmlformats.org/officeDocument/2006/relationships" type="rect" r:blip="" hideGeom="1">
          <dgm:adjLst/>
        </dgm:shape>
        <dgm:choose name="Name124">
          <dgm:if name="Name125" func="var" arg="dir" op="equ" val="norm">
            <dgm:presOf axis="desOrSelf" ptType="node"/>
          </dgm:if>
          <dgm:else name="Name126">
            <dgm:presOf axis="root ch desOrSelf" ptType="all node node" st="1 2 1" cnt="1 1 0"/>
          </dgm:else>
        </dgm:choose>
        <dgm:constrLst>
          <dgm:constr type="tMarg"/>
          <dgm:constr type="bMarg"/>
          <dgm:constr type="lMarg"/>
          <dgm:constr type="rMarg"/>
          <dgm:constr type="primFontSz" val="65"/>
        </dgm:constrLst>
        <dgm:ruleLst>
          <dgm:rule type="primFontSz" val="5" fact="NaN" max="NaN"/>
        </dgm:ruleLst>
      </dgm:layoutNod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hyperlink" Target="#Master!A1"/><Relationship Id="rId2" Type="http://schemas.openxmlformats.org/officeDocument/2006/relationships/image" Target="../media/image1.png"/><Relationship Id="rId1" Type="http://schemas.openxmlformats.org/officeDocument/2006/relationships/hyperlink" Target="http://www.newstreetresearch.com/" TargetMode="External"/><Relationship Id="rId6" Type="http://schemas.openxmlformats.org/officeDocument/2006/relationships/hyperlink" Target="#'Pf model'!A1"/><Relationship Id="rId5" Type="http://schemas.openxmlformats.org/officeDocument/2006/relationships/hyperlink" Target="#Valuation!A1"/><Relationship Id="rId4" Type="http://schemas.openxmlformats.org/officeDocument/2006/relationships/hyperlink" Target="#Quarts!A1"/></Relationships>
</file>

<file path=xl/drawings/_rels/drawing10.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0" Type="http://schemas.openxmlformats.org/officeDocument/2006/relationships/chart" Target="../charts/chart13.xml"/><Relationship Id="rId4" Type="http://schemas.openxmlformats.org/officeDocument/2006/relationships/chart" Target="../charts/chart7.xml"/><Relationship Id="rId9"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13" Type="http://schemas.openxmlformats.org/officeDocument/2006/relationships/chart" Target="../charts/chart29.xml"/><Relationship Id="rId18" Type="http://schemas.openxmlformats.org/officeDocument/2006/relationships/chart" Target="../charts/chart34.xml"/><Relationship Id="rId26" Type="http://schemas.openxmlformats.org/officeDocument/2006/relationships/chart" Target="../charts/chart37.xml"/><Relationship Id="rId3" Type="http://schemas.openxmlformats.org/officeDocument/2006/relationships/chart" Target="../charts/chart19.xml"/><Relationship Id="rId21" Type="http://schemas.openxmlformats.org/officeDocument/2006/relationships/diagramData" Target="../diagrams/data1.xml"/><Relationship Id="rId34" Type="http://schemas.openxmlformats.org/officeDocument/2006/relationships/chart" Target="../charts/chart45.xml"/><Relationship Id="rId7" Type="http://schemas.openxmlformats.org/officeDocument/2006/relationships/chart" Target="../charts/chart23.xml"/><Relationship Id="rId12" Type="http://schemas.openxmlformats.org/officeDocument/2006/relationships/chart" Target="../charts/chart28.xml"/><Relationship Id="rId17" Type="http://schemas.openxmlformats.org/officeDocument/2006/relationships/chart" Target="../charts/chart33.xml"/><Relationship Id="rId25" Type="http://schemas.microsoft.com/office/2007/relationships/diagramDrawing" Target="../diagrams/drawing1.xml"/><Relationship Id="rId33" Type="http://schemas.openxmlformats.org/officeDocument/2006/relationships/chart" Target="../charts/chart44.xml"/><Relationship Id="rId2" Type="http://schemas.openxmlformats.org/officeDocument/2006/relationships/chart" Target="../charts/chart18.xml"/><Relationship Id="rId16" Type="http://schemas.openxmlformats.org/officeDocument/2006/relationships/chart" Target="../charts/chart32.xml"/><Relationship Id="rId20" Type="http://schemas.openxmlformats.org/officeDocument/2006/relationships/chart" Target="../charts/chart36.xml"/><Relationship Id="rId29" Type="http://schemas.openxmlformats.org/officeDocument/2006/relationships/chart" Target="../charts/chart40.xml"/><Relationship Id="rId1" Type="http://schemas.openxmlformats.org/officeDocument/2006/relationships/chart" Target="../charts/chart17.xml"/><Relationship Id="rId6" Type="http://schemas.openxmlformats.org/officeDocument/2006/relationships/chart" Target="../charts/chart22.xml"/><Relationship Id="rId11" Type="http://schemas.openxmlformats.org/officeDocument/2006/relationships/chart" Target="../charts/chart27.xml"/><Relationship Id="rId24" Type="http://schemas.openxmlformats.org/officeDocument/2006/relationships/diagramColors" Target="../diagrams/colors1.xml"/><Relationship Id="rId32" Type="http://schemas.openxmlformats.org/officeDocument/2006/relationships/chart" Target="../charts/chart43.xml"/><Relationship Id="rId5" Type="http://schemas.openxmlformats.org/officeDocument/2006/relationships/chart" Target="../charts/chart21.xml"/><Relationship Id="rId15" Type="http://schemas.openxmlformats.org/officeDocument/2006/relationships/chart" Target="../charts/chart31.xml"/><Relationship Id="rId23" Type="http://schemas.openxmlformats.org/officeDocument/2006/relationships/diagramQuickStyle" Target="../diagrams/quickStyle1.xml"/><Relationship Id="rId28" Type="http://schemas.openxmlformats.org/officeDocument/2006/relationships/chart" Target="../charts/chart39.xml"/><Relationship Id="rId36" Type="http://schemas.openxmlformats.org/officeDocument/2006/relationships/chart" Target="../charts/chart47.xml"/><Relationship Id="rId10" Type="http://schemas.openxmlformats.org/officeDocument/2006/relationships/chart" Target="../charts/chart26.xml"/><Relationship Id="rId19" Type="http://schemas.openxmlformats.org/officeDocument/2006/relationships/chart" Target="../charts/chart35.xml"/><Relationship Id="rId31" Type="http://schemas.openxmlformats.org/officeDocument/2006/relationships/chart" Target="../charts/chart42.xml"/><Relationship Id="rId4" Type="http://schemas.openxmlformats.org/officeDocument/2006/relationships/chart" Target="../charts/chart20.xml"/><Relationship Id="rId9" Type="http://schemas.openxmlformats.org/officeDocument/2006/relationships/chart" Target="../charts/chart25.xml"/><Relationship Id="rId14" Type="http://schemas.openxmlformats.org/officeDocument/2006/relationships/chart" Target="../charts/chart30.xml"/><Relationship Id="rId22" Type="http://schemas.openxmlformats.org/officeDocument/2006/relationships/diagramLayout" Target="../diagrams/layout1.xml"/><Relationship Id="rId27" Type="http://schemas.openxmlformats.org/officeDocument/2006/relationships/chart" Target="../charts/chart38.xml"/><Relationship Id="rId30" Type="http://schemas.openxmlformats.org/officeDocument/2006/relationships/chart" Target="../charts/chart41.xml"/><Relationship Id="rId35" Type="http://schemas.openxmlformats.org/officeDocument/2006/relationships/chart" Target="../charts/chart46.xml"/><Relationship Id="rId8" Type="http://schemas.openxmlformats.org/officeDocument/2006/relationships/chart" Target="../charts/chart24.xml"/></Relationships>
</file>

<file path=xl/drawings/_rels/drawing7.xml.rels><?xml version="1.0" encoding="UTF-8" standalone="yes"?>
<Relationships xmlns="http://schemas.openxmlformats.org/package/2006/relationships"><Relationship Id="rId8" Type="http://schemas.openxmlformats.org/officeDocument/2006/relationships/chart" Target="../charts/chart55.xml"/><Relationship Id="rId13" Type="http://schemas.openxmlformats.org/officeDocument/2006/relationships/chart" Target="../charts/chart60.xml"/><Relationship Id="rId18" Type="http://schemas.openxmlformats.org/officeDocument/2006/relationships/chart" Target="../charts/chart65.xml"/><Relationship Id="rId26" Type="http://schemas.openxmlformats.org/officeDocument/2006/relationships/chart" Target="../charts/chart73.xml"/><Relationship Id="rId3" Type="http://schemas.openxmlformats.org/officeDocument/2006/relationships/chart" Target="../charts/chart50.xml"/><Relationship Id="rId21" Type="http://schemas.openxmlformats.org/officeDocument/2006/relationships/chart" Target="../charts/chart68.xml"/><Relationship Id="rId7" Type="http://schemas.openxmlformats.org/officeDocument/2006/relationships/chart" Target="../charts/chart54.xml"/><Relationship Id="rId12" Type="http://schemas.openxmlformats.org/officeDocument/2006/relationships/chart" Target="../charts/chart59.xml"/><Relationship Id="rId17" Type="http://schemas.openxmlformats.org/officeDocument/2006/relationships/chart" Target="../charts/chart64.xml"/><Relationship Id="rId25" Type="http://schemas.openxmlformats.org/officeDocument/2006/relationships/chart" Target="../charts/chart72.xml"/><Relationship Id="rId2" Type="http://schemas.openxmlformats.org/officeDocument/2006/relationships/chart" Target="../charts/chart49.xml"/><Relationship Id="rId16" Type="http://schemas.openxmlformats.org/officeDocument/2006/relationships/chart" Target="../charts/chart63.xml"/><Relationship Id="rId20" Type="http://schemas.openxmlformats.org/officeDocument/2006/relationships/chart" Target="../charts/chart67.xml"/><Relationship Id="rId29" Type="http://schemas.openxmlformats.org/officeDocument/2006/relationships/chart" Target="../charts/chart76.xml"/><Relationship Id="rId1" Type="http://schemas.openxmlformats.org/officeDocument/2006/relationships/chart" Target="../charts/chart48.xml"/><Relationship Id="rId6" Type="http://schemas.openxmlformats.org/officeDocument/2006/relationships/chart" Target="../charts/chart53.xml"/><Relationship Id="rId11" Type="http://schemas.openxmlformats.org/officeDocument/2006/relationships/chart" Target="../charts/chart58.xml"/><Relationship Id="rId24" Type="http://schemas.openxmlformats.org/officeDocument/2006/relationships/chart" Target="../charts/chart71.xml"/><Relationship Id="rId5" Type="http://schemas.openxmlformats.org/officeDocument/2006/relationships/chart" Target="../charts/chart52.xml"/><Relationship Id="rId15" Type="http://schemas.openxmlformats.org/officeDocument/2006/relationships/chart" Target="../charts/chart62.xml"/><Relationship Id="rId23" Type="http://schemas.openxmlformats.org/officeDocument/2006/relationships/chart" Target="../charts/chart70.xml"/><Relationship Id="rId28" Type="http://schemas.openxmlformats.org/officeDocument/2006/relationships/chart" Target="../charts/chart75.xml"/><Relationship Id="rId10" Type="http://schemas.openxmlformats.org/officeDocument/2006/relationships/chart" Target="../charts/chart57.xml"/><Relationship Id="rId19" Type="http://schemas.openxmlformats.org/officeDocument/2006/relationships/chart" Target="../charts/chart66.xml"/><Relationship Id="rId31" Type="http://schemas.openxmlformats.org/officeDocument/2006/relationships/chart" Target="../charts/chart78.xml"/><Relationship Id="rId4" Type="http://schemas.openxmlformats.org/officeDocument/2006/relationships/chart" Target="../charts/chart51.xml"/><Relationship Id="rId9" Type="http://schemas.openxmlformats.org/officeDocument/2006/relationships/chart" Target="../charts/chart56.xml"/><Relationship Id="rId14" Type="http://schemas.openxmlformats.org/officeDocument/2006/relationships/chart" Target="../charts/chart61.xml"/><Relationship Id="rId22" Type="http://schemas.openxmlformats.org/officeDocument/2006/relationships/chart" Target="../charts/chart69.xml"/><Relationship Id="rId27" Type="http://schemas.openxmlformats.org/officeDocument/2006/relationships/chart" Target="../charts/chart74.xml"/><Relationship Id="rId30" Type="http://schemas.openxmlformats.org/officeDocument/2006/relationships/chart" Target="../charts/chart77.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30480</xdr:colOff>
      <xdr:row>5</xdr:row>
      <xdr:rowOff>0</xdr:rowOff>
    </xdr:to>
    <xdr:pic>
      <xdr:nvPicPr>
        <xdr:cNvPr id="4" name="Picture 3" descr="signature_534858453">
          <a:hlinkClick xmlns:r="http://schemas.openxmlformats.org/officeDocument/2006/relationships" r:id="rId1"/>
          <a:extLst>
            <a:ext uri="{FF2B5EF4-FFF2-40B4-BE49-F238E27FC236}">
              <a16:creationId xmlns:a16="http://schemas.microsoft.com/office/drawing/2014/main" id="{643215C8-6C14-47B7-BC37-889A77AA54B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211830" cy="762000"/>
        </a:xfrm>
        <a:prstGeom prst="rect">
          <a:avLst/>
        </a:prstGeom>
        <a:noFill/>
        <a:ln>
          <a:noFill/>
        </a:ln>
      </xdr:spPr>
    </xdr:pic>
    <xdr:clientData/>
  </xdr:twoCellAnchor>
  <xdr:twoCellAnchor>
    <xdr:from>
      <xdr:col>1</xdr:col>
      <xdr:colOff>0</xdr:colOff>
      <xdr:row>29</xdr:row>
      <xdr:rowOff>30480</xdr:rowOff>
    </xdr:from>
    <xdr:to>
      <xdr:col>3</xdr:col>
      <xdr:colOff>15240</xdr:colOff>
      <xdr:row>32</xdr:row>
      <xdr:rowOff>106680</xdr:rowOff>
    </xdr:to>
    <xdr:sp macro="" textlink="">
      <xdr:nvSpPr>
        <xdr:cNvPr id="2" name="Rectangle 1">
          <a:hlinkClick xmlns:r="http://schemas.openxmlformats.org/officeDocument/2006/relationships" r:id="rId3"/>
          <a:extLst>
            <a:ext uri="{FF2B5EF4-FFF2-40B4-BE49-F238E27FC236}">
              <a16:creationId xmlns:a16="http://schemas.microsoft.com/office/drawing/2014/main" id="{3F3E8DDC-21CB-4313-95C3-8EDEE1DD2543}"/>
            </a:ext>
          </a:extLst>
        </xdr:cNvPr>
        <xdr:cNvSpPr/>
      </xdr:nvSpPr>
      <xdr:spPr>
        <a:xfrm>
          <a:off x="1123950" y="4610100"/>
          <a:ext cx="1600200" cy="521970"/>
        </a:xfrm>
        <a:prstGeom prst="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GB" sz="1100"/>
            <a:t>Main model</a:t>
          </a:r>
        </a:p>
      </xdr:txBody>
    </xdr:sp>
    <xdr:clientData/>
  </xdr:twoCellAnchor>
  <xdr:twoCellAnchor>
    <xdr:from>
      <xdr:col>3</xdr:col>
      <xdr:colOff>447675</xdr:colOff>
      <xdr:row>29</xdr:row>
      <xdr:rowOff>7620</xdr:rowOff>
    </xdr:from>
    <xdr:to>
      <xdr:col>6</xdr:col>
      <xdr:colOff>93345</xdr:colOff>
      <xdr:row>32</xdr:row>
      <xdr:rowOff>83820</xdr:rowOff>
    </xdr:to>
    <xdr:sp macro="" textlink="">
      <xdr:nvSpPr>
        <xdr:cNvPr id="3" name="Rectangle 2">
          <a:hlinkClick xmlns:r="http://schemas.openxmlformats.org/officeDocument/2006/relationships" r:id="rId4"/>
          <a:extLst>
            <a:ext uri="{FF2B5EF4-FFF2-40B4-BE49-F238E27FC236}">
              <a16:creationId xmlns:a16="http://schemas.microsoft.com/office/drawing/2014/main" id="{DE740906-6308-415A-9071-15F21AE994E6}"/>
            </a:ext>
          </a:extLst>
        </xdr:cNvPr>
        <xdr:cNvSpPr/>
      </xdr:nvSpPr>
      <xdr:spPr>
        <a:xfrm>
          <a:off x="3015615" y="4762500"/>
          <a:ext cx="1474470" cy="533400"/>
        </a:xfrm>
        <a:prstGeom prst="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GB" sz="1100"/>
            <a:t>Interims</a:t>
          </a:r>
        </a:p>
      </xdr:txBody>
    </xdr:sp>
    <xdr:clientData/>
  </xdr:twoCellAnchor>
  <xdr:twoCellAnchor>
    <xdr:from>
      <xdr:col>7</xdr:col>
      <xdr:colOff>45720</xdr:colOff>
      <xdr:row>29</xdr:row>
      <xdr:rowOff>0</xdr:rowOff>
    </xdr:from>
    <xdr:to>
      <xdr:col>9</xdr:col>
      <xdr:colOff>308610</xdr:colOff>
      <xdr:row>32</xdr:row>
      <xdr:rowOff>76200</xdr:rowOff>
    </xdr:to>
    <xdr:sp macro="" textlink="">
      <xdr:nvSpPr>
        <xdr:cNvPr id="5" name="Rectangle 4">
          <a:hlinkClick xmlns:r="http://schemas.openxmlformats.org/officeDocument/2006/relationships" r:id="rId5"/>
          <a:extLst>
            <a:ext uri="{FF2B5EF4-FFF2-40B4-BE49-F238E27FC236}">
              <a16:creationId xmlns:a16="http://schemas.microsoft.com/office/drawing/2014/main" id="{7FCA06D8-83E2-4096-9AB9-024C1749B51E}"/>
            </a:ext>
          </a:extLst>
        </xdr:cNvPr>
        <xdr:cNvSpPr/>
      </xdr:nvSpPr>
      <xdr:spPr>
        <a:xfrm>
          <a:off x="5052060" y="4754880"/>
          <a:ext cx="1482090" cy="533400"/>
        </a:xfrm>
        <a:prstGeom prst="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GB" sz="1100"/>
            <a:t>Valuation</a:t>
          </a:r>
        </a:p>
      </xdr:txBody>
    </xdr:sp>
    <xdr:clientData/>
  </xdr:twoCellAnchor>
  <xdr:twoCellAnchor>
    <xdr:from>
      <xdr:col>10</xdr:col>
      <xdr:colOff>140970</xdr:colOff>
      <xdr:row>29</xdr:row>
      <xdr:rowOff>0</xdr:rowOff>
    </xdr:from>
    <xdr:to>
      <xdr:col>12</xdr:col>
      <xdr:colOff>453390</xdr:colOff>
      <xdr:row>32</xdr:row>
      <xdr:rowOff>76200</xdr:rowOff>
    </xdr:to>
    <xdr:sp macro="" textlink="">
      <xdr:nvSpPr>
        <xdr:cNvPr id="6" name="Rectangle 5">
          <a:hlinkClick xmlns:r="http://schemas.openxmlformats.org/officeDocument/2006/relationships" r:id="rId6"/>
          <a:extLst>
            <a:ext uri="{FF2B5EF4-FFF2-40B4-BE49-F238E27FC236}">
              <a16:creationId xmlns:a16="http://schemas.microsoft.com/office/drawing/2014/main" id="{FE464B3B-47B7-453B-BF98-5FB27FD3DAF6}"/>
            </a:ext>
          </a:extLst>
        </xdr:cNvPr>
        <xdr:cNvSpPr/>
      </xdr:nvSpPr>
      <xdr:spPr>
        <a:xfrm>
          <a:off x="7429500" y="4579620"/>
          <a:ext cx="1600200" cy="521970"/>
        </a:xfrm>
        <a:prstGeom prst="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GB" sz="1100"/>
            <a:t>pf MEGA-TV model</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75098</xdr:colOff>
      <xdr:row>3</xdr:row>
      <xdr:rowOff>24423</xdr:rowOff>
    </xdr:from>
    <xdr:to>
      <xdr:col>19</xdr:col>
      <xdr:colOff>73466</xdr:colOff>
      <xdr:row>18</xdr:row>
      <xdr:rowOff>14653</xdr:rowOff>
    </xdr:to>
    <xdr:graphicFrame macro="">
      <xdr:nvGraphicFramePr>
        <xdr:cNvPr id="2" name="Chart 1">
          <a:extLst>
            <a:ext uri="{FF2B5EF4-FFF2-40B4-BE49-F238E27FC236}">
              <a16:creationId xmlns:a16="http://schemas.microsoft.com/office/drawing/2014/main" id="{51B1B220-759B-414A-82D9-DFDBE27BFA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30</xdr:col>
      <xdr:colOff>432027</xdr:colOff>
      <xdr:row>22</xdr:row>
      <xdr:rowOff>6803</xdr:rowOff>
    </xdr:from>
    <xdr:to>
      <xdr:col>37</xdr:col>
      <xdr:colOff>503464</xdr:colOff>
      <xdr:row>40</xdr:row>
      <xdr:rowOff>156482</xdr:rowOff>
    </xdr:to>
    <xdr:graphicFrame macro="">
      <xdr:nvGraphicFramePr>
        <xdr:cNvPr id="2" name="Chart 1">
          <a:extLst>
            <a:ext uri="{FF2B5EF4-FFF2-40B4-BE49-F238E27FC236}">
              <a16:creationId xmlns:a16="http://schemas.microsoft.com/office/drawing/2014/main" id="{16A19AAC-CCC7-45EB-AC7C-0BEAFA9AF1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36</xdr:col>
      <xdr:colOff>291040</xdr:colOff>
      <xdr:row>67</xdr:row>
      <xdr:rowOff>39688</xdr:rowOff>
    </xdr:from>
    <xdr:to>
      <xdr:col>41</xdr:col>
      <xdr:colOff>224896</xdr:colOff>
      <xdr:row>81</xdr:row>
      <xdr:rowOff>79375</xdr:rowOff>
    </xdr:to>
    <xdr:graphicFrame macro="">
      <xdr:nvGraphicFramePr>
        <xdr:cNvPr id="2" name="Chart 1">
          <a:extLst>
            <a:ext uri="{FF2B5EF4-FFF2-40B4-BE49-F238E27FC236}">
              <a16:creationId xmlns:a16="http://schemas.microsoft.com/office/drawing/2014/main" id="{1A398BF7-46D2-8DCF-F941-403DF2FD5B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81</xdr:col>
      <xdr:colOff>13229</xdr:colOff>
      <xdr:row>31</xdr:row>
      <xdr:rowOff>0</xdr:rowOff>
    </xdr:from>
    <xdr:to>
      <xdr:col>93</xdr:col>
      <xdr:colOff>9</xdr:colOff>
      <xdr:row>42</xdr:row>
      <xdr:rowOff>130637</xdr:rowOff>
    </xdr:to>
    <xdr:graphicFrame macro="">
      <xdr:nvGraphicFramePr>
        <xdr:cNvPr id="5" name="Chart 4">
          <a:extLst>
            <a:ext uri="{FF2B5EF4-FFF2-40B4-BE49-F238E27FC236}">
              <a16:creationId xmlns:a16="http://schemas.microsoft.com/office/drawing/2014/main" id="{05998471-29E5-4416-8422-D64C4008A3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32</xdr:col>
      <xdr:colOff>328823</xdr:colOff>
      <xdr:row>31</xdr:row>
      <xdr:rowOff>5291</xdr:rowOff>
    </xdr:from>
    <xdr:to>
      <xdr:col>41</xdr:col>
      <xdr:colOff>493775</xdr:colOff>
      <xdr:row>61</xdr:row>
      <xdr:rowOff>68841</xdr:rowOff>
    </xdr:to>
    <xdr:graphicFrame macro="">
      <xdr:nvGraphicFramePr>
        <xdr:cNvPr id="4" name="Chart 3">
          <a:extLst>
            <a:ext uri="{FF2B5EF4-FFF2-40B4-BE49-F238E27FC236}">
              <a16:creationId xmlns:a16="http://schemas.microsoft.com/office/drawing/2014/main" id="{06F5233B-2AE4-43C0-BDC3-487FA72D25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351206</xdr:colOff>
      <xdr:row>74</xdr:row>
      <xdr:rowOff>171053</xdr:rowOff>
    </xdr:from>
    <xdr:to>
      <xdr:col>41</xdr:col>
      <xdr:colOff>291041</xdr:colOff>
      <xdr:row>91</xdr:row>
      <xdr:rowOff>145521</xdr:rowOff>
    </xdr:to>
    <xdr:graphicFrame macro="">
      <xdr:nvGraphicFramePr>
        <xdr:cNvPr id="6" name="Chart 5">
          <a:extLst>
            <a:ext uri="{FF2B5EF4-FFF2-40B4-BE49-F238E27FC236}">
              <a16:creationId xmlns:a16="http://schemas.microsoft.com/office/drawing/2014/main" id="{B4856943-0FEB-2FF2-D7D8-BDF5A4957A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35</xdr:col>
      <xdr:colOff>47891</xdr:colOff>
      <xdr:row>110</xdr:row>
      <xdr:rowOff>71702</xdr:rowOff>
    </xdr:from>
    <xdr:to>
      <xdr:col>43</xdr:col>
      <xdr:colOff>291042</xdr:colOff>
      <xdr:row>125</xdr:row>
      <xdr:rowOff>119063</xdr:rowOff>
    </xdr:to>
    <xdr:graphicFrame macro="">
      <xdr:nvGraphicFramePr>
        <xdr:cNvPr id="5" name="Chart 4">
          <a:extLst>
            <a:ext uri="{FF2B5EF4-FFF2-40B4-BE49-F238E27FC236}">
              <a16:creationId xmlns:a16="http://schemas.microsoft.com/office/drawing/2014/main" id="{3C6A49CD-C184-253D-C9B1-72C6F95AC7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574145</xdr:colOff>
      <xdr:row>93</xdr:row>
      <xdr:rowOff>529</xdr:rowOff>
    </xdr:from>
    <xdr:to>
      <xdr:col>43</xdr:col>
      <xdr:colOff>277813</xdr:colOff>
      <xdr:row>109</xdr:row>
      <xdr:rowOff>0</xdr:rowOff>
    </xdr:to>
    <xdr:graphicFrame macro="">
      <xdr:nvGraphicFramePr>
        <xdr:cNvPr id="7" name="Chart 6">
          <a:extLst>
            <a:ext uri="{FF2B5EF4-FFF2-40B4-BE49-F238E27FC236}">
              <a16:creationId xmlns:a16="http://schemas.microsoft.com/office/drawing/2014/main" id="{FD4F0064-1866-42B7-A4A1-AE403A3841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39</xdr:col>
      <xdr:colOff>310621</xdr:colOff>
      <xdr:row>61</xdr:row>
      <xdr:rowOff>85196</xdr:rowOff>
    </xdr:from>
    <xdr:to>
      <xdr:col>47</xdr:col>
      <xdr:colOff>33337</xdr:colOff>
      <xdr:row>76</xdr:row>
      <xdr:rowOff>108479</xdr:rowOff>
    </xdr:to>
    <xdr:graphicFrame macro="">
      <xdr:nvGraphicFramePr>
        <xdr:cNvPr id="9" name="Chart 8">
          <a:extLst>
            <a:ext uri="{FF2B5EF4-FFF2-40B4-BE49-F238E27FC236}">
              <a16:creationId xmlns:a16="http://schemas.microsoft.com/office/drawing/2014/main" id="{A6746B76-7931-4E04-BF57-619BEE7062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25929</xdr:colOff>
      <xdr:row>115</xdr:row>
      <xdr:rowOff>96838</xdr:rowOff>
    </xdr:from>
    <xdr:to>
      <xdr:col>14</xdr:col>
      <xdr:colOff>79375</xdr:colOff>
      <xdr:row>131</xdr:row>
      <xdr:rowOff>119063</xdr:rowOff>
    </xdr:to>
    <xdr:graphicFrame macro="">
      <xdr:nvGraphicFramePr>
        <xdr:cNvPr id="10" name="Chart 9">
          <a:extLst>
            <a:ext uri="{FF2B5EF4-FFF2-40B4-BE49-F238E27FC236}">
              <a16:creationId xmlns:a16="http://schemas.microsoft.com/office/drawing/2014/main" id="{B35FDA2A-B3BB-2017-C2CB-0AB2420BC7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239183</xdr:colOff>
      <xdr:row>62</xdr:row>
      <xdr:rowOff>169068</xdr:rowOff>
    </xdr:from>
    <xdr:to>
      <xdr:col>57</xdr:col>
      <xdr:colOff>515937</xdr:colOff>
      <xdr:row>84</xdr:row>
      <xdr:rowOff>132291</xdr:rowOff>
    </xdr:to>
    <xdr:graphicFrame macro="">
      <xdr:nvGraphicFramePr>
        <xdr:cNvPr id="2" name="Chart 1">
          <a:extLst>
            <a:ext uri="{FF2B5EF4-FFF2-40B4-BE49-F238E27FC236}">
              <a16:creationId xmlns:a16="http://schemas.microsoft.com/office/drawing/2014/main" id="{BE44321D-4288-4116-B558-866AF7489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31</xdr:col>
      <xdr:colOff>32279</xdr:colOff>
      <xdr:row>154</xdr:row>
      <xdr:rowOff>37306</xdr:rowOff>
    </xdr:from>
    <xdr:to>
      <xdr:col>38</xdr:col>
      <xdr:colOff>182034</xdr:colOff>
      <xdr:row>171</xdr:row>
      <xdr:rowOff>62971</xdr:rowOff>
    </xdr:to>
    <xdr:graphicFrame macro="">
      <xdr:nvGraphicFramePr>
        <xdr:cNvPr id="8" name="Chart 7">
          <a:extLst>
            <a:ext uri="{FF2B5EF4-FFF2-40B4-BE49-F238E27FC236}">
              <a16:creationId xmlns:a16="http://schemas.microsoft.com/office/drawing/2014/main" id="{0E7D36E0-F267-6E77-4F2D-A54D8D217D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31</xdr:col>
      <xdr:colOff>637115</xdr:colOff>
      <xdr:row>126</xdr:row>
      <xdr:rowOff>145520</xdr:rowOff>
    </xdr:from>
    <xdr:to>
      <xdr:col>39</xdr:col>
      <xdr:colOff>490007</xdr:colOff>
      <xdr:row>144</xdr:row>
      <xdr:rowOff>28574</xdr:rowOff>
    </xdr:to>
    <xdr:graphicFrame macro="">
      <xdr:nvGraphicFramePr>
        <xdr:cNvPr id="3" name="Chart 2">
          <a:extLst>
            <a:ext uri="{FF2B5EF4-FFF2-40B4-BE49-F238E27FC236}">
              <a16:creationId xmlns:a16="http://schemas.microsoft.com/office/drawing/2014/main" id="{4ADFB55B-9573-46BF-84A1-4035C055DE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40</xdr:col>
      <xdr:colOff>291041</xdr:colOff>
      <xdr:row>134</xdr:row>
      <xdr:rowOff>145521</xdr:rowOff>
    </xdr:from>
    <xdr:to>
      <xdr:col>48</xdr:col>
      <xdr:colOff>476250</xdr:colOff>
      <xdr:row>151</xdr:row>
      <xdr:rowOff>171979</xdr:rowOff>
    </xdr:to>
    <xdr:graphicFrame macro="">
      <xdr:nvGraphicFramePr>
        <xdr:cNvPr id="11" name="Chart 10">
          <a:extLst>
            <a:ext uri="{FF2B5EF4-FFF2-40B4-BE49-F238E27FC236}">
              <a16:creationId xmlns:a16="http://schemas.microsoft.com/office/drawing/2014/main" id="{FCC65FC2-50C8-4049-BFF9-6F780B1273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15</xdr:col>
      <xdr:colOff>19048</xdr:colOff>
      <xdr:row>154</xdr:row>
      <xdr:rowOff>143137</xdr:rowOff>
    </xdr:from>
    <xdr:to>
      <xdr:col>24</xdr:col>
      <xdr:colOff>489480</xdr:colOff>
      <xdr:row>176</xdr:row>
      <xdr:rowOff>185207</xdr:rowOff>
    </xdr:to>
    <xdr:graphicFrame macro="">
      <xdr:nvGraphicFramePr>
        <xdr:cNvPr id="12" name="Chart 11">
          <a:extLst>
            <a:ext uri="{FF2B5EF4-FFF2-40B4-BE49-F238E27FC236}">
              <a16:creationId xmlns:a16="http://schemas.microsoft.com/office/drawing/2014/main" id="{7BDC33D2-4324-8782-0244-20FA69B482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34</xdr:col>
      <xdr:colOff>108479</xdr:colOff>
      <xdr:row>172</xdr:row>
      <xdr:rowOff>182826</xdr:rowOff>
    </xdr:from>
    <xdr:to>
      <xdr:col>41</xdr:col>
      <xdr:colOff>542396</xdr:colOff>
      <xdr:row>188</xdr:row>
      <xdr:rowOff>119062</xdr:rowOff>
    </xdr:to>
    <xdr:graphicFrame macro="">
      <xdr:nvGraphicFramePr>
        <xdr:cNvPr id="13" name="Chart 12">
          <a:extLst>
            <a:ext uri="{FF2B5EF4-FFF2-40B4-BE49-F238E27FC236}">
              <a16:creationId xmlns:a16="http://schemas.microsoft.com/office/drawing/2014/main" id="{9EDF3C64-A407-FCFF-A60B-91656DC1F5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35</xdr:col>
      <xdr:colOff>79375</xdr:colOff>
      <xdr:row>192</xdr:row>
      <xdr:rowOff>66146</xdr:rowOff>
    </xdr:from>
    <xdr:to>
      <xdr:col>42</xdr:col>
      <xdr:colOff>500063</xdr:colOff>
      <xdr:row>208</xdr:row>
      <xdr:rowOff>68528</xdr:rowOff>
    </xdr:to>
    <xdr:graphicFrame macro="">
      <xdr:nvGraphicFramePr>
        <xdr:cNvPr id="14" name="Chart 13">
          <a:extLst>
            <a:ext uri="{FF2B5EF4-FFF2-40B4-BE49-F238E27FC236}">
              <a16:creationId xmlns:a16="http://schemas.microsoft.com/office/drawing/2014/main" id="{45769261-4F66-4642-8E8E-8D31DAF420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52</xdr:col>
      <xdr:colOff>293325</xdr:colOff>
      <xdr:row>23</xdr:row>
      <xdr:rowOff>128027</xdr:rowOff>
    </xdr:from>
    <xdr:to>
      <xdr:col>57</xdr:col>
      <xdr:colOff>33973</xdr:colOff>
      <xdr:row>45</xdr:row>
      <xdr:rowOff>114692</xdr:rowOff>
    </xdr:to>
    <xdr:graphicFrame macro="">
      <xdr:nvGraphicFramePr>
        <xdr:cNvPr id="2" name="Chart 1">
          <a:extLst>
            <a:ext uri="{FF2B5EF4-FFF2-40B4-BE49-F238E27FC236}">
              <a16:creationId xmlns:a16="http://schemas.microsoft.com/office/drawing/2014/main" id="{007A8F4E-3D8B-4B64-BEC7-606BD6773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57</xdr:col>
      <xdr:colOff>380623</xdr:colOff>
      <xdr:row>23</xdr:row>
      <xdr:rowOff>147032</xdr:rowOff>
    </xdr:from>
    <xdr:to>
      <xdr:col>62</xdr:col>
      <xdr:colOff>121269</xdr:colOff>
      <xdr:row>45</xdr:row>
      <xdr:rowOff>124172</xdr:rowOff>
    </xdr:to>
    <xdr:graphicFrame macro="">
      <xdr:nvGraphicFramePr>
        <xdr:cNvPr id="3" name="Chart 2">
          <a:extLst>
            <a:ext uri="{FF2B5EF4-FFF2-40B4-BE49-F238E27FC236}">
              <a16:creationId xmlns:a16="http://schemas.microsoft.com/office/drawing/2014/main" id="{D6161D81-41E9-4E9A-BD00-BFFDC3FAFB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522289</xdr:colOff>
      <xdr:row>90</xdr:row>
      <xdr:rowOff>114299</xdr:rowOff>
    </xdr:from>
    <xdr:to>
      <xdr:col>9</xdr:col>
      <xdr:colOff>224896</xdr:colOff>
      <xdr:row>111</xdr:row>
      <xdr:rowOff>132291</xdr:rowOff>
    </xdr:to>
    <xdr:graphicFrame macro="">
      <xdr:nvGraphicFramePr>
        <xdr:cNvPr id="4" name="Chart 3">
          <a:extLst>
            <a:ext uri="{FF2B5EF4-FFF2-40B4-BE49-F238E27FC236}">
              <a16:creationId xmlns:a16="http://schemas.microsoft.com/office/drawing/2014/main" id="{0F7670C2-3EB5-6C0A-B793-B7514FFB27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224896</xdr:colOff>
      <xdr:row>110</xdr:row>
      <xdr:rowOff>110531</xdr:rowOff>
    </xdr:from>
    <xdr:to>
      <xdr:col>29</xdr:col>
      <xdr:colOff>410104</xdr:colOff>
      <xdr:row>129</xdr:row>
      <xdr:rowOff>13229</xdr:rowOff>
    </xdr:to>
    <xdr:graphicFrame macro="">
      <xdr:nvGraphicFramePr>
        <xdr:cNvPr id="5" name="Chart 4">
          <a:extLst>
            <a:ext uri="{FF2B5EF4-FFF2-40B4-BE49-F238E27FC236}">
              <a16:creationId xmlns:a16="http://schemas.microsoft.com/office/drawing/2014/main" id="{97AA3966-AEB1-7293-E5D2-49DCC7172E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41273</xdr:colOff>
      <xdr:row>111</xdr:row>
      <xdr:rowOff>81985</xdr:rowOff>
    </xdr:from>
    <xdr:to>
      <xdr:col>37</xdr:col>
      <xdr:colOff>449792</xdr:colOff>
      <xdr:row>130</xdr:row>
      <xdr:rowOff>0</xdr:rowOff>
    </xdr:to>
    <xdr:graphicFrame macro="">
      <xdr:nvGraphicFramePr>
        <xdr:cNvPr id="7" name="Chart 6">
          <a:extLst>
            <a:ext uri="{FF2B5EF4-FFF2-40B4-BE49-F238E27FC236}">
              <a16:creationId xmlns:a16="http://schemas.microsoft.com/office/drawing/2014/main" id="{2F19460B-6447-3016-ED7C-8126FFA8E5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106991</xdr:colOff>
      <xdr:row>130</xdr:row>
      <xdr:rowOff>104811</xdr:rowOff>
    </xdr:from>
    <xdr:to>
      <xdr:col>39</xdr:col>
      <xdr:colOff>185292</xdr:colOff>
      <xdr:row>147</xdr:row>
      <xdr:rowOff>51288</xdr:rowOff>
    </xdr:to>
    <xdr:graphicFrame macro="">
      <xdr:nvGraphicFramePr>
        <xdr:cNvPr id="10" name="Chart 9">
          <a:extLst>
            <a:ext uri="{FF2B5EF4-FFF2-40B4-BE49-F238E27FC236}">
              <a16:creationId xmlns:a16="http://schemas.microsoft.com/office/drawing/2014/main" id="{5CE70308-9A2E-CBE1-5F8F-02AEFBA557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44978</xdr:colOff>
      <xdr:row>88</xdr:row>
      <xdr:rowOff>91629</xdr:rowOff>
    </xdr:from>
    <xdr:to>
      <xdr:col>31</xdr:col>
      <xdr:colOff>661458</xdr:colOff>
      <xdr:row>109</xdr:row>
      <xdr:rowOff>105833</xdr:rowOff>
    </xdr:to>
    <xdr:graphicFrame macro="">
      <xdr:nvGraphicFramePr>
        <xdr:cNvPr id="11" name="Chart 10">
          <a:extLst>
            <a:ext uri="{FF2B5EF4-FFF2-40B4-BE49-F238E27FC236}">
              <a16:creationId xmlns:a16="http://schemas.microsoft.com/office/drawing/2014/main" id="{82C052E4-49B2-C440-A2D7-EFFF42300A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63</xdr:col>
      <xdr:colOff>346092</xdr:colOff>
      <xdr:row>56</xdr:row>
      <xdr:rowOff>125429</xdr:rowOff>
    </xdr:from>
    <xdr:to>
      <xdr:col>71</xdr:col>
      <xdr:colOff>57099</xdr:colOff>
      <xdr:row>87</xdr:row>
      <xdr:rowOff>129730</xdr:rowOff>
    </xdr:to>
    <xdr:graphicFrame macro="">
      <xdr:nvGraphicFramePr>
        <xdr:cNvPr id="6" name="Chart 5">
          <a:extLst>
            <a:ext uri="{FF2B5EF4-FFF2-40B4-BE49-F238E27FC236}">
              <a16:creationId xmlns:a16="http://schemas.microsoft.com/office/drawing/2014/main" id="{53CD4EB4-3FAC-28E9-9A54-9A7F216779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746636</xdr:colOff>
      <xdr:row>129</xdr:row>
      <xdr:rowOff>161617</xdr:rowOff>
    </xdr:from>
    <xdr:to>
      <xdr:col>10</xdr:col>
      <xdr:colOff>645241</xdr:colOff>
      <xdr:row>152</xdr:row>
      <xdr:rowOff>147484</xdr:rowOff>
    </xdr:to>
    <xdr:graphicFrame macro="">
      <xdr:nvGraphicFramePr>
        <xdr:cNvPr id="8" name="Chart 7">
          <a:extLst>
            <a:ext uri="{FF2B5EF4-FFF2-40B4-BE49-F238E27FC236}">
              <a16:creationId xmlns:a16="http://schemas.microsoft.com/office/drawing/2014/main" id="{C13F5865-F375-4D92-2EFF-86D629CFBD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706693</xdr:colOff>
      <xdr:row>154</xdr:row>
      <xdr:rowOff>75587</xdr:rowOff>
    </xdr:from>
    <xdr:to>
      <xdr:col>13</xdr:col>
      <xdr:colOff>448596</xdr:colOff>
      <xdr:row>169</xdr:row>
      <xdr:rowOff>53464</xdr:rowOff>
    </xdr:to>
    <xdr:graphicFrame macro="">
      <xdr:nvGraphicFramePr>
        <xdr:cNvPr id="12" name="Chart 11">
          <a:extLst>
            <a:ext uri="{FF2B5EF4-FFF2-40B4-BE49-F238E27FC236}">
              <a16:creationId xmlns:a16="http://schemas.microsoft.com/office/drawing/2014/main" id="{E43D5478-C0FB-6A65-39F3-2869A138E5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14</xdr:col>
      <xdr:colOff>621770</xdr:colOff>
      <xdr:row>190</xdr:row>
      <xdr:rowOff>50533</xdr:rowOff>
    </xdr:from>
    <xdr:to>
      <xdr:col>20</xdr:col>
      <xdr:colOff>79375</xdr:colOff>
      <xdr:row>206</xdr:row>
      <xdr:rowOff>26460</xdr:rowOff>
    </xdr:to>
    <xdr:graphicFrame macro="">
      <xdr:nvGraphicFramePr>
        <xdr:cNvPr id="13" name="Chart 12">
          <a:extLst>
            <a:ext uri="{FF2B5EF4-FFF2-40B4-BE49-F238E27FC236}">
              <a16:creationId xmlns:a16="http://schemas.microsoft.com/office/drawing/2014/main" id="{D09C3F5B-810F-53A0-51F1-53A3E26C78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154780</xdr:colOff>
      <xdr:row>213</xdr:row>
      <xdr:rowOff>50534</xdr:rowOff>
    </xdr:from>
    <xdr:to>
      <xdr:col>14</xdr:col>
      <xdr:colOff>132292</xdr:colOff>
      <xdr:row>231</xdr:row>
      <xdr:rowOff>119063</xdr:rowOff>
    </xdr:to>
    <xdr:graphicFrame macro="">
      <xdr:nvGraphicFramePr>
        <xdr:cNvPr id="17" name="Chart 16">
          <a:extLst>
            <a:ext uri="{FF2B5EF4-FFF2-40B4-BE49-F238E27FC236}">
              <a16:creationId xmlns:a16="http://schemas.microsoft.com/office/drawing/2014/main" id="{283F5195-3F67-65DC-B76C-A827F0A293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9258</xdr:colOff>
      <xdr:row>256</xdr:row>
      <xdr:rowOff>103449</xdr:rowOff>
    </xdr:from>
    <xdr:to>
      <xdr:col>14</xdr:col>
      <xdr:colOff>648229</xdr:colOff>
      <xdr:row>275</xdr:row>
      <xdr:rowOff>145520</xdr:rowOff>
    </xdr:to>
    <xdr:graphicFrame macro="">
      <xdr:nvGraphicFramePr>
        <xdr:cNvPr id="18" name="Chart 17">
          <a:extLst>
            <a:ext uri="{FF2B5EF4-FFF2-40B4-BE49-F238E27FC236}">
              <a16:creationId xmlns:a16="http://schemas.microsoft.com/office/drawing/2014/main" id="{4BCE2F5F-A2E9-4B9C-EB24-C18E865DD1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1338791</xdr:colOff>
      <xdr:row>304</xdr:row>
      <xdr:rowOff>24076</xdr:rowOff>
    </xdr:from>
    <xdr:to>
      <xdr:col>6</xdr:col>
      <xdr:colOff>542396</xdr:colOff>
      <xdr:row>321</xdr:row>
      <xdr:rowOff>132292</xdr:rowOff>
    </xdr:to>
    <xdr:graphicFrame macro="">
      <xdr:nvGraphicFramePr>
        <xdr:cNvPr id="19" name="Chart 18">
          <a:extLst>
            <a:ext uri="{FF2B5EF4-FFF2-40B4-BE49-F238E27FC236}">
              <a16:creationId xmlns:a16="http://schemas.microsoft.com/office/drawing/2014/main" id="{731EB5FE-4631-BD0E-972A-A415E8EC20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17</xdr:col>
      <xdr:colOff>161396</xdr:colOff>
      <xdr:row>294</xdr:row>
      <xdr:rowOff>90222</xdr:rowOff>
    </xdr:from>
    <xdr:to>
      <xdr:col>27</xdr:col>
      <xdr:colOff>410105</xdr:colOff>
      <xdr:row>312</xdr:row>
      <xdr:rowOff>13230</xdr:rowOff>
    </xdr:to>
    <xdr:graphicFrame macro="">
      <xdr:nvGraphicFramePr>
        <xdr:cNvPr id="20" name="Chart 19">
          <a:extLst>
            <a:ext uri="{FF2B5EF4-FFF2-40B4-BE49-F238E27FC236}">
              <a16:creationId xmlns:a16="http://schemas.microsoft.com/office/drawing/2014/main" id="{6EB7AEA9-EAEF-8C40-4475-B84E63186A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10</xdr:col>
      <xdr:colOff>406136</xdr:colOff>
      <xdr:row>323</xdr:row>
      <xdr:rowOff>24073</xdr:rowOff>
    </xdr:from>
    <xdr:to>
      <xdr:col>15</xdr:col>
      <xdr:colOff>251355</xdr:colOff>
      <xdr:row>337</xdr:row>
      <xdr:rowOff>66146</xdr:rowOff>
    </xdr:to>
    <xdr:graphicFrame macro="">
      <xdr:nvGraphicFramePr>
        <xdr:cNvPr id="21" name="Chart 20">
          <a:extLst>
            <a:ext uri="{FF2B5EF4-FFF2-40B4-BE49-F238E27FC236}">
              <a16:creationId xmlns:a16="http://schemas.microsoft.com/office/drawing/2014/main" id="{8A267CE4-EA1A-D7F8-BEBC-D7E2BADD28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154778</xdr:colOff>
      <xdr:row>329</xdr:row>
      <xdr:rowOff>76989</xdr:rowOff>
    </xdr:from>
    <xdr:to>
      <xdr:col>27</xdr:col>
      <xdr:colOff>542395</xdr:colOff>
      <xdr:row>342</xdr:row>
      <xdr:rowOff>145520</xdr:rowOff>
    </xdr:to>
    <xdr:graphicFrame macro="">
      <xdr:nvGraphicFramePr>
        <xdr:cNvPr id="22" name="Chart 21">
          <a:extLst>
            <a:ext uri="{FF2B5EF4-FFF2-40B4-BE49-F238E27FC236}">
              <a16:creationId xmlns:a16="http://schemas.microsoft.com/office/drawing/2014/main" id="{B23249C0-A0E0-7917-F2AB-162D64D2DD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9</xdr:col>
      <xdr:colOff>518584</xdr:colOff>
      <xdr:row>296</xdr:row>
      <xdr:rowOff>50535</xdr:rowOff>
    </xdr:from>
    <xdr:to>
      <xdr:col>15</xdr:col>
      <xdr:colOff>635002</xdr:colOff>
      <xdr:row>316</xdr:row>
      <xdr:rowOff>66146</xdr:rowOff>
    </xdr:to>
    <xdr:graphicFrame macro="">
      <xdr:nvGraphicFramePr>
        <xdr:cNvPr id="14" name="Chart 13">
          <a:extLst>
            <a:ext uri="{FF2B5EF4-FFF2-40B4-BE49-F238E27FC236}">
              <a16:creationId xmlns:a16="http://schemas.microsoft.com/office/drawing/2014/main" id="{454D8717-23B6-4F12-81D5-3B901C9D22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63</xdr:col>
      <xdr:colOff>312134</xdr:colOff>
      <xdr:row>24</xdr:row>
      <xdr:rowOff>66145</xdr:rowOff>
    </xdr:from>
    <xdr:to>
      <xdr:col>67</xdr:col>
      <xdr:colOff>317499</xdr:colOff>
      <xdr:row>35</xdr:row>
      <xdr:rowOff>158749</xdr:rowOff>
    </xdr:to>
    <xdr:graphicFrame macro="">
      <xdr:nvGraphicFramePr>
        <xdr:cNvPr id="16" name="Chart 15">
          <a:extLst>
            <a:ext uri="{FF2B5EF4-FFF2-40B4-BE49-F238E27FC236}">
              <a16:creationId xmlns:a16="http://schemas.microsoft.com/office/drawing/2014/main" id="{45E6762C-A9E7-4CB8-B31C-1D904667D0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37</xdr:col>
      <xdr:colOff>66145</xdr:colOff>
      <xdr:row>81</xdr:row>
      <xdr:rowOff>8218</xdr:rowOff>
    </xdr:from>
    <xdr:to>
      <xdr:col>45</xdr:col>
      <xdr:colOff>230743</xdr:colOff>
      <xdr:row>99</xdr:row>
      <xdr:rowOff>26459</xdr:rowOff>
    </xdr:to>
    <xdr:graphicFrame macro="">
      <xdr:nvGraphicFramePr>
        <xdr:cNvPr id="23" name="Chart 22">
          <a:extLst>
            <a:ext uri="{FF2B5EF4-FFF2-40B4-BE49-F238E27FC236}">
              <a16:creationId xmlns:a16="http://schemas.microsoft.com/office/drawing/2014/main" id="{64082111-82D7-9063-BCC7-4515CF754A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65</xdr:col>
      <xdr:colOff>568854</xdr:colOff>
      <xdr:row>36</xdr:row>
      <xdr:rowOff>66147</xdr:rowOff>
    </xdr:from>
    <xdr:to>
      <xdr:col>73</xdr:col>
      <xdr:colOff>40523</xdr:colOff>
      <xdr:row>52</xdr:row>
      <xdr:rowOff>108925</xdr:rowOff>
    </xdr:to>
    <xdr:graphicFrame macro="">
      <xdr:nvGraphicFramePr>
        <xdr:cNvPr id="25" name="Diagram 24">
          <a:extLst>
            <a:ext uri="{FF2B5EF4-FFF2-40B4-BE49-F238E27FC236}">
              <a16:creationId xmlns:a16="http://schemas.microsoft.com/office/drawing/2014/main" id="{CAEDE77B-37ED-48B1-BFEB-BF21C41AD1F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1" r:lo="rId22" r:qs="rId23" r:cs="rId24"/>
        </a:graphicData>
      </a:graphic>
    </xdr:graphicFrame>
    <xdr:clientData/>
  </xdr:twoCellAnchor>
  <xdr:twoCellAnchor>
    <xdr:from>
      <xdr:col>70</xdr:col>
      <xdr:colOff>190500</xdr:colOff>
      <xdr:row>23</xdr:row>
      <xdr:rowOff>145676</xdr:rowOff>
    </xdr:from>
    <xdr:to>
      <xdr:col>77</xdr:col>
      <xdr:colOff>212911</xdr:colOff>
      <xdr:row>37</xdr:row>
      <xdr:rowOff>112060</xdr:rowOff>
    </xdr:to>
    <xdr:graphicFrame macro="">
      <xdr:nvGraphicFramePr>
        <xdr:cNvPr id="26" name="Chart 25">
          <a:extLst>
            <a:ext uri="{FF2B5EF4-FFF2-40B4-BE49-F238E27FC236}">
              <a16:creationId xmlns:a16="http://schemas.microsoft.com/office/drawing/2014/main" id="{55EE4B26-C721-49B2-8A49-8828D57D7F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29</xdr:col>
      <xdr:colOff>430297</xdr:colOff>
      <xdr:row>413</xdr:row>
      <xdr:rowOff>39045</xdr:rowOff>
    </xdr:from>
    <xdr:to>
      <xdr:col>36</xdr:col>
      <xdr:colOff>145521</xdr:colOff>
      <xdr:row>429</xdr:row>
      <xdr:rowOff>13229</xdr:rowOff>
    </xdr:to>
    <xdr:graphicFrame macro="">
      <xdr:nvGraphicFramePr>
        <xdr:cNvPr id="27" name="Chart 26">
          <a:extLst>
            <a:ext uri="{FF2B5EF4-FFF2-40B4-BE49-F238E27FC236}">
              <a16:creationId xmlns:a16="http://schemas.microsoft.com/office/drawing/2014/main" id="{A1D370BC-55D6-9210-56FA-6C164F51FE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29</xdr:col>
      <xdr:colOff>538079</xdr:colOff>
      <xdr:row>381</xdr:row>
      <xdr:rowOff>33421</xdr:rowOff>
    </xdr:from>
    <xdr:to>
      <xdr:col>36</xdr:col>
      <xdr:colOff>197184</xdr:colOff>
      <xdr:row>397</xdr:row>
      <xdr:rowOff>100264</xdr:rowOff>
    </xdr:to>
    <xdr:graphicFrame macro="">
      <xdr:nvGraphicFramePr>
        <xdr:cNvPr id="29" name="Chart 28">
          <a:extLst>
            <a:ext uri="{FF2B5EF4-FFF2-40B4-BE49-F238E27FC236}">
              <a16:creationId xmlns:a16="http://schemas.microsoft.com/office/drawing/2014/main" id="{71867EB0-18C6-C995-0E72-95B79A598B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29</xdr:col>
      <xdr:colOff>638342</xdr:colOff>
      <xdr:row>396</xdr:row>
      <xdr:rowOff>107279</xdr:rowOff>
    </xdr:from>
    <xdr:to>
      <xdr:col>36</xdr:col>
      <xdr:colOff>200526</xdr:colOff>
      <xdr:row>413</xdr:row>
      <xdr:rowOff>167104</xdr:rowOff>
    </xdr:to>
    <xdr:graphicFrame macro="">
      <xdr:nvGraphicFramePr>
        <xdr:cNvPr id="24" name="Chart 23">
          <a:extLst>
            <a:ext uri="{FF2B5EF4-FFF2-40B4-BE49-F238E27FC236}">
              <a16:creationId xmlns:a16="http://schemas.microsoft.com/office/drawing/2014/main" id="{A5A84F60-CA7E-60C6-7613-2CE076029A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51</xdr:col>
      <xdr:colOff>436569</xdr:colOff>
      <xdr:row>2</xdr:row>
      <xdr:rowOff>123296</xdr:rowOff>
    </xdr:from>
    <xdr:to>
      <xdr:col>61</xdr:col>
      <xdr:colOff>291352</xdr:colOff>
      <xdr:row>22</xdr:row>
      <xdr:rowOff>168087</xdr:rowOff>
    </xdr:to>
    <xdr:graphicFrame macro="">
      <xdr:nvGraphicFramePr>
        <xdr:cNvPr id="30" name="Chart 29">
          <a:extLst>
            <a:ext uri="{FF2B5EF4-FFF2-40B4-BE49-F238E27FC236}">
              <a16:creationId xmlns:a16="http://schemas.microsoft.com/office/drawing/2014/main" id="{22795B51-9C88-DD5A-458B-52B5B7334F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62</xdr:col>
      <xdr:colOff>185206</xdr:colOff>
      <xdr:row>2</xdr:row>
      <xdr:rowOff>171976</xdr:rowOff>
    </xdr:from>
    <xdr:to>
      <xdr:col>72</xdr:col>
      <xdr:colOff>66145</xdr:colOff>
      <xdr:row>23</xdr:row>
      <xdr:rowOff>39687</xdr:rowOff>
    </xdr:to>
    <xdr:graphicFrame macro="">
      <xdr:nvGraphicFramePr>
        <xdr:cNvPr id="31" name="Chart 30">
          <a:extLst>
            <a:ext uri="{FF2B5EF4-FFF2-40B4-BE49-F238E27FC236}">
              <a16:creationId xmlns:a16="http://schemas.microsoft.com/office/drawing/2014/main" id="{465D7910-35E2-43F0-93D2-06CA8A1D65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10</xdr:col>
      <xdr:colOff>343966</xdr:colOff>
      <xdr:row>348</xdr:row>
      <xdr:rowOff>50533</xdr:rowOff>
    </xdr:from>
    <xdr:to>
      <xdr:col>16</xdr:col>
      <xdr:colOff>330729</xdr:colOff>
      <xdr:row>369</xdr:row>
      <xdr:rowOff>105833</xdr:rowOff>
    </xdr:to>
    <xdr:graphicFrame macro="">
      <xdr:nvGraphicFramePr>
        <xdr:cNvPr id="32" name="Chart 31">
          <a:extLst>
            <a:ext uri="{FF2B5EF4-FFF2-40B4-BE49-F238E27FC236}">
              <a16:creationId xmlns:a16="http://schemas.microsoft.com/office/drawing/2014/main" id="{EB72F322-51C8-B070-71EF-D7EB93E5F3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16</xdr:col>
      <xdr:colOff>383655</xdr:colOff>
      <xdr:row>350</xdr:row>
      <xdr:rowOff>76993</xdr:rowOff>
    </xdr:from>
    <xdr:to>
      <xdr:col>29</xdr:col>
      <xdr:colOff>669405</xdr:colOff>
      <xdr:row>370</xdr:row>
      <xdr:rowOff>42068</xdr:rowOff>
    </xdr:to>
    <xdr:graphicFrame macro="">
      <xdr:nvGraphicFramePr>
        <xdr:cNvPr id="33" name="Chart 32">
          <a:extLst>
            <a:ext uri="{FF2B5EF4-FFF2-40B4-BE49-F238E27FC236}">
              <a16:creationId xmlns:a16="http://schemas.microsoft.com/office/drawing/2014/main" id="{57239500-F308-9CE1-0E15-278DE49214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11</xdr:col>
      <xdr:colOff>224906</xdr:colOff>
      <xdr:row>424</xdr:row>
      <xdr:rowOff>143138</xdr:rowOff>
    </xdr:from>
    <xdr:to>
      <xdr:col>17</xdr:col>
      <xdr:colOff>357189</xdr:colOff>
      <xdr:row>441</xdr:row>
      <xdr:rowOff>79374</xdr:rowOff>
    </xdr:to>
    <xdr:graphicFrame macro="">
      <xdr:nvGraphicFramePr>
        <xdr:cNvPr id="15" name="Chart 14">
          <a:extLst>
            <a:ext uri="{FF2B5EF4-FFF2-40B4-BE49-F238E27FC236}">
              <a16:creationId xmlns:a16="http://schemas.microsoft.com/office/drawing/2014/main" id="{EE806381-3915-AACB-695F-3E1DE34835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10</xdr:col>
      <xdr:colOff>555631</xdr:colOff>
      <xdr:row>442</xdr:row>
      <xdr:rowOff>90222</xdr:rowOff>
    </xdr:from>
    <xdr:to>
      <xdr:col>17</xdr:col>
      <xdr:colOff>145521</xdr:colOff>
      <xdr:row>457</xdr:row>
      <xdr:rowOff>132292</xdr:rowOff>
    </xdr:to>
    <xdr:graphicFrame macro="">
      <xdr:nvGraphicFramePr>
        <xdr:cNvPr id="28" name="Chart 27">
          <a:extLst>
            <a:ext uri="{FF2B5EF4-FFF2-40B4-BE49-F238E27FC236}">
              <a16:creationId xmlns:a16="http://schemas.microsoft.com/office/drawing/2014/main" id="{9E1A0045-3D2B-6067-6707-EA6B983D9F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19</xdr:col>
      <xdr:colOff>582084</xdr:colOff>
      <xdr:row>131</xdr:row>
      <xdr:rowOff>52917</xdr:rowOff>
    </xdr:from>
    <xdr:to>
      <xdr:col>30</xdr:col>
      <xdr:colOff>317500</xdr:colOff>
      <xdr:row>152</xdr:row>
      <xdr:rowOff>176146</xdr:rowOff>
    </xdr:to>
    <xdr:graphicFrame macro="">
      <xdr:nvGraphicFramePr>
        <xdr:cNvPr id="34" name="Chart 33">
          <a:extLst>
            <a:ext uri="{FF2B5EF4-FFF2-40B4-BE49-F238E27FC236}">
              <a16:creationId xmlns:a16="http://schemas.microsoft.com/office/drawing/2014/main" id="{060294C4-BE73-4532-9F7C-27418FE30E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21</xdr:row>
      <xdr:rowOff>169208</xdr:rowOff>
    </xdr:from>
    <xdr:to>
      <xdr:col>13</xdr:col>
      <xdr:colOff>78441</xdr:colOff>
      <xdr:row>36</xdr:row>
      <xdr:rowOff>54908</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41</xdr:row>
      <xdr:rowOff>190499</xdr:rowOff>
    </xdr:from>
    <xdr:to>
      <xdr:col>12</xdr:col>
      <xdr:colOff>448235</xdr:colOff>
      <xdr:row>55</xdr:row>
      <xdr:rowOff>168088</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190501</xdr:colOff>
      <xdr:row>40</xdr:row>
      <xdr:rowOff>113178</xdr:rowOff>
    </xdr:from>
    <xdr:to>
      <xdr:col>22</xdr:col>
      <xdr:colOff>526677</xdr:colOff>
      <xdr:row>54</xdr:row>
      <xdr:rowOff>189378</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507788</xdr:colOff>
      <xdr:row>66</xdr:row>
      <xdr:rowOff>73156</xdr:rowOff>
    </xdr:from>
    <xdr:to>
      <xdr:col>12</xdr:col>
      <xdr:colOff>503465</xdr:colOff>
      <xdr:row>84</xdr:row>
      <xdr:rowOff>54429</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394608</xdr:colOff>
      <xdr:row>122</xdr:row>
      <xdr:rowOff>81643</xdr:rowOff>
    </xdr:from>
    <xdr:to>
      <xdr:col>12</xdr:col>
      <xdr:colOff>13607</xdr:colOff>
      <xdr:row>138</xdr:row>
      <xdr:rowOff>167367</xdr:rowOff>
    </xdr:to>
    <xdr:graphicFrame macro="">
      <xdr:nvGraphicFramePr>
        <xdr:cNvPr id="6" name="Chart 5">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530679</xdr:colOff>
      <xdr:row>122</xdr:row>
      <xdr:rowOff>54428</xdr:rowOff>
    </xdr:from>
    <xdr:to>
      <xdr:col>19</xdr:col>
      <xdr:colOff>517070</xdr:colOff>
      <xdr:row>139</xdr:row>
      <xdr:rowOff>140152</xdr:rowOff>
    </xdr:to>
    <xdr:graphicFrame macro="">
      <xdr:nvGraphicFramePr>
        <xdr:cNvPr id="7" name="Chart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517071</xdr:colOff>
      <xdr:row>160</xdr:row>
      <xdr:rowOff>2723</xdr:rowOff>
    </xdr:from>
    <xdr:to>
      <xdr:col>18</xdr:col>
      <xdr:colOff>476249</xdr:colOff>
      <xdr:row>175</xdr:row>
      <xdr:rowOff>13607</xdr:rowOff>
    </xdr:to>
    <xdr:graphicFrame macro="">
      <xdr:nvGraphicFramePr>
        <xdr:cNvPr id="8" name="Chart 7">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449035</xdr:colOff>
      <xdr:row>183</xdr:row>
      <xdr:rowOff>193221</xdr:rowOff>
    </xdr:from>
    <xdr:to>
      <xdr:col>21</xdr:col>
      <xdr:colOff>204107</xdr:colOff>
      <xdr:row>199</xdr:row>
      <xdr:rowOff>133350</xdr:rowOff>
    </xdr:to>
    <xdr:graphicFrame macro="">
      <xdr:nvGraphicFramePr>
        <xdr:cNvPr id="9" name="Chart 8">
          <a:extLst>
            <a:ext uri="{FF2B5EF4-FFF2-40B4-BE49-F238E27FC236}">
              <a16:creationId xmlns:a16="http://schemas.microsoft.com/office/drawing/2014/main" id="{90F8B178-6AA1-4BFF-9725-D1B5E7245B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217715</xdr:colOff>
      <xdr:row>226</xdr:row>
      <xdr:rowOff>54429</xdr:rowOff>
    </xdr:from>
    <xdr:to>
      <xdr:col>19</xdr:col>
      <xdr:colOff>503465</xdr:colOff>
      <xdr:row>243</xdr:row>
      <xdr:rowOff>51707</xdr:rowOff>
    </xdr:to>
    <xdr:graphicFrame macro="">
      <xdr:nvGraphicFramePr>
        <xdr:cNvPr id="10" name="Chart 9">
          <a:extLst>
            <a:ext uri="{FF2B5EF4-FFF2-40B4-BE49-F238E27FC236}">
              <a16:creationId xmlns:a16="http://schemas.microsoft.com/office/drawing/2014/main" id="{0E18DB08-DFCB-473F-9134-19B26AA342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14</xdr:col>
      <xdr:colOff>326572</xdr:colOff>
      <xdr:row>258</xdr:row>
      <xdr:rowOff>138791</xdr:rowOff>
    </xdr:from>
    <xdr:to>
      <xdr:col>20</xdr:col>
      <xdr:colOff>476250</xdr:colOff>
      <xdr:row>277</xdr:row>
      <xdr:rowOff>136072</xdr:rowOff>
    </xdr:to>
    <xdr:graphicFrame macro="">
      <xdr:nvGraphicFramePr>
        <xdr:cNvPr id="11" name="Chart 10">
          <a:extLst>
            <a:ext uri="{FF2B5EF4-FFF2-40B4-BE49-F238E27FC236}">
              <a16:creationId xmlns:a16="http://schemas.microsoft.com/office/drawing/2014/main" id="{5532FAF4-E3A4-44CD-BE08-7C9533B547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108859</xdr:colOff>
      <xdr:row>273</xdr:row>
      <xdr:rowOff>68035</xdr:rowOff>
    </xdr:from>
    <xdr:to>
      <xdr:col>12</xdr:col>
      <xdr:colOff>163287</xdr:colOff>
      <xdr:row>291</xdr:row>
      <xdr:rowOff>27213</xdr:rowOff>
    </xdr:to>
    <xdr:graphicFrame macro="">
      <xdr:nvGraphicFramePr>
        <xdr:cNvPr id="12" name="Chart 11">
          <a:extLst>
            <a:ext uri="{FF2B5EF4-FFF2-40B4-BE49-F238E27FC236}">
              <a16:creationId xmlns:a16="http://schemas.microsoft.com/office/drawing/2014/main" id="{9EB1E84B-720D-40E3-AC6C-40C064A7AD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xdr:col>
      <xdr:colOff>40821</xdr:colOff>
      <xdr:row>210</xdr:row>
      <xdr:rowOff>57151</xdr:rowOff>
    </xdr:from>
    <xdr:to>
      <xdr:col>15</xdr:col>
      <xdr:colOff>0</xdr:colOff>
      <xdr:row>224</xdr:row>
      <xdr:rowOff>65315</xdr:rowOff>
    </xdr:to>
    <xdr:graphicFrame macro="">
      <xdr:nvGraphicFramePr>
        <xdr:cNvPr id="14" name="Chart 13">
          <a:extLst>
            <a:ext uri="{FF2B5EF4-FFF2-40B4-BE49-F238E27FC236}">
              <a16:creationId xmlns:a16="http://schemas.microsoft.com/office/drawing/2014/main" id="{300D00A2-AF86-445C-8DCB-D0A79F9AF9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16</xdr:col>
      <xdr:colOff>0</xdr:colOff>
      <xdr:row>210</xdr:row>
      <xdr:rowOff>0</xdr:rowOff>
    </xdr:from>
    <xdr:to>
      <xdr:col>21</xdr:col>
      <xdr:colOff>571501</xdr:colOff>
      <xdr:row>224</xdr:row>
      <xdr:rowOff>8164</xdr:rowOff>
    </xdr:to>
    <xdr:graphicFrame macro="">
      <xdr:nvGraphicFramePr>
        <xdr:cNvPr id="15" name="Chart 14">
          <a:extLst>
            <a:ext uri="{FF2B5EF4-FFF2-40B4-BE49-F238E27FC236}">
              <a16:creationId xmlns:a16="http://schemas.microsoft.com/office/drawing/2014/main" id="{B5DD9100-507F-4CCF-9138-876AFBDB42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0</xdr:colOff>
      <xdr:row>365</xdr:row>
      <xdr:rowOff>67353</xdr:rowOff>
    </xdr:from>
    <xdr:to>
      <xdr:col>16</xdr:col>
      <xdr:colOff>564696</xdr:colOff>
      <xdr:row>391</xdr:row>
      <xdr:rowOff>108858</xdr:rowOff>
    </xdr:to>
    <xdr:graphicFrame macro="">
      <xdr:nvGraphicFramePr>
        <xdr:cNvPr id="13" name="Chart 12">
          <a:extLst>
            <a:ext uri="{FF2B5EF4-FFF2-40B4-BE49-F238E27FC236}">
              <a16:creationId xmlns:a16="http://schemas.microsoft.com/office/drawing/2014/main" id="{A13010E2-B97B-41A1-9819-003BAD0766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0</xdr:colOff>
      <xdr:row>398</xdr:row>
      <xdr:rowOff>155801</xdr:rowOff>
    </xdr:from>
    <xdr:to>
      <xdr:col>12</xdr:col>
      <xdr:colOff>6804</xdr:colOff>
      <xdr:row>413</xdr:row>
      <xdr:rowOff>143554</xdr:rowOff>
    </xdr:to>
    <xdr:graphicFrame macro="">
      <xdr:nvGraphicFramePr>
        <xdr:cNvPr id="16" name="Chart 15">
          <a:extLst>
            <a:ext uri="{FF2B5EF4-FFF2-40B4-BE49-F238E27FC236}">
              <a16:creationId xmlns:a16="http://schemas.microsoft.com/office/drawing/2014/main" id="{880219F9-351E-4986-8ED4-D3594AD593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353786</xdr:colOff>
      <xdr:row>416</xdr:row>
      <xdr:rowOff>155801</xdr:rowOff>
    </xdr:from>
    <xdr:to>
      <xdr:col>12</xdr:col>
      <xdr:colOff>244929</xdr:colOff>
      <xdr:row>434</xdr:row>
      <xdr:rowOff>149679</xdr:rowOff>
    </xdr:to>
    <xdr:graphicFrame macro="">
      <xdr:nvGraphicFramePr>
        <xdr:cNvPr id="17" name="Chart 16">
          <a:extLst>
            <a:ext uri="{FF2B5EF4-FFF2-40B4-BE49-F238E27FC236}">
              <a16:creationId xmlns:a16="http://schemas.microsoft.com/office/drawing/2014/main" id="{9A143B8A-33E7-46E9-8219-7A4F128CB0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xdr:col>
      <xdr:colOff>117021</xdr:colOff>
      <xdr:row>486</xdr:row>
      <xdr:rowOff>16329</xdr:rowOff>
    </xdr:from>
    <xdr:to>
      <xdr:col>14</xdr:col>
      <xdr:colOff>195942</xdr:colOff>
      <xdr:row>502</xdr:row>
      <xdr:rowOff>114300</xdr:rowOff>
    </xdr:to>
    <xdr:graphicFrame macro="">
      <xdr:nvGraphicFramePr>
        <xdr:cNvPr id="18" name="Chart 17">
          <a:extLst>
            <a:ext uri="{FF2B5EF4-FFF2-40B4-BE49-F238E27FC236}">
              <a16:creationId xmlns:a16="http://schemas.microsoft.com/office/drawing/2014/main" id="{7E3B6D5F-1DF4-491E-B45F-69EDCCCA0C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20</xdr:col>
      <xdr:colOff>421822</xdr:colOff>
      <xdr:row>162</xdr:row>
      <xdr:rowOff>40821</xdr:rowOff>
    </xdr:from>
    <xdr:to>
      <xdr:col>26</xdr:col>
      <xdr:colOff>431347</xdr:colOff>
      <xdr:row>177</xdr:row>
      <xdr:rowOff>67218</xdr:rowOff>
    </xdr:to>
    <xdr:graphicFrame macro="">
      <xdr:nvGraphicFramePr>
        <xdr:cNvPr id="19" name="Chart 18">
          <a:extLst>
            <a:ext uri="{FF2B5EF4-FFF2-40B4-BE49-F238E27FC236}">
              <a16:creationId xmlns:a16="http://schemas.microsoft.com/office/drawing/2014/main" id="{7F31AEAB-2296-4710-AA1D-8A66B9C46B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14</xdr:col>
      <xdr:colOff>19050</xdr:colOff>
      <xdr:row>825</xdr:row>
      <xdr:rowOff>35378</xdr:rowOff>
    </xdr:from>
    <xdr:to>
      <xdr:col>21</xdr:col>
      <xdr:colOff>424543</xdr:colOff>
      <xdr:row>844</xdr:row>
      <xdr:rowOff>81642</xdr:rowOff>
    </xdr:to>
    <xdr:graphicFrame macro="">
      <xdr:nvGraphicFramePr>
        <xdr:cNvPr id="20" name="Chart 19">
          <a:extLst>
            <a:ext uri="{FF2B5EF4-FFF2-40B4-BE49-F238E27FC236}">
              <a16:creationId xmlns:a16="http://schemas.microsoft.com/office/drawing/2014/main" id="{3FBAD768-3D06-4663-A988-CA25D3FB23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470806</xdr:colOff>
      <xdr:row>841</xdr:row>
      <xdr:rowOff>146956</xdr:rowOff>
    </xdr:from>
    <xdr:to>
      <xdr:col>14</xdr:col>
      <xdr:colOff>315685</xdr:colOff>
      <xdr:row>859</xdr:row>
      <xdr:rowOff>27215</xdr:rowOff>
    </xdr:to>
    <xdr:graphicFrame macro="">
      <xdr:nvGraphicFramePr>
        <xdr:cNvPr id="21" name="Chart 20">
          <a:extLst>
            <a:ext uri="{FF2B5EF4-FFF2-40B4-BE49-F238E27FC236}">
              <a16:creationId xmlns:a16="http://schemas.microsoft.com/office/drawing/2014/main" id="{05CA525E-DD39-4962-B82F-CF8233921B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563336</xdr:colOff>
      <xdr:row>947</xdr:row>
      <xdr:rowOff>51707</xdr:rowOff>
    </xdr:from>
    <xdr:to>
      <xdr:col>12</xdr:col>
      <xdr:colOff>190501</xdr:colOff>
      <xdr:row>963</xdr:row>
      <xdr:rowOff>130629</xdr:rowOff>
    </xdr:to>
    <xdr:graphicFrame macro="">
      <xdr:nvGraphicFramePr>
        <xdr:cNvPr id="25" name="Chart 24">
          <a:extLst>
            <a:ext uri="{FF2B5EF4-FFF2-40B4-BE49-F238E27FC236}">
              <a16:creationId xmlns:a16="http://schemas.microsoft.com/office/drawing/2014/main" id="{A51E042F-30DD-4D2E-A172-970DD4BBB3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397328</xdr:colOff>
      <xdr:row>947</xdr:row>
      <xdr:rowOff>48986</xdr:rowOff>
    </xdr:from>
    <xdr:to>
      <xdr:col>18</xdr:col>
      <xdr:colOff>236764</xdr:colOff>
      <xdr:row>963</xdr:row>
      <xdr:rowOff>127908</xdr:rowOff>
    </xdr:to>
    <xdr:graphicFrame macro="">
      <xdr:nvGraphicFramePr>
        <xdr:cNvPr id="26" name="Chart 25">
          <a:extLst>
            <a:ext uri="{FF2B5EF4-FFF2-40B4-BE49-F238E27FC236}">
              <a16:creationId xmlns:a16="http://schemas.microsoft.com/office/drawing/2014/main" id="{049923F9-C37C-43E6-B222-FA42A03C0C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19</xdr:col>
      <xdr:colOff>84364</xdr:colOff>
      <xdr:row>955</xdr:row>
      <xdr:rowOff>84363</xdr:rowOff>
    </xdr:from>
    <xdr:to>
      <xdr:col>26</xdr:col>
      <xdr:colOff>157844</xdr:colOff>
      <xdr:row>973</xdr:row>
      <xdr:rowOff>103413</xdr:rowOff>
    </xdr:to>
    <xdr:graphicFrame macro="">
      <xdr:nvGraphicFramePr>
        <xdr:cNvPr id="28" name="Chart 27">
          <a:extLst>
            <a:ext uri="{FF2B5EF4-FFF2-40B4-BE49-F238E27FC236}">
              <a16:creationId xmlns:a16="http://schemas.microsoft.com/office/drawing/2014/main" id="{A1B2AD36-4B73-45AB-B75F-D6BBB73609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23</xdr:col>
      <xdr:colOff>397327</xdr:colOff>
      <xdr:row>427</xdr:row>
      <xdr:rowOff>175260</xdr:rowOff>
    </xdr:from>
    <xdr:to>
      <xdr:col>30</xdr:col>
      <xdr:colOff>87086</xdr:colOff>
      <xdr:row>445</xdr:row>
      <xdr:rowOff>80011</xdr:rowOff>
    </xdr:to>
    <xdr:graphicFrame macro="">
      <xdr:nvGraphicFramePr>
        <xdr:cNvPr id="24" name="Chart 23">
          <a:extLst>
            <a:ext uri="{FF2B5EF4-FFF2-40B4-BE49-F238E27FC236}">
              <a16:creationId xmlns:a16="http://schemas.microsoft.com/office/drawing/2014/main" id="{FCE20CA5-6FA9-E27A-8D03-AA469DF812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22</xdr:col>
      <xdr:colOff>581843</xdr:colOff>
      <xdr:row>473</xdr:row>
      <xdr:rowOff>52522</xdr:rowOff>
    </xdr:from>
    <xdr:to>
      <xdr:col>29</xdr:col>
      <xdr:colOff>105047</xdr:colOff>
      <xdr:row>491</xdr:row>
      <xdr:rowOff>20136</xdr:rowOff>
    </xdr:to>
    <xdr:graphicFrame macro="">
      <xdr:nvGraphicFramePr>
        <xdr:cNvPr id="27" name="Chart 26">
          <a:extLst>
            <a:ext uri="{FF2B5EF4-FFF2-40B4-BE49-F238E27FC236}">
              <a16:creationId xmlns:a16="http://schemas.microsoft.com/office/drawing/2014/main" id="{14A31C04-1682-B02B-95C6-40EE0F34E5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13</xdr:col>
      <xdr:colOff>0</xdr:colOff>
      <xdr:row>735</xdr:row>
      <xdr:rowOff>0</xdr:rowOff>
    </xdr:from>
    <xdr:to>
      <xdr:col>22</xdr:col>
      <xdr:colOff>642257</xdr:colOff>
      <xdr:row>749</xdr:row>
      <xdr:rowOff>152400</xdr:rowOff>
    </xdr:to>
    <xdr:graphicFrame macro="">
      <xdr:nvGraphicFramePr>
        <xdr:cNvPr id="30" name="Chart 29">
          <a:extLst>
            <a:ext uri="{FF2B5EF4-FFF2-40B4-BE49-F238E27FC236}">
              <a16:creationId xmlns:a16="http://schemas.microsoft.com/office/drawing/2014/main" id="{690D9345-FEF1-4F85-A6A6-36454E928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2</xdr:col>
      <xdr:colOff>1031421</xdr:colOff>
      <xdr:row>622</xdr:row>
      <xdr:rowOff>117020</xdr:rowOff>
    </xdr:from>
    <xdr:to>
      <xdr:col>10</xdr:col>
      <xdr:colOff>10886</xdr:colOff>
      <xdr:row>640</xdr:row>
      <xdr:rowOff>43543</xdr:rowOff>
    </xdr:to>
    <xdr:graphicFrame macro="">
      <xdr:nvGraphicFramePr>
        <xdr:cNvPr id="22" name="Chart 21">
          <a:extLst>
            <a:ext uri="{FF2B5EF4-FFF2-40B4-BE49-F238E27FC236}">
              <a16:creationId xmlns:a16="http://schemas.microsoft.com/office/drawing/2014/main" id="{90B03658-F8CC-D1C3-2647-39766AAB56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0</xdr:colOff>
      <xdr:row>623</xdr:row>
      <xdr:rowOff>0</xdr:rowOff>
    </xdr:from>
    <xdr:to>
      <xdr:col>20</xdr:col>
      <xdr:colOff>329294</xdr:colOff>
      <xdr:row>640</xdr:row>
      <xdr:rowOff>111580</xdr:rowOff>
    </xdr:to>
    <xdr:graphicFrame macro="">
      <xdr:nvGraphicFramePr>
        <xdr:cNvPr id="23" name="Chart 22">
          <a:extLst>
            <a:ext uri="{FF2B5EF4-FFF2-40B4-BE49-F238E27FC236}">
              <a16:creationId xmlns:a16="http://schemas.microsoft.com/office/drawing/2014/main" id="{8979F1AC-0B2A-455D-8AF7-9E10E4DC6F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8</xdr:col>
      <xdr:colOff>108856</xdr:colOff>
      <xdr:row>651</xdr:row>
      <xdr:rowOff>50343</xdr:rowOff>
    </xdr:from>
    <xdr:to>
      <xdr:col>13</xdr:col>
      <xdr:colOff>217714</xdr:colOff>
      <xdr:row>664</xdr:row>
      <xdr:rowOff>40821</xdr:rowOff>
    </xdr:to>
    <xdr:graphicFrame macro="">
      <xdr:nvGraphicFramePr>
        <xdr:cNvPr id="29" name="Chart 28">
          <a:extLst>
            <a:ext uri="{FF2B5EF4-FFF2-40B4-BE49-F238E27FC236}">
              <a16:creationId xmlns:a16="http://schemas.microsoft.com/office/drawing/2014/main" id="{26411837-770A-E798-C4AE-AADF7E9A29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13</xdr:col>
      <xdr:colOff>285751</xdr:colOff>
      <xdr:row>650</xdr:row>
      <xdr:rowOff>108857</xdr:rowOff>
    </xdr:from>
    <xdr:to>
      <xdr:col>19</xdr:col>
      <xdr:colOff>503464</xdr:colOff>
      <xdr:row>664</xdr:row>
      <xdr:rowOff>54428</xdr:rowOff>
    </xdr:to>
    <xdr:graphicFrame macro="">
      <xdr:nvGraphicFramePr>
        <xdr:cNvPr id="32" name="Chart 31">
          <a:extLst>
            <a:ext uri="{FF2B5EF4-FFF2-40B4-BE49-F238E27FC236}">
              <a16:creationId xmlns:a16="http://schemas.microsoft.com/office/drawing/2014/main" id="{FBF590FE-72AC-44A6-AC84-EE31A324E1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8</xdr:col>
      <xdr:colOff>386442</xdr:colOff>
      <xdr:row>704</xdr:row>
      <xdr:rowOff>62592</xdr:rowOff>
    </xdr:from>
    <xdr:to>
      <xdr:col>17</xdr:col>
      <xdr:colOff>315685</xdr:colOff>
      <xdr:row>724</xdr:row>
      <xdr:rowOff>21771</xdr:rowOff>
    </xdr:to>
    <xdr:graphicFrame macro="">
      <xdr:nvGraphicFramePr>
        <xdr:cNvPr id="31" name="Chart 30">
          <a:extLst>
            <a:ext uri="{FF2B5EF4-FFF2-40B4-BE49-F238E27FC236}">
              <a16:creationId xmlns:a16="http://schemas.microsoft.com/office/drawing/2014/main" id="{D659CBB2-93F0-7F50-8FB2-645665F7E0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0.33036</cdr:x>
      <cdr:y>0.29546</cdr:y>
    </cdr:from>
    <cdr:to>
      <cdr:x>0.70536</cdr:x>
      <cdr:y>0.44528</cdr:y>
    </cdr:to>
    <cdr:sp macro="" textlink="">
      <cdr:nvSpPr>
        <cdr:cNvPr id="2" name="TextBox 1">
          <a:extLst xmlns:a="http://schemas.openxmlformats.org/drawingml/2006/main">
            <a:ext uri="{FF2B5EF4-FFF2-40B4-BE49-F238E27FC236}">
              <a16:creationId xmlns:a16="http://schemas.microsoft.com/office/drawing/2014/main" id="{35B9CC6A-94CF-47BA-80CA-372ED8D01E26}"/>
            </a:ext>
          </a:extLst>
        </cdr:cNvPr>
        <cdr:cNvSpPr txBox="1"/>
      </cdr:nvSpPr>
      <cdr:spPr>
        <a:xfrm xmlns:a="http://schemas.openxmlformats.org/drawingml/2006/main">
          <a:off x="1006928" y="966108"/>
          <a:ext cx="1143000" cy="4898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a:t>?</a:t>
          </a:r>
        </a:p>
      </cdr:txBody>
    </cdr:sp>
  </cdr:relSizeAnchor>
  <cdr:relSizeAnchor xmlns:cdr="http://schemas.openxmlformats.org/drawingml/2006/chartDrawing">
    <cdr:from>
      <cdr:x>0.4375</cdr:x>
      <cdr:y>0.3454</cdr:y>
    </cdr:from>
    <cdr:to>
      <cdr:x>0.72321</cdr:x>
      <cdr:y>0.56596</cdr:y>
    </cdr:to>
    <cdr:sp macro="" textlink="">
      <cdr:nvSpPr>
        <cdr:cNvPr id="3" name="TextBox 2">
          <a:extLst xmlns:a="http://schemas.openxmlformats.org/drawingml/2006/main">
            <a:ext uri="{FF2B5EF4-FFF2-40B4-BE49-F238E27FC236}">
              <a16:creationId xmlns:a16="http://schemas.microsoft.com/office/drawing/2014/main" id="{7658D932-8380-42DF-8333-7CDD98FCE509}"/>
            </a:ext>
          </a:extLst>
        </cdr:cNvPr>
        <cdr:cNvSpPr txBox="1"/>
      </cdr:nvSpPr>
      <cdr:spPr>
        <a:xfrm xmlns:a="http://schemas.openxmlformats.org/drawingml/2006/main">
          <a:off x="1333499" y="1129393"/>
          <a:ext cx="870857" cy="7211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3600">
              <a:solidFill>
                <a:schemeClr val="bg1"/>
              </a:solidFill>
            </a:rPr>
            <a:t>?</a:t>
          </a:r>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571500</xdr:colOff>
      <xdr:row>2244</xdr:row>
      <xdr:rowOff>78440</xdr:rowOff>
    </xdr:from>
    <xdr:to>
      <xdr:col>15</xdr:col>
      <xdr:colOff>481852</xdr:colOff>
      <xdr:row>2283</xdr:row>
      <xdr:rowOff>11205</xdr:rowOff>
    </xdr:to>
    <xdr:sp macro="" textlink="">
      <xdr:nvSpPr>
        <xdr:cNvPr id="2" name="TextBox 1">
          <a:extLst>
            <a:ext uri="{FF2B5EF4-FFF2-40B4-BE49-F238E27FC236}">
              <a16:creationId xmlns:a16="http://schemas.microsoft.com/office/drawing/2014/main" id="{B6D2D07D-D99F-C267-DDD1-23D747CFE23B}"/>
            </a:ext>
          </a:extLst>
        </xdr:cNvPr>
        <xdr:cNvSpPr txBox="1"/>
      </xdr:nvSpPr>
      <xdr:spPr>
        <a:xfrm>
          <a:off x="571500" y="427560440"/>
          <a:ext cx="10219764" cy="73622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Intro:</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Best Q for net adds.</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Positive trends will continue w/ the geographic extension.</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Low leverage means they can use debt for future plans.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Capex excl. special projects is around 20%.</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M&amp;A offer: at the moment can’t tell, company not for sale but board always open to receive and analyze any business proposal. Our main interest in to maximize value for all stockholders.</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MVNO: building a more profitable subs base.</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Ola growth 120% y/y.</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Expected margin pressure and recovery when new territories matures, these Q4 results are coherent with that.</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Heavy investment over the past 3 years.</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Net income Q4 last year different bcs of recognition of some impairments.</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Q&amp;A:</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ARPU flat bcs aggressive promotions.</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Leverage: comfortable w/ current levels, comfortable with 1.5/1.7x.</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Margin outlook: no guidance, still investments for growth. 2.5m HP for 2023, comfortable w/ 1.5/1.7x leverage. Some pressure on margins maybe bcs investing. Need to capitalize on the 2m homes passed this year.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M&amp;A: No more conversation w/ Televisa, focused on alternative plans which is growth/investments, going accordingly with plans, all we can say.</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Capex to remain around low 40% revenues in 2023.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50% of network is G-PON, end of year 70% network to be upgraded w/ fibre.</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Coverage: look for areas where they have potential. Doing very good in Tijuana, had too many sales there actually, backlog long…</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Expect good 23/24, not explosion bcs physical job city by city.</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24months needed for new territory to be mature. What built in 2021 will be mature in 2024. So, 2025 back to normal in terms of margins but don’t expect 50%</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Interests not at normal levels, don’t expect that in the future.</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Capex: 21-24 $2bn budget still here? Accelerating some of it 2022/23. Not going to exceed the $2bn. When rev and ebitda grow up, capex to sales back to healthier levels in the years to come.</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Tax/interest? Impact on financial 370m pesos impact from tax on financials/ interest.</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New territory penetration: comfortable, above expectations, creating value, making a national efficient company. Will see in 3 years.</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M&amp;A: Board decided plan is better than merger. Real evaluation: 2 options, thinks stick w/ management presented 2 years ago is better.</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Will have higher margins when new territories mature.</a:t>
          </a:r>
          <a:endParaRPr lang="en-GB" sz="1100">
            <a:solidFill>
              <a:schemeClr val="dk1"/>
            </a:solidFill>
            <a:effectLst/>
            <a:latin typeface="+mn-lt"/>
            <a:ea typeface="+mn-ea"/>
            <a:cs typeface="+mn-cs"/>
          </a:endParaRPr>
        </a:p>
        <a:p>
          <a:endParaRPr lang="en-GB" sz="1100"/>
        </a:p>
      </xdr:txBody>
    </xdr:sp>
    <xdr:clientData/>
  </xdr:twoCellAnchor>
  <xdr:twoCellAnchor>
    <xdr:from>
      <xdr:col>1</xdr:col>
      <xdr:colOff>134470</xdr:colOff>
      <xdr:row>2287</xdr:row>
      <xdr:rowOff>11206</xdr:rowOff>
    </xdr:from>
    <xdr:to>
      <xdr:col>15</xdr:col>
      <xdr:colOff>448235</xdr:colOff>
      <xdr:row>2304</xdr:row>
      <xdr:rowOff>67235</xdr:rowOff>
    </xdr:to>
    <xdr:sp macro="" textlink="">
      <xdr:nvSpPr>
        <xdr:cNvPr id="3" name="TextBox 2">
          <a:extLst>
            <a:ext uri="{FF2B5EF4-FFF2-40B4-BE49-F238E27FC236}">
              <a16:creationId xmlns:a16="http://schemas.microsoft.com/office/drawing/2014/main" id="{82C5F0EE-5774-4FE2-26CF-10DD6A53F8EF}"/>
            </a:ext>
          </a:extLst>
        </xdr:cNvPr>
        <xdr:cNvSpPr txBox="1"/>
      </xdr:nvSpPr>
      <xdr:spPr>
        <a:xfrm>
          <a:off x="739588" y="435684706"/>
          <a:ext cx="10018059" cy="32945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100" b="1">
              <a:solidFill>
                <a:schemeClr val="dk1"/>
              </a:solidFill>
              <a:effectLst/>
              <a:latin typeface="+mn-lt"/>
              <a:ea typeface="+mn-ea"/>
              <a:cs typeface="+mn-cs"/>
            </a:rPr>
            <a:t>Offer</a:t>
          </a:r>
          <a:r>
            <a:rPr lang="en-US" sz="1100">
              <a:solidFill>
                <a:schemeClr val="dk1"/>
              </a:solidFill>
              <a:effectLst/>
              <a:latin typeface="+mn-lt"/>
              <a:ea typeface="+mn-ea"/>
              <a:cs typeface="+mn-cs"/>
            </a:rPr>
            <a:t>: Unrequested offer. Was sent to the Chairman of the Board. Discussions stayed at this level, they analysed the offer, Board thought it was not enough, better deal for shareholder is to stay w/ the other plan. There was a counter offer, was management not involved in these discussions.</a:t>
          </a:r>
          <a:endParaRPr lang="en-GB"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CFO view on deal:</a:t>
          </a:r>
          <a:r>
            <a:rPr lang="en-US" sz="1100">
              <a:solidFill>
                <a:schemeClr val="dk1"/>
              </a:solidFill>
              <a:effectLst/>
              <a:latin typeface="+mn-lt"/>
              <a:ea typeface="+mn-ea"/>
              <a:cs typeface="+mn-cs"/>
            </a:rPr>
            <a:t> Thinks was a good offer but somehow, it doesn’t reach to levels of “value” that should go to stockholders… not in line with what MEGA could see in the near future. Deal makes sense bcs of synergies but a piece missing in the puzzle: Televisa has not been facing the real competition (Totalplay). MEGA successful w/ defense strategy vs. Totalplay who hasn’t grown as much in the MEGA territories compared to other territories. This means investments in fibre needs to continue (in territories where HFC is the network). In other words, can’t combine two companies and have capex below 20%. Both companies need to build fibre in these territories otherwise Totalplay takes it all. Building fibre reduces the synergies. But it needs to be done. Can’t bring down capex too much as need to build fibre.</a:t>
          </a:r>
          <a:endParaRPr lang="en-GB"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Totalplay:</a:t>
          </a:r>
          <a:r>
            <a:rPr lang="en-US" sz="1100">
              <a:solidFill>
                <a:schemeClr val="dk1"/>
              </a:solidFill>
              <a:effectLst/>
              <a:latin typeface="+mn-lt"/>
              <a:ea typeface="+mn-ea"/>
              <a:cs typeface="+mn-cs"/>
            </a:rPr>
            <a:t> Said wont build last km in fibre. They have reached 17.5m HP. Extra capex is subscriber connection equipment. </a:t>
          </a:r>
          <a:endParaRPr lang="en-GB"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Rates/Macro:</a:t>
          </a:r>
          <a:r>
            <a:rPr lang="en-US" sz="1100">
              <a:solidFill>
                <a:schemeClr val="dk1"/>
              </a:solidFill>
              <a:effectLst/>
              <a:latin typeface="+mn-lt"/>
              <a:ea typeface="+mn-ea"/>
              <a:cs typeface="+mn-cs"/>
            </a:rPr>
            <a:t> Interest hurting every company but more the one with high leverage, maybe this is why they stopped building the last km. Televisa as well. Mega has a strong BS to navigate through these difficult times. Will be hurt less, will be nice to grow when other can only watch, opportunity that can capitalize on. In 2-3 years outcome will be good on MEGA side. </a:t>
          </a:r>
          <a:endParaRPr lang="en-GB"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Merger w/ Totalplay:</a:t>
          </a:r>
          <a:r>
            <a:rPr lang="en-US" sz="1100">
              <a:solidFill>
                <a:schemeClr val="dk1"/>
              </a:solidFill>
              <a:effectLst/>
              <a:latin typeface="+mn-lt"/>
              <a:ea typeface="+mn-ea"/>
              <a:cs typeface="+mn-cs"/>
            </a:rPr>
            <a:t> Don’t think merger w/ Totalplay is possible as largest territories overlap (in fibre in both cases) i.e. low synergies. Confident in plan A, working ok so far, a bit of delays in executions (municipality trying to get share of benefits etc…)</a:t>
          </a:r>
          <a:endParaRPr lang="en-GB"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Market share:</a:t>
          </a:r>
          <a:r>
            <a:rPr lang="en-US" sz="1100">
              <a:solidFill>
                <a:schemeClr val="dk1"/>
              </a:solidFill>
              <a:effectLst/>
              <a:latin typeface="+mn-lt"/>
              <a:ea typeface="+mn-ea"/>
              <a:cs typeface="+mn-cs"/>
            </a:rPr>
            <a:t> Getting share from all competitors, new subs (to the market) are not a lot. 30 cities to grow this year. </a:t>
          </a:r>
          <a:endParaRPr lang="en-GB"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ARPU: </a:t>
          </a:r>
          <a:r>
            <a:rPr lang="en-US" sz="1100">
              <a:solidFill>
                <a:schemeClr val="dk1"/>
              </a:solidFill>
              <a:effectLst/>
              <a:latin typeface="+mn-lt"/>
              <a:ea typeface="+mn-ea"/>
              <a:cs typeface="+mn-cs"/>
            </a:rPr>
            <a:t>ARPU impacted in new territories (promotions), expect margins impact for a  few Q and then back up but not going to reach pre pandemic levels, will lose 2-3 (maybe more) points in the mass market, depending on how aggressive competition will be, MEGA has the best margins. Still growing above competition, mkt not growing as it was but they are getting the highest share.</a:t>
          </a:r>
          <a:endParaRPr lang="en-GB" sz="1100">
            <a:solidFill>
              <a:schemeClr val="dk1"/>
            </a:solidFill>
            <a:effectLst/>
            <a:latin typeface="+mn-lt"/>
            <a:ea typeface="+mn-ea"/>
            <a:cs typeface="+mn-cs"/>
          </a:endParaRPr>
        </a:p>
        <a:p>
          <a:endParaRPr lang="en-GB" sz="1100"/>
        </a:p>
      </xdr:txBody>
    </xdr:sp>
    <xdr:clientData/>
  </xdr:twoCellAnchor>
  <xdr:twoCellAnchor>
    <xdr:from>
      <xdr:col>1</xdr:col>
      <xdr:colOff>22412</xdr:colOff>
      <xdr:row>2309</xdr:row>
      <xdr:rowOff>56029</xdr:rowOff>
    </xdr:from>
    <xdr:to>
      <xdr:col>16</xdr:col>
      <xdr:colOff>89647</xdr:colOff>
      <xdr:row>2337</xdr:row>
      <xdr:rowOff>89647</xdr:rowOff>
    </xdr:to>
    <xdr:sp macro="" textlink="">
      <xdr:nvSpPr>
        <xdr:cNvPr id="4" name="TextBox 3">
          <a:extLst>
            <a:ext uri="{FF2B5EF4-FFF2-40B4-BE49-F238E27FC236}">
              <a16:creationId xmlns:a16="http://schemas.microsoft.com/office/drawing/2014/main" id="{1786CADC-992F-41C8-BF03-F8533D3E96D7}"/>
            </a:ext>
          </a:extLst>
        </xdr:cNvPr>
        <xdr:cNvSpPr txBox="1"/>
      </xdr:nvSpPr>
      <xdr:spPr>
        <a:xfrm>
          <a:off x="627530" y="439920529"/>
          <a:ext cx="10376646" cy="53676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Nothing said about the deal, no questions about the deal…</a:t>
          </a: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General remarks: </a:t>
          </a:r>
          <a:r>
            <a:rPr lang="en-GB" sz="1100">
              <a:solidFill>
                <a:schemeClr val="dk1"/>
              </a:solidFill>
              <a:effectLst/>
              <a:latin typeface="+mn-lt"/>
              <a:ea typeface="+mn-ea"/>
              <a:cs typeface="+mn-cs"/>
            </a:rPr>
            <a:t>Highest net adds and RGUs in 2 year. This quarter, entered in 7 new territories. Will sustain growth for coming quarters. Since announcement end of 3Q 2021, they activated &gt;16k new kms, 3.2m new HP, 440k new subs, inc. big portion in new territories. Balance sheet healthy, all content from OTT can be integrated, MVNO: happy with the clean-up, focused on post-paid, one of the highest ARPU of the market (MVNO and MNO). Dividend payment of 2.5bn pesos approved by AGM for divi, this is 20% of consolidated EBITDA for 2022, Payment in instalments on May 25</a:t>
          </a:r>
          <a:r>
            <a:rPr lang="en-GB" sz="1100" baseline="30000">
              <a:solidFill>
                <a:schemeClr val="dk1"/>
              </a:solidFill>
              <a:effectLst/>
              <a:latin typeface="+mn-lt"/>
              <a:ea typeface="+mn-ea"/>
              <a:cs typeface="+mn-cs"/>
            </a:rPr>
            <a:t>th</a:t>
          </a:r>
          <a:r>
            <a:rPr lang="en-GB" sz="1100">
              <a:solidFill>
                <a:schemeClr val="dk1"/>
              </a:solidFill>
              <a:effectLst/>
              <a:latin typeface="+mn-lt"/>
              <a:ea typeface="+mn-ea"/>
              <a:cs typeface="+mn-cs"/>
            </a:rPr>
            <a:t>. Increase of NPS thanks to speed recognition. Existing footprint is also growing as they continue their aggressive sales strategy. 55% of customers have speed of 50Mbps, rest below they need to pay more if they want more but it seems their needs is satisfied currently. </a:t>
          </a: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New territories:</a:t>
          </a:r>
          <a:r>
            <a:rPr lang="en-GB" sz="1100">
              <a:solidFill>
                <a:schemeClr val="dk1"/>
              </a:solidFill>
              <a:effectLst/>
              <a:latin typeface="+mn-lt"/>
              <a:ea typeface="+mn-ea"/>
              <a:cs typeface="+mn-cs"/>
            </a:rPr>
            <a:t> Very pleased with the performance there. Not trying to start a price war but strategy is to price lower than peers (not too much lower). Aggressive campaigns, efficient sales etc. Also trying to push bundles, not focused on speed only but on bundles. They targeted 20% penetration when they elaborated the plan, after 3 quarters average is 13% penetration and some neighbourhoods already at 20%.  Competition is not reacting with prices but rather trying to retain customers.</a:t>
          </a: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Expansion, EBITDA etc:</a:t>
          </a:r>
          <a:r>
            <a:rPr lang="en-GB" sz="1100">
              <a:solidFill>
                <a:schemeClr val="dk1"/>
              </a:solidFill>
              <a:effectLst/>
              <a:latin typeface="+mn-lt"/>
              <a:ea typeface="+mn-ea"/>
              <a:cs typeface="+mn-cs"/>
            </a:rPr>
            <a:t> Negative EBITDA in the new territories, will take some time to turn positive, not this year but probably H2 next year. H2 2024/2025 will be a turning point where we will see EBITDA accelerate and strong FCF generation. Increasing km for the next 7-8 quarters, once the subscriber base stabilises the margins will stabilise. Mentioned will build 2.5m homes this year.</a:t>
          </a: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Capex</a:t>
          </a:r>
          <a:r>
            <a:rPr lang="en-GB" sz="1100">
              <a:solidFill>
                <a:schemeClr val="dk1"/>
              </a:solidFill>
              <a:effectLst/>
              <a:latin typeface="+mn-lt"/>
              <a:ea typeface="+mn-ea"/>
              <a:cs typeface="+mn-cs"/>
            </a:rPr>
            <a:t>: Still guiding for 40% for the full year. Beginning of the year is usually slower. Capex to sales not very high this quarter as they placed order ahead in time, lots of km built are activated this quarter. This trend will continue as still have inventory. Sounds like capex more skewed towards H2. Capex materialises only when they activate the km. In the future, (ex-growth?) capex maybe around 20%, maintenance capex not below 15%.</a:t>
          </a: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Pricing</a:t>
          </a:r>
          <a:r>
            <a:rPr lang="en-GB" sz="1100">
              <a:solidFill>
                <a:schemeClr val="dk1"/>
              </a:solidFill>
              <a:effectLst/>
              <a:latin typeface="+mn-lt"/>
              <a:ea typeface="+mn-ea"/>
              <a:cs typeface="+mn-cs"/>
            </a:rPr>
            <a:t>: Some price increases next month but not for the all base. Some will have 30 pesos increase, some 40 pesos, will depend on the market. Contribution will not be like what you are expecting (not like 3 points on the revenue?). As long as gross adds are good it will be ARPU dilutive. Discounts for 9months for new subs. Will continue with strategy to price cheaper than competition.</a:t>
          </a: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Balance sheet:</a:t>
          </a:r>
          <a:r>
            <a:rPr lang="en-GB" sz="1100">
              <a:solidFill>
                <a:schemeClr val="dk1"/>
              </a:solidFill>
              <a:effectLst/>
              <a:latin typeface="+mn-lt"/>
              <a:ea typeface="+mn-ea"/>
              <a:cs typeface="+mn-cs"/>
            </a:rPr>
            <a:t> Leverage to continue to go up, peak in 2024, in their plans it should go up to 1.5x, for sure not above 2x. And then improve. Bond program next year, this is for a bank loan maturing next year. FX helping?</a:t>
          </a: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Corporate margins:</a:t>
          </a:r>
          <a:r>
            <a:rPr lang="en-GB" sz="1100">
              <a:solidFill>
                <a:schemeClr val="dk1"/>
              </a:solidFill>
              <a:effectLst/>
              <a:latin typeface="+mn-lt"/>
              <a:ea typeface="+mn-ea"/>
              <a:cs typeface="+mn-cs"/>
            </a:rPr>
            <a:t> Mix is more on equipment where you can charge too much margins on these.</a:t>
          </a:r>
        </a:p>
        <a:p>
          <a:endParaRPr lang="en-GB" sz="1100"/>
        </a:p>
      </xdr:txBody>
    </xdr:sp>
    <xdr:clientData/>
  </xdr:twoCellAnchor>
  <xdr:twoCellAnchor>
    <xdr:from>
      <xdr:col>1</xdr:col>
      <xdr:colOff>179293</xdr:colOff>
      <xdr:row>2458</xdr:row>
      <xdr:rowOff>100852</xdr:rowOff>
    </xdr:from>
    <xdr:to>
      <xdr:col>12</xdr:col>
      <xdr:colOff>347382</xdr:colOff>
      <xdr:row>2510</xdr:row>
      <xdr:rowOff>100853</xdr:rowOff>
    </xdr:to>
    <xdr:sp macro="" textlink="">
      <xdr:nvSpPr>
        <xdr:cNvPr id="5" name="TextBox 4">
          <a:extLst>
            <a:ext uri="{FF2B5EF4-FFF2-40B4-BE49-F238E27FC236}">
              <a16:creationId xmlns:a16="http://schemas.microsoft.com/office/drawing/2014/main" id="{E92ADE67-7ACF-F17D-3B12-D92CFFE773AB}"/>
            </a:ext>
          </a:extLst>
        </xdr:cNvPr>
        <xdr:cNvSpPr txBox="1"/>
      </xdr:nvSpPr>
      <xdr:spPr>
        <a:xfrm>
          <a:off x="784411" y="468349852"/>
          <a:ext cx="8057030" cy="9906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400">
              <a:solidFill>
                <a:schemeClr val="dk1"/>
              </a:solidFill>
              <a:effectLst/>
              <a:latin typeface="+mn-lt"/>
              <a:ea typeface="+mn-ea"/>
              <a:cs typeface="+mn-cs"/>
            </a:rPr>
            <a:t>Q3 23 call</a:t>
          </a:r>
        </a:p>
        <a:p>
          <a:pPr lvl="0"/>
          <a:endParaRPr lang="en-US" sz="1400">
            <a:solidFill>
              <a:schemeClr val="dk1"/>
            </a:solidFill>
            <a:effectLst/>
            <a:latin typeface="+mn-lt"/>
            <a:ea typeface="+mn-ea"/>
            <a:cs typeface="+mn-cs"/>
          </a:endParaRPr>
        </a:p>
        <a:p>
          <a:pPr lvl="0"/>
          <a:r>
            <a:rPr lang="en-US" sz="1400">
              <a:solidFill>
                <a:schemeClr val="dk1"/>
              </a:solidFill>
              <a:effectLst/>
              <a:latin typeface="+mn-lt"/>
              <a:ea typeface="+mn-ea"/>
              <a:cs typeface="+mn-cs"/>
            </a:rPr>
            <a:t>Confident in LT success, potential of new territories. Promising outlook for 2024.</a:t>
          </a:r>
          <a:endParaRPr lang="en-GB" sz="1400">
            <a:solidFill>
              <a:schemeClr val="dk1"/>
            </a:solidFill>
            <a:effectLst/>
            <a:latin typeface="+mn-lt"/>
            <a:ea typeface="+mn-ea"/>
            <a:cs typeface="+mn-cs"/>
          </a:endParaRPr>
        </a:p>
        <a:p>
          <a:pPr lvl="0"/>
          <a:r>
            <a:rPr lang="en-US" sz="1400">
              <a:solidFill>
                <a:schemeClr val="dk1"/>
              </a:solidFill>
              <a:effectLst/>
              <a:latin typeface="+mn-lt"/>
              <a:ea typeface="+mn-ea"/>
              <a:cs typeface="+mn-cs"/>
            </a:rPr>
            <a:t>We have not increased number of gross adds, we put more effort in quality of subs, balance needs to be right, so we are doing less promotions.</a:t>
          </a:r>
          <a:endParaRPr lang="en-GB" sz="1400">
            <a:solidFill>
              <a:schemeClr val="dk1"/>
            </a:solidFill>
            <a:effectLst/>
            <a:latin typeface="+mn-lt"/>
            <a:ea typeface="+mn-ea"/>
            <a:cs typeface="+mn-cs"/>
          </a:endParaRPr>
        </a:p>
        <a:p>
          <a:pPr lvl="0"/>
          <a:r>
            <a:rPr lang="en-US" sz="1400">
              <a:solidFill>
                <a:schemeClr val="dk1"/>
              </a:solidFill>
              <a:effectLst/>
              <a:latin typeface="+mn-lt"/>
              <a:ea typeface="+mn-ea"/>
              <a:cs typeface="+mn-cs"/>
            </a:rPr>
            <a:t>We expect to cover another 750k HP in Q4, it is remarkable for the amount of capex we have been investing; </a:t>
          </a:r>
          <a:r>
            <a:rPr lang="en-US" sz="1400" b="1">
              <a:solidFill>
                <a:schemeClr val="dk1"/>
              </a:solidFill>
              <a:effectLst/>
              <a:latin typeface="+mn-lt"/>
              <a:ea typeface="+mn-ea"/>
              <a:cs typeface="+mn-cs"/>
            </a:rPr>
            <a:t>Q4 capex</a:t>
          </a:r>
          <a:r>
            <a:rPr lang="en-US" sz="1400">
              <a:solidFill>
                <a:schemeClr val="dk1"/>
              </a:solidFill>
              <a:effectLst/>
              <a:latin typeface="+mn-lt"/>
              <a:ea typeface="+mn-ea"/>
              <a:cs typeface="+mn-cs"/>
            </a:rPr>
            <a:t> will be lower than in Q3 as we already have CPE, and we accelerated the speed of the km we were building especially in Q3.</a:t>
          </a:r>
          <a:endParaRPr lang="en-GB" sz="1400">
            <a:solidFill>
              <a:schemeClr val="dk1"/>
            </a:solidFill>
            <a:effectLst/>
            <a:latin typeface="+mn-lt"/>
            <a:ea typeface="+mn-ea"/>
            <a:cs typeface="+mn-cs"/>
          </a:endParaRPr>
        </a:p>
        <a:p>
          <a:pPr lvl="0"/>
          <a:r>
            <a:rPr lang="en-US" sz="1400">
              <a:solidFill>
                <a:schemeClr val="dk1"/>
              </a:solidFill>
              <a:effectLst/>
              <a:latin typeface="+mn-lt"/>
              <a:ea typeface="+mn-ea"/>
              <a:cs typeface="+mn-cs"/>
            </a:rPr>
            <a:t>Competition: Strong, but growing subs in both organic and non-organic territories. We have a state-of-the-art network. Totalplay not increasing HP. </a:t>
          </a:r>
          <a:endParaRPr lang="en-GB" sz="1400">
            <a:solidFill>
              <a:schemeClr val="dk1"/>
            </a:solidFill>
            <a:effectLst/>
            <a:latin typeface="+mn-lt"/>
            <a:ea typeface="+mn-ea"/>
            <a:cs typeface="+mn-cs"/>
          </a:endParaRPr>
        </a:p>
        <a:p>
          <a:pPr lvl="0"/>
          <a:r>
            <a:rPr lang="en-US" sz="1400">
              <a:solidFill>
                <a:schemeClr val="dk1"/>
              </a:solidFill>
              <a:effectLst/>
              <a:latin typeface="+mn-lt"/>
              <a:ea typeface="+mn-ea"/>
              <a:cs typeface="+mn-cs"/>
            </a:rPr>
            <a:t>Capex intensity will be </a:t>
          </a:r>
          <a:r>
            <a:rPr lang="en-US" sz="1400" b="1">
              <a:solidFill>
                <a:schemeClr val="dk1"/>
              </a:solidFill>
              <a:effectLst/>
              <a:latin typeface="+mn-lt"/>
              <a:ea typeface="+mn-ea"/>
              <a:cs typeface="+mn-cs"/>
            </a:rPr>
            <a:t>lower in 2024 vs. 2023 but wait 2027/28 to be at around 20% or below of sales</a:t>
          </a:r>
          <a:r>
            <a:rPr lang="en-US" sz="1400">
              <a:solidFill>
                <a:schemeClr val="dk1"/>
              </a:solidFill>
              <a:effectLst/>
              <a:latin typeface="+mn-lt"/>
              <a:ea typeface="+mn-ea"/>
              <a:cs typeface="+mn-cs"/>
            </a:rPr>
            <a:t>.</a:t>
          </a:r>
          <a:endParaRPr lang="en-GB" sz="1400">
            <a:solidFill>
              <a:schemeClr val="dk1"/>
            </a:solidFill>
            <a:effectLst/>
            <a:latin typeface="+mn-lt"/>
            <a:ea typeface="+mn-ea"/>
            <a:cs typeface="+mn-cs"/>
          </a:endParaRPr>
        </a:p>
        <a:p>
          <a:pPr lvl="0"/>
          <a:r>
            <a:rPr lang="en-US" sz="1400">
              <a:solidFill>
                <a:schemeClr val="dk1"/>
              </a:solidFill>
              <a:effectLst/>
              <a:latin typeface="+mn-lt"/>
              <a:ea typeface="+mn-ea"/>
              <a:cs typeface="+mn-cs"/>
            </a:rPr>
            <a:t>We will have 6m HP that are fibre. Full fibre network in 2028, now it is at 62%. 4m HP in existing territories that are fibre. Yes, we are taking care of the legacy customers, at some point all fibre. 15% penetration on average in new territories (some at 20%).</a:t>
          </a:r>
          <a:endParaRPr lang="en-GB" sz="1400">
            <a:solidFill>
              <a:schemeClr val="dk1"/>
            </a:solidFill>
            <a:effectLst/>
            <a:latin typeface="+mn-lt"/>
            <a:ea typeface="+mn-ea"/>
            <a:cs typeface="+mn-cs"/>
          </a:endParaRPr>
        </a:p>
        <a:p>
          <a:pPr lvl="0"/>
          <a:r>
            <a:rPr lang="en-US" sz="1400">
              <a:solidFill>
                <a:schemeClr val="dk1"/>
              </a:solidFill>
              <a:effectLst/>
              <a:latin typeface="+mn-lt"/>
              <a:ea typeface="+mn-ea"/>
              <a:cs typeface="+mn-cs"/>
            </a:rPr>
            <a:t>Don’t know if the reduction in working hours will pass or not, it will impact all the companies, will have an impact on labor costs; if passes expect an increase of labor costs (7-10%... closer to 10% bcs of inflation etc).</a:t>
          </a:r>
          <a:endParaRPr lang="en-GB" sz="1400">
            <a:solidFill>
              <a:schemeClr val="dk1"/>
            </a:solidFill>
            <a:effectLst/>
            <a:latin typeface="+mn-lt"/>
            <a:ea typeface="+mn-ea"/>
            <a:cs typeface="+mn-cs"/>
          </a:endParaRPr>
        </a:p>
        <a:p>
          <a:pPr lvl="0"/>
          <a:r>
            <a:rPr lang="en-US" sz="1400">
              <a:solidFill>
                <a:schemeClr val="dk1"/>
              </a:solidFill>
              <a:effectLst/>
              <a:latin typeface="+mn-lt"/>
              <a:ea typeface="+mn-ea"/>
              <a:cs typeface="+mn-cs"/>
            </a:rPr>
            <a:t>Migrating all customers to FttH is a long term project (2028). Large amount of STB is GPON ready. As soon as finish migration, they dismantle the HFC network as ftth is the cheapest to maintain. MEGA claims its network is the best. Our KPIs and NPS show customers are happy with our services. In </a:t>
          </a:r>
          <a:r>
            <a:rPr lang="en-US" sz="1400" b="1">
              <a:solidFill>
                <a:schemeClr val="dk1"/>
              </a:solidFill>
              <a:effectLst/>
              <a:latin typeface="+mn-lt"/>
              <a:ea typeface="+mn-ea"/>
              <a:cs typeface="+mn-cs"/>
            </a:rPr>
            <a:t>2024 we will have better margins and lower capex intensity</a:t>
          </a:r>
          <a:r>
            <a:rPr lang="en-US" sz="1400">
              <a:solidFill>
                <a:schemeClr val="dk1"/>
              </a:solidFill>
              <a:effectLst/>
              <a:latin typeface="+mn-lt"/>
              <a:ea typeface="+mn-ea"/>
              <a:cs typeface="+mn-cs"/>
            </a:rPr>
            <a:t>.</a:t>
          </a:r>
          <a:endParaRPr lang="en-GB" sz="1400">
            <a:solidFill>
              <a:schemeClr val="dk1"/>
            </a:solidFill>
            <a:effectLst/>
            <a:latin typeface="+mn-lt"/>
            <a:ea typeface="+mn-ea"/>
            <a:cs typeface="+mn-cs"/>
          </a:endParaRPr>
        </a:p>
        <a:p>
          <a:pPr lvl="0"/>
          <a:r>
            <a:rPr lang="en-US" sz="1400">
              <a:solidFill>
                <a:schemeClr val="dk1"/>
              </a:solidFill>
              <a:effectLst/>
              <a:latin typeface="+mn-lt"/>
              <a:ea typeface="+mn-ea"/>
              <a:cs typeface="+mn-cs"/>
            </a:rPr>
            <a:t>Wifi 6 modem: we also install it to subs and should look into Wifi 7 soon.</a:t>
          </a:r>
          <a:endParaRPr lang="en-GB" sz="1400">
            <a:solidFill>
              <a:schemeClr val="dk1"/>
            </a:solidFill>
            <a:effectLst/>
            <a:latin typeface="+mn-lt"/>
            <a:ea typeface="+mn-ea"/>
            <a:cs typeface="+mn-cs"/>
          </a:endParaRPr>
        </a:p>
        <a:p>
          <a:pPr lvl="0"/>
          <a:r>
            <a:rPr lang="en-US" sz="1400">
              <a:solidFill>
                <a:schemeClr val="dk1"/>
              </a:solidFill>
              <a:effectLst/>
              <a:latin typeface="+mn-lt"/>
              <a:ea typeface="+mn-ea"/>
              <a:cs typeface="+mn-cs"/>
            </a:rPr>
            <a:t>Cash generation: Flow went to inventory as needed material to grow the network, has been growing until this quarter this is why some boost this Q, ok levels for Q4 but will need to buy again next year. Also negotiating with vendor currently (positive). </a:t>
          </a:r>
          <a:endParaRPr lang="en-GB" sz="1400">
            <a:solidFill>
              <a:schemeClr val="dk1"/>
            </a:solidFill>
            <a:effectLst/>
            <a:latin typeface="+mn-lt"/>
            <a:ea typeface="+mn-ea"/>
            <a:cs typeface="+mn-cs"/>
          </a:endParaRPr>
        </a:p>
        <a:p>
          <a:pPr lvl="0"/>
          <a:r>
            <a:rPr lang="en-US" sz="1400">
              <a:solidFill>
                <a:schemeClr val="dk1"/>
              </a:solidFill>
              <a:effectLst/>
              <a:latin typeface="+mn-lt"/>
              <a:ea typeface="+mn-ea"/>
              <a:cs typeface="+mn-cs"/>
            </a:rPr>
            <a:t>Retention rate on new clients when promo expires? Higher than organic which allows continued grow. Increase in churn is seasonal and coming from rate increase. </a:t>
          </a:r>
          <a:r>
            <a:rPr lang="en-US" sz="1400" b="1">
              <a:solidFill>
                <a:schemeClr val="dk1"/>
              </a:solidFill>
              <a:effectLst/>
              <a:latin typeface="+mn-lt"/>
              <a:ea typeface="+mn-ea"/>
              <a:cs typeface="+mn-cs"/>
            </a:rPr>
            <a:t>After 2025 CF will cover all needs, in 2024 still will need some leverage</a:t>
          </a:r>
          <a:r>
            <a:rPr lang="en-US" sz="1400">
              <a:solidFill>
                <a:schemeClr val="dk1"/>
              </a:solidFill>
              <a:effectLst/>
              <a:latin typeface="+mn-lt"/>
              <a:ea typeface="+mn-ea"/>
              <a:cs typeface="+mn-cs"/>
            </a:rPr>
            <a:t>. Positive FCF in 2025, will start to be positive in H2 2024.</a:t>
          </a:r>
          <a:endParaRPr lang="en-GB" sz="1400">
            <a:solidFill>
              <a:schemeClr val="dk1"/>
            </a:solidFill>
            <a:effectLst/>
            <a:latin typeface="+mn-lt"/>
            <a:ea typeface="+mn-ea"/>
            <a:cs typeface="+mn-cs"/>
          </a:endParaRPr>
        </a:p>
        <a:p>
          <a:pPr lvl="0"/>
          <a:r>
            <a:rPr lang="en-US" sz="1400">
              <a:solidFill>
                <a:schemeClr val="dk1"/>
              </a:solidFill>
              <a:effectLst/>
              <a:latin typeface="+mn-lt"/>
              <a:ea typeface="+mn-ea"/>
              <a:cs typeface="+mn-cs"/>
            </a:rPr>
            <a:t>ARPU increasing in both orga and non orga markets. Group ARPU stable as have a lot of new subs on promos. </a:t>
          </a:r>
          <a:endParaRPr lang="en-GB" sz="1400">
            <a:solidFill>
              <a:schemeClr val="dk1"/>
            </a:solidFill>
            <a:effectLst/>
            <a:latin typeface="+mn-lt"/>
            <a:ea typeface="+mn-ea"/>
            <a:cs typeface="+mn-cs"/>
          </a:endParaRPr>
        </a:p>
        <a:p>
          <a:pPr lvl="0"/>
          <a:r>
            <a:rPr lang="en-US" sz="1400">
              <a:solidFill>
                <a:schemeClr val="dk1"/>
              </a:solidFill>
              <a:effectLst/>
              <a:latin typeface="+mn-lt"/>
              <a:ea typeface="+mn-ea"/>
              <a:cs typeface="+mn-cs"/>
            </a:rPr>
            <a:t>Higher D&amp;A because of higher investments in the past</a:t>
          </a:r>
          <a:endParaRPr lang="en-GB" sz="1400">
            <a:solidFill>
              <a:schemeClr val="dk1"/>
            </a:solidFill>
            <a:effectLst/>
            <a:latin typeface="+mn-lt"/>
            <a:ea typeface="+mn-ea"/>
            <a:cs typeface="+mn-cs"/>
          </a:endParaRPr>
        </a:p>
        <a:p>
          <a:pPr lvl="0"/>
          <a:r>
            <a:rPr lang="en-US" sz="1400">
              <a:solidFill>
                <a:schemeClr val="dk1"/>
              </a:solidFill>
              <a:effectLst/>
              <a:latin typeface="+mn-lt"/>
              <a:ea typeface="+mn-ea"/>
              <a:cs typeface="+mn-cs"/>
            </a:rPr>
            <a:t>Debt: </a:t>
          </a:r>
          <a:r>
            <a:rPr lang="en-US" sz="1400" b="1">
              <a:solidFill>
                <a:schemeClr val="dk1"/>
              </a:solidFill>
              <a:effectLst/>
              <a:latin typeface="+mn-lt"/>
              <a:ea typeface="+mn-ea"/>
              <a:cs typeface="+mn-cs"/>
            </a:rPr>
            <a:t>1.5/1.7 next </a:t>
          </a:r>
          <a:r>
            <a:rPr lang="en-US" sz="1400">
              <a:solidFill>
                <a:schemeClr val="dk1"/>
              </a:solidFill>
              <a:effectLst/>
              <a:latin typeface="+mn-lt"/>
              <a:ea typeface="+mn-ea"/>
              <a:cs typeface="+mn-cs"/>
            </a:rPr>
            <a:t>year which will be the highest point</a:t>
          </a:r>
          <a:endParaRPr lang="en-GB" sz="1400">
            <a:solidFill>
              <a:schemeClr val="dk1"/>
            </a:solidFill>
            <a:effectLst/>
            <a:latin typeface="+mn-lt"/>
            <a:ea typeface="+mn-ea"/>
            <a:cs typeface="+mn-cs"/>
          </a:endParaRPr>
        </a:p>
        <a:p>
          <a:pPr lvl="0"/>
          <a:r>
            <a:rPr lang="en-US" sz="1400">
              <a:solidFill>
                <a:schemeClr val="dk1"/>
              </a:solidFill>
              <a:effectLst/>
              <a:latin typeface="+mn-lt"/>
              <a:ea typeface="+mn-ea"/>
              <a:cs typeface="+mn-cs"/>
            </a:rPr>
            <a:t>Stock price at this level is absurd, similar to IPO time whereas the company grew a lot, also will keep performing so very undervalued currently.</a:t>
          </a:r>
          <a:endParaRPr lang="en-GB" sz="1400">
            <a:solidFill>
              <a:schemeClr val="dk1"/>
            </a:solidFill>
            <a:effectLst/>
            <a:latin typeface="+mn-lt"/>
            <a:ea typeface="+mn-ea"/>
            <a:cs typeface="+mn-cs"/>
          </a:endParaRPr>
        </a:p>
        <a:p>
          <a:endParaRPr lang="en-GB" sz="1100"/>
        </a:p>
      </xdr:txBody>
    </xdr:sp>
    <xdr:clientData/>
  </xdr:twoCellAnchor>
  <xdr:twoCellAnchor>
    <xdr:from>
      <xdr:col>1</xdr:col>
      <xdr:colOff>212912</xdr:colOff>
      <xdr:row>2615</xdr:row>
      <xdr:rowOff>22412</xdr:rowOff>
    </xdr:from>
    <xdr:to>
      <xdr:col>21</xdr:col>
      <xdr:colOff>336177</xdr:colOff>
      <xdr:row>2644</xdr:row>
      <xdr:rowOff>156882</xdr:rowOff>
    </xdr:to>
    <xdr:sp macro="" textlink="">
      <xdr:nvSpPr>
        <xdr:cNvPr id="6" name="TextBox 5">
          <a:extLst>
            <a:ext uri="{FF2B5EF4-FFF2-40B4-BE49-F238E27FC236}">
              <a16:creationId xmlns:a16="http://schemas.microsoft.com/office/drawing/2014/main" id="{47A89E3C-8CCD-F9E7-B9BF-8A65BFA14E4A}"/>
            </a:ext>
          </a:extLst>
        </xdr:cNvPr>
        <xdr:cNvSpPr txBox="1"/>
      </xdr:nvSpPr>
      <xdr:spPr>
        <a:xfrm>
          <a:off x="818030" y="498179912"/>
          <a:ext cx="13458265" cy="56589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MEGA Q2 24 call – 2024 07 26</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Intro</a:t>
          </a:r>
          <a:r>
            <a:rPr lang="en-US" sz="1100">
              <a:solidFill>
                <a:schemeClr val="dk1"/>
              </a:solidFill>
              <a:effectLst/>
              <a:latin typeface="+mn-lt"/>
              <a:ea typeface="+mn-ea"/>
              <a:cs typeface="+mn-cs"/>
            </a:rPr>
            <a:t>: On way to become national leader. Focused on penetration. Anticipate investment reduction. No other project for coming years, so maximization of CF is focus.</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Capex</a:t>
          </a:r>
          <a:r>
            <a:rPr lang="en-US" sz="1100">
              <a:solidFill>
                <a:schemeClr val="dk1"/>
              </a:solidFill>
              <a:effectLst/>
              <a:latin typeface="+mn-lt"/>
              <a:ea typeface="+mn-ea"/>
              <a:cs typeface="+mn-cs"/>
            </a:rPr>
            <a:t>: 32-34% of sales for the year i.e. ~Ps11bn.</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Margin</a:t>
          </a:r>
          <a:r>
            <a:rPr lang="en-US" sz="1100">
              <a:solidFill>
                <a:schemeClr val="dk1"/>
              </a:solidFill>
              <a:effectLst/>
              <a:latin typeface="+mn-lt"/>
              <a:ea typeface="+mn-ea"/>
              <a:cs typeface="+mn-cs"/>
            </a:rPr>
            <a:t>: Mass mkt: some additional cost related to maintenance, expect better in coming quarters but still a bit higher than Q1 (costs), bcs accelerated subs migration (CPE etc), some pressure on expenses bcs expansion too. End year expect 45% margin for consolidated business.</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Competition</a:t>
          </a:r>
          <a:r>
            <a:rPr lang="en-US" sz="1100">
              <a:solidFill>
                <a:schemeClr val="dk1"/>
              </a:solidFill>
              <a:effectLst/>
              <a:latin typeface="+mn-lt"/>
              <a:ea typeface="+mn-ea"/>
              <a:cs typeface="+mn-cs"/>
            </a:rPr>
            <a:t>: Everybody raising price (?). In organic segment of MEGA they managed to increase the base. Most net adds from expansion territories though. We maintain quality. Don’t see a price war. Everybody similar pricing. ARPU pressure is a mkt condition, have largest penetration of video and its normal when px ups some ppl disconnect, expect carry on same level, going fwd small pressure on ARPU as more 2P.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Growth and margins for Enterprise</a:t>
          </a:r>
          <a:r>
            <a:rPr lang="en-US" sz="1100">
              <a:solidFill>
                <a:schemeClr val="dk1"/>
              </a:solidFill>
              <a:effectLst/>
              <a:latin typeface="+mn-lt"/>
              <a:ea typeface="+mn-ea"/>
              <a:cs typeface="+mn-cs"/>
            </a:rPr>
            <a:t>: LT corporate segment Metrocarrier remain ~40-45%, MCM same 40-45%, Ho1a 16-20%, PCTV more a cost center than a business unit, it brings cost reduction rather than margins. Margins was normalized from Q2 (extraordinary Q1 in corporate).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Churn</a:t>
          </a:r>
          <a:r>
            <a:rPr lang="en-US" sz="1100">
              <a:solidFill>
                <a:schemeClr val="dk1"/>
              </a:solidFill>
              <a:effectLst/>
              <a:latin typeface="+mn-lt"/>
              <a:ea typeface="+mn-ea"/>
              <a:cs typeface="+mn-cs"/>
            </a:rPr>
            <a:t>: Mostly from organic segment bcs of large pen that we have. Also increasing in expansion part from the customers that are &gt;6month old but most disconnect is on organic segment. Churn in Apr (from Mar px increase), good May and June. Trends getting better.</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Shareholder remuneration, BB given stock price</a:t>
          </a:r>
          <a:r>
            <a:rPr lang="en-US" sz="1100">
              <a:solidFill>
                <a:schemeClr val="dk1"/>
              </a:solidFill>
              <a:effectLst/>
              <a:latin typeface="+mn-lt"/>
              <a:ea typeface="+mn-ea"/>
              <a:cs typeface="+mn-cs"/>
            </a:rPr>
            <a:t>: Now strategy 1) Gaining/maintaining best of our market (?), 2) expansion to new territory, 3) Get a healthier company (financially), not thinking about share BB currently.</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Exposure opex to $:</a:t>
          </a:r>
          <a:r>
            <a:rPr lang="en-US" sz="1100">
              <a:solidFill>
                <a:schemeClr val="dk1"/>
              </a:solidFill>
              <a:effectLst/>
              <a:latin typeface="+mn-lt"/>
              <a:ea typeface="+mn-ea"/>
              <a:cs typeface="+mn-cs"/>
            </a:rPr>
            <a:t> On programming cost… biggest impact on capex. 15% of opex associated to $. In capex, all CPE basically in $.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TV revenue, profits</a:t>
          </a:r>
          <a:r>
            <a:rPr lang="en-US" sz="1100">
              <a:solidFill>
                <a:schemeClr val="dk1"/>
              </a:solidFill>
              <a:effectLst/>
              <a:latin typeface="+mn-lt"/>
              <a:ea typeface="+mn-ea"/>
              <a:cs typeface="+mn-cs"/>
            </a:rPr>
            <a:t>: Believe large amount of market watching value, sport, news, series… of course aware of the trends, that’s why streaming strategy as well in a single STB under Xview umbrella. So far profitable, want to carry this BU in the future. Don’t know in 10y but ntoday it is profitable.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Market</a:t>
          </a:r>
          <a:r>
            <a:rPr lang="en-US" sz="1100">
              <a:solidFill>
                <a:schemeClr val="dk1"/>
              </a:solidFill>
              <a:effectLst/>
              <a:latin typeface="+mn-lt"/>
              <a:ea typeface="+mn-ea"/>
              <a:cs typeface="+mn-cs"/>
            </a:rPr>
            <a:t>: Market tough, 4 companies but still believe rational of our investment/duplicate size of the infrastructure, same size of big players, better commercial offering. Confident growth in subs will continue.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Capex/$</a:t>
          </a:r>
          <a:r>
            <a:rPr lang="en-US" sz="1100">
              <a:solidFill>
                <a:schemeClr val="dk1"/>
              </a:solidFill>
              <a:effectLst/>
              <a:latin typeface="+mn-lt"/>
              <a:ea typeface="+mn-ea"/>
              <a:cs typeface="+mn-cs"/>
            </a:rPr>
            <a:t>: Infra is finished, now working towards vendors and suppliers, more efficient capex per CPE today, 2-3 years ago microchip problems put pressure on CPE costs, now better. Network ok to manage GPON, XGPON and others, Wifi 6…In future also decrease in interest rate.</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30% tariff imposition on China fibre imports impact on capex</a:t>
          </a:r>
          <a:r>
            <a:rPr lang="en-US" sz="1100">
              <a:solidFill>
                <a:schemeClr val="dk1"/>
              </a:solidFill>
              <a:effectLst/>
              <a:latin typeface="+mn-lt"/>
              <a:ea typeface="+mn-ea"/>
              <a:cs typeface="+mn-cs"/>
            </a:rPr>
            <a:t>: Impact on fibre itself but we are strong in negotiation with vendors so limited impact.</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FX/programming costs</a:t>
          </a:r>
          <a:r>
            <a:rPr lang="en-US" sz="1100">
              <a:solidFill>
                <a:schemeClr val="dk1"/>
              </a:solidFill>
              <a:effectLst/>
              <a:latin typeface="+mn-lt"/>
              <a:ea typeface="+mn-ea"/>
              <a:cs typeface="+mn-cs"/>
            </a:rPr>
            <a:t>: Have some caps in case depreciation too high, share difference above caps with the vendors.</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ARPU Bband</a:t>
          </a:r>
          <a:r>
            <a:rPr lang="en-US" sz="1100">
              <a:solidFill>
                <a:schemeClr val="dk1"/>
              </a:solidFill>
              <a:effectLst/>
              <a:latin typeface="+mn-lt"/>
              <a:ea typeface="+mn-ea"/>
              <a:cs typeface="+mn-cs"/>
            </a:rPr>
            <a:t>: Pressure bcs of 2P package, and benefit bcs of rate increase, this is why slight increase y/y. In the future, believe increase bcs end of promo and slowdown of growth of the company. Video will decrease in the future. One competitor has not increased yet. Believe Bband price should increase in a normal market bcs there is a maintenance costs. Try to match inflation but px rise depends on other factors too.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Capex decline post 2024</a:t>
          </a:r>
          <a:r>
            <a:rPr lang="en-US" sz="1100">
              <a:solidFill>
                <a:schemeClr val="dk1"/>
              </a:solidFill>
              <a:effectLst/>
              <a:latin typeface="+mn-lt"/>
              <a:ea typeface="+mn-ea"/>
              <a:cs typeface="+mn-cs"/>
            </a:rPr>
            <a:t>: 2025 we will be still migrating subs that will put some pressure on capex. Faster decline in 2026-2027 (as % of revenue).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Regulatory change in cable from new Gov</a:t>
          </a:r>
          <a:r>
            <a:rPr lang="en-US" sz="1100">
              <a:solidFill>
                <a:schemeClr val="dk1"/>
              </a:solidFill>
              <a:effectLst/>
              <a:latin typeface="+mn-lt"/>
              <a:ea typeface="+mn-ea"/>
              <a:cs typeface="+mn-cs"/>
            </a:rPr>
            <a:t>: Don’t think so. Think Gov will put more emphasis on connectivity. They are more technology oriented.     </a:t>
          </a:r>
          <a:endParaRPr lang="en-GB" sz="1100">
            <a:solidFill>
              <a:schemeClr val="dk1"/>
            </a:solidFill>
            <a:effectLst/>
            <a:latin typeface="+mn-lt"/>
            <a:ea typeface="+mn-ea"/>
            <a:cs typeface="+mn-cs"/>
          </a:endParaRPr>
        </a:p>
        <a:p>
          <a:endParaRPr lang="en-GB" sz="1100"/>
        </a:p>
      </xdr:txBody>
    </xdr:sp>
    <xdr:clientData/>
  </xdr:twoCellAnchor>
  <xdr:twoCellAnchor>
    <xdr:from>
      <xdr:col>1</xdr:col>
      <xdr:colOff>291353</xdr:colOff>
      <xdr:row>2647</xdr:row>
      <xdr:rowOff>179293</xdr:rowOff>
    </xdr:from>
    <xdr:to>
      <xdr:col>25</xdr:col>
      <xdr:colOff>504265</xdr:colOff>
      <xdr:row>2697</xdr:row>
      <xdr:rowOff>123265</xdr:rowOff>
    </xdr:to>
    <xdr:sp macro="" textlink="">
      <xdr:nvSpPr>
        <xdr:cNvPr id="7" name="TextBox 6">
          <a:extLst>
            <a:ext uri="{FF2B5EF4-FFF2-40B4-BE49-F238E27FC236}">
              <a16:creationId xmlns:a16="http://schemas.microsoft.com/office/drawing/2014/main" id="{7105EE59-A4EB-4DC1-A22D-BD61DDE54495}"/>
            </a:ext>
          </a:extLst>
        </xdr:cNvPr>
        <xdr:cNvSpPr txBox="1"/>
      </xdr:nvSpPr>
      <xdr:spPr>
        <a:xfrm>
          <a:off x="896471" y="504432793"/>
          <a:ext cx="15968382" cy="94689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Megacable Q3 24 call – 2024 10 25</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73% subs on fibre vs. 59% a year ago.</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Q&amp;A</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Gross adds</a:t>
          </a:r>
          <a:r>
            <a:rPr lang="en-US" sz="1100">
              <a:solidFill>
                <a:schemeClr val="dk1"/>
              </a:solidFill>
              <a:effectLst/>
              <a:latin typeface="+mn-lt"/>
              <a:ea typeface="+mn-ea"/>
              <a:cs typeface="+mn-cs"/>
            </a:rPr>
            <a:t>: campaigns back to school, some promo campaigns as well. Hope another q like that but happy with 150k level. Has some impact to margins. Orga margins 49%, not decreasing. Hola contribution also impact to margins.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Competition: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ARPU</a:t>
          </a:r>
          <a:r>
            <a:rPr lang="en-US" sz="1100">
              <a:solidFill>
                <a:schemeClr val="dk1"/>
              </a:solidFill>
              <a:effectLst/>
              <a:latin typeface="+mn-lt"/>
              <a:ea typeface="+mn-ea"/>
              <a:cs typeface="+mn-cs"/>
            </a:rPr>
            <a:t>: Affected by mix of 2P and 3P. ARPU should slightly increase in the near future. </a:t>
          </a:r>
          <a:endParaRPr lang="en-GB" sz="1100">
            <a:solidFill>
              <a:schemeClr val="dk1"/>
            </a:solidFill>
            <a:effectLst/>
            <a:latin typeface="+mn-lt"/>
            <a:ea typeface="+mn-ea"/>
            <a:cs typeface="+mn-cs"/>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Margins cable</a:t>
          </a:r>
          <a:r>
            <a:rPr lang="en-US" sz="1100">
              <a:solidFill>
                <a:schemeClr val="dk1"/>
              </a:solidFill>
              <a:effectLst/>
              <a:latin typeface="+mn-lt"/>
              <a:ea typeface="+mn-ea"/>
              <a:cs typeface="+mn-cs"/>
            </a:rPr>
            <a:t>: Orga territory remains at 49%. Affected this Q bcs of Hola. Corpo are lower margins. In expansion there are promo campaigns so lower margins.</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Price increase (more for more):</a:t>
          </a:r>
          <a:r>
            <a:rPr lang="en-US" sz="1100">
              <a:solidFill>
                <a:schemeClr val="dk1"/>
              </a:solidFill>
              <a:effectLst/>
              <a:latin typeface="+mn-lt"/>
              <a:ea typeface="+mn-ea"/>
              <a:cs typeface="+mn-cs"/>
            </a:rPr>
            <a:t> usually price ups in March. Careful this doesn’t impact too much customers. Can do symmetric speeds.</a:t>
          </a:r>
          <a:endParaRPr lang="en-GB" sz="1100">
            <a:solidFill>
              <a:schemeClr val="dk1"/>
            </a:solidFill>
            <a:effectLst/>
            <a:latin typeface="+mn-lt"/>
            <a:ea typeface="+mn-ea"/>
            <a:cs typeface="+mn-cs"/>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Rev composition</a:t>
          </a:r>
          <a:r>
            <a:rPr lang="en-US" sz="1100">
              <a:solidFill>
                <a:schemeClr val="dk1"/>
              </a:solidFill>
              <a:effectLst/>
              <a:latin typeface="+mn-lt"/>
              <a:ea typeface="+mn-ea"/>
              <a:cs typeface="+mn-cs"/>
            </a:rPr>
            <a:t>: BB will bring higher margins but compensated by cost in labour and $ costs. Keeping 49% in orga is a strong achievement. Will depend on corporate segment, if ctn to increase impact to margins…</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FCF gen</a:t>
          </a:r>
          <a:r>
            <a:rPr lang="en-US" sz="1100">
              <a:solidFill>
                <a:schemeClr val="dk1"/>
              </a:solidFill>
              <a:effectLst/>
              <a:latin typeface="+mn-lt"/>
              <a:ea typeface="+mn-ea"/>
              <a:cs typeface="+mn-cs"/>
            </a:rPr>
            <a:t>: it is sustainable, Q2 impact by inc of rates. Ctn to do profitable, comfortable with 150k adds per quarter. Payables? Established negotiations to have longer periods. No chg in the near future.</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Split net adds</a:t>
          </a:r>
          <a:r>
            <a:rPr lang="en-US" sz="1100">
              <a:solidFill>
                <a:schemeClr val="dk1"/>
              </a:solidFill>
              <a:effectLst/>
              <a:latin typeface="+mn-lt"/>
              <a:ea typeface="+mn-ea"/>
              <a:cs typeface="+mn-cs"/>
            </a:rPr>
            <a:t>: Majority from expansion territory (80%).</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ARPU legacy vs new territories</a:t>
          </a:r>
          <a:r>
            <a:rPr lang="en-US" sz="1100">
              <a:solidFill>
                <a:schemeClr val="dk1"/>
              </a:solidFill>
              <a:effectLst/>
              <a:latin typeface="+mn-lt"/>
              <a:ea typeface="+mn-ea"/>
              <a:cs typeface="+mn-cs"/>
            </a:rPr>
            <a:t>: Orga a bit higher what see in report. Expansion is blend from new and old subs still in promo period (below but close to 400, expansion above 420). It changes depending on gross adds.</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Capex Q4</a:t>
          </a:r>
          <a:r>
            <a:rPr lang="en-US" sz="1100">
              <a:solidFill>
                <a:schemeClr val="dk1"/>
              </a:solidFill>
              <a:effectLst/>
              <a:latin typeface="+mn-lt"/>
              <a:ea typeface="+mn-ea"/>
              <a:cs typeface="+mn-cs"/>
            </a:rPr>
            <a:t>: closer to 32% than 34% in 2024.</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Capex 2025</a:t>
          </a:r>
          <a:r>
            <a:rPr lang="en-US" sz="1100">
              <a:solidFill>
                <a:schemeClr val="dk1"/>
              </a:solidFill>
              <a:effectLst/>
              <a:latin typeface="+mn-lt"/>
              <a:ea typeface="+mn-ea"/>
              <a:cs typeface="+mn-cs"/>
            </a:rPr>
            <a:t>: close to 30% but below</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Constitutional reform, Gov building wireless infrastructure</a:t>
          </a:r>
          <a:r>
            <a:rPr lang="en-US" sz="1100">
              <a:solidFill>
                <a:schemeClr val="dk1"/>
              </a:solidFill>
              <a:effectLst/>
              <a:latin typeface="+mn-lt"/>
              <a:ea typeface="+mn-ea"/>
              <a:cs typeface="+mn-cs"/>
            </a:rPr>
            <a:t>: Think Gov should not be a service provider. Gov usually not a good competitor 38.30. They should focused on other things: education (BB), in US they subsidise families to buy BB, in Mexico there is an opportunity to do same, a lot of ppl cannot pay for decent BB. Not a good policy.  Altan has obligation to provide wireless to 92.3% of pop, they are far from it.</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Capital allocation, switch divi for BB</a:t>
          </a:r>
          <a:r>
            <a:rPr lang="en-US" sz="1100">
              <a:solidFill>
                <a:schemeClr val="dk1"/>
              </a:solidFill>
              <a:effectLst/>
              <a:latin typeface="+mn-lt"/>
              <a:ea typeface="+mn-ea"/>
              <a:cs typeface="+mn-cs"/>
            </a:rPr>
            <a:t>: FCF will increase. Not discussed with Board destiny of that cash yet. Could be BB, increase divi, don’t know yet. Four players is too many players, don’t know what will happened. What foresee is either share BB or increase in divi. Everything will come in the right time, need to consolidate the expansion project first.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AMX aside, is conso viable between rest: 4 players is too many. AMX the big one, 85% fibre well positioned, won’t be consolidator. Rest: There are complement in each network, two have a huge amount of fibre, one has not. What can agree is that it is a 3player and conso is still possible in the future.</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Pen rate in expansion after 12m</a:t>
          </a:r>
          <a:r>
            <a:rPr lang="en-US" sz="1100">
              <a:solidFill>
                <a:schemeClr val="dk1"/>
              </a:solidFill>
              <a:effectLst/>
              <a:latin typeface="+mn-lt"/>
              <a:ea typeface="+mn-ea"/>
              <a:cs typeface="+mn-cs"/>
            </a:rPr>
            <a:t>: Plan to get one fourth. 61 cities built. Some &gt;20%. Avg pen in expansion 13%. Mkt above 20%</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Non-cable EBITDA</a:t>
          </a:r>
          <a:r>
            <a:rPr lang="en-US" sz="1100">
              <a:solidFill>
                <a:schemeClr val="dk1"/>
              </a:solidFill>
              <a:effectLst/>
              <a:latin typeface="+mn-lt"/>
              <a:ea typeface="+mn-ea"/>
              <a:cs typeface="+mn-cs"/>
            </a:rPr>
            <a:t>: Some business low margins, Gov more into strat projects, believe in the future Gov continue to invest in cybersecurity etc.</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Inc in employees</a:t>
          </a:r>
          <a:r>
            <a:rPr lang="en-US" sz="1100">
              <a:solidFill>
                <a:schemeClr val="dk1"/>
              </a:solidFill>
              <a:effectLst/>
              <a:latin typeface="+mn-lt"/>
              <a:ea typeface="+mn-ea"/>
              <a:cs typeface="+mn-cs"/>
            </a:rPr>
            <a:t>: As gross adds high these employees will stay. Some projects not ctn in the future though.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Capex/leverage/ capital return</a:t>
          </a:r>
          <a:r>
            <a:rPr lang="en-US" sz="1100">
              <a:solidFill>
                <a:schemeClr val="dk1"/>
              </a:solidFill>
              <a:effectLst/>
              <a:latin typeface="+mn-lt"/>
              <a:ea typeface="+mn-ea"/>
              <a:cs typeface="+mn-cs"/>
            </a:rPr>
            <a:t>: Currently doubled size of the company, best capital allocation it was. New shareholder remuneration will see in 2025.</a:t>
          </a:r>
          <a:endParaRPr lang="en-GB" sz="1100">
            <a:solidFill>
              <a:schemeClr val="dk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dcfil02\CHQ_users\ghorn00\My%20Documents\VoIP%20Model\Cisco%20VoIP%20Model%20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Tell-Us%20Adm-Store-Kunder\&#216;konomi\Periodeavslutning\Res%20Kundedimensjon%202002P2%20EBIT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STAB-U2-50-002\DATA1\KOE\KATALOG\GENERELL\ARKIV-ID\TTSEFJ\AARSPAK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jsv002\user%20folder2\Planning\FLASH%20SUMMARY\050912%20Flash%20Daily%20Report\Back%20Up&#29992;\Back%20Up&#29992;\EMM%20%20&#23455;&#32318;Review.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Startup" Target="TELCO/MODELS/Emerging/TPSA_WI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cable\finance\TAX51A\COBB\EXCEL\CASHFLOW\2005\1st%20Qtr%202005\FAS%20115%20Tax%201Q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jsv002\user%20folder2\Accounting\&#20104;&#23455;&#38306;&#36899;\_FY06&#20104;&#23455;\_Reporting\_&#12381;&#12398;&#20182;BS&#12539;CF&#12539;Inventory\&#12381;&#12398;&#20182;&#12524;&#12509;&#12540;&#12488;&#12501;&#12449;&#12452;&#12523;-&#26368;&#26032;&#2925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cable\corp-dfs\Financial%20Planning\REPORTING\2016\1Q16\Below%20the%20Line\Support\Net_IncomeBridge.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cable\Documents%20and%20Settings\PurvisR\Local%20Settings\Temporary%20Internet%20Files\OLK7F\Documents%20and%20Settings\PreeceS\Local%20Settings\Temporary%20Internet%20Files\OLK22\Overhead%20Consolidation%20December%20200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jsv002\user%20folder2\Accounting\&#20104;&#23455;&#38306;&#36899;\_FY04&#20104;&#23455;\_&#12381;&#12398;&#20182;\200405&#35211;&#36796;&#12415;&#1238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jsv002\user%20folder2\Accounting\&#20104;&#23455;&#38306;&#36899;\_FY06&#20104;&#23455;\_Reporting\_PL&#38306;&#36899;\FY06_&#37096;&#38263;&#20250;&#29992;&#36039;&#26009;&#20316;&#25104;&#65420;&#65383;&#65394;&#65433;-&#26368;&#26032;&#2925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t539562\Local%20Settings\Temporary%20Internet%20Files\OLK9\&#216;k%20per%20kontrakt%20-%20tapsavsetning.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My%20Documents\Country%20models\workspace\fixed%20seeds%20v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App3\common\CORPACCT\Financial%20Reporting\SEC\FORM10-Q\2004\3Q%202004\Corporate\workpapers\Debt%20Report%209-30-2004%20FIN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jsv002\user%20folder2\Accounting\&#20104;&#23455;&#38306;&#36899;\_FY05&#20104;&#23455;\_Package\&#20840;&#31038;&#65381;&#37096;&#21029;&#22522;&#30990;Data&#21152;&#24037;&#20966;&#29702;_&#26368;&#26032;&#2925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Cable%20forecasts%20comps%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STOCKS\EUROPE\Norway\TNOR\Models\Current\TNOR_curren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TOCKS\EUROPE\UK\BT\Models\Current\BT5%20Broadband%20Scenari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Koe\Katalog\RAPPORT\Mnd-00\Diverse\maler\Rapportpakke%20Excel%20kvar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TOCKS\EUROPE\UK\VOD\Models\Current\Vodafone(2sep03).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TELECOMS/STOCKS/ASIA%20(ex-Japan)%20Internet/Tech%20analyser%20v2.xlsm" TargetMode="External"/><Relationship Id="rId1" Type="http://schemas.openxmlformats.org/officeDocument/2006/relationships/externalLinkPath" Target="/TELECOMS/STOCKS/ASIA%20(ex-Japan)%20Internet/Tech%20analyser%20v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gb24506\restore\23010101\TELC\TELCOS\UK\BT\NEWERA\BTMODEL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HK_OKOK\Bud_rapp\MNDRAPP\2000\0004\Utrapportert\pres0004%20Business%20Solu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pment"/>
      <sheetName val="Model"/>
      <sheetName val="Financial Statements"/>
      <sheetName val="Capex"/>
      <sheetName val="Capex Input"/>
      <sheetName val="Results"/>
      <sheetName val="BTS Tabl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sheetName val="2002 Total"/>
      <sheetName val="EBITDA mnd"/>
      <sheetName val="R2002"/>
      <sheetName val="B2002"/>
      <sheetName val="ASK"/>
      <sheetName val="Standardkalkyle"/>
      <sheetName val="Diagram DB"/>
      <sheetName val="Omsetning diagram"/>
      <sheetName val="Grunnlag diagram"/>
      <sheetName val="Grunndata"/>
      <sheetName val="A-sted"/>
      <sheetName val="K-kost"/>
    </sheetNames>
    <sheetDataSet>
      <sheetData sheetId="0" refreshError="1"/>
      <sheetData sheetId="1"/>
      <sheetData sheetId="2" refreshError="1"/>
      <sheetData sheetId="3"/>
      <sheetData sheetId="4"/>
      <sheetData sheetId="5" refreshError="1"/>
      <sheetData sheetId="6"/>
      <sheetData sheetId="7" refreshError="1"/>
      <sheetData sheetId="8" refreshError="1"/>
      <sheetData sheetId="9" refreshError="1"/>
      <sheetData sheetId="10">
        <row r="3">
          <cell r="A3">
            <v>1</v>
          </cell>
          <cell r="B3" t="str">
            <v>Januar</v>
          </cell>
          <cell r="C3">
            <v>1</v>
          </cell>
        </row>
        <row r="4">
          <cell r="A4">
            <v>2</v>
          </cell>
          <cell r="B4" t="str">
            <v>Februar</v>
          </cell>
          <cell r="C4">
            <v>2</v>
          </cell>
        </row>
        <row r="5">
          <cell r="A5">
            <v>3</v>
          </cell>
          <cell r="B5" t="str">
            <v>Mars</v>
          </cell>
          <cell r="C5">
            <v>3</v>
          </cell>
        </row>
        <row r="6">
          <cell r="A6">
            <v>4</v>
          </cell>
          <cell r="B6" t="str">
            <v>April</v>
          </cell>
          <cell r="C6">
            <v>4</v>
          </cell>
        </row>
        <row r="7">
          <cell r="A7">
            <v>5</v>
          </cell>
          <cell r="B7" t="str">
            <v>Mai</v>
          </cell>
          <cell r="C7">
            <v>5</v>
          </cell>
        </row>
        <row r="8">
          <cell r="A8">
            <v>6</v>
          </cell>
          <cell r="B8" t="str">
            <v>Juni</v>
          </cell>
          <cell r="C8">
            <v>6</v>
          </cell>
        </row>
        <row r="9">
          <cell r="A9">
            <v>7</v>
          </cell>
          <cell r="B9" t="str">
            <v>Juli</v>
          </cell>
          <cell r="C9">
            <v>7</v>
          </cell>
        </row>
        <row r="10">
          <cell r="A10">
            <v>8</v>
          </cell>
          <cell r="B10" t="str">
            <v>August</v>
          </cell>
          <cell r="C10">
            <v>8</v>
          </cell>
        </row>
        <row r="11">
          <cell r="A11">
            <v>9</v>
          </cell>
          <cell r="B11" t="str">
            <v>September</v>
          </cell>
          <cell r="C11">
            <v>9</v>
          </cell>
        </row>
        <row r="12">
          <cell r="A12">
            <v>10</v>
          </cell>
          <cell r="B12" t="str">
            <v>Oktober</v>
          </cell>
          <cell r="C12">
            <v>10</v>
          </cell>
        </row>
        <row r="13">
          <cell r="A13">
            <v>11</v>
          </cell>
          <cell r="B13" t="str">
            <v>November</v>
          </cell>
          <cell r="C13">
            <v>11</v>
          </cell>
        </row>
        <row r="14">
          <cell r="A14">
            <v>12</v>
          </cell>
          <cell r="B14" t="str">
            <v>Desember</v>
          </cell>
          <cell r="C14">
            <v>12</v>
          </cell>
        </row>
      </sheetData>
      <sheetData sheetId="11"/>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
      <sheetName val="Grunndata"/>
      <sheetName val="tot"/>
      <sheetName val="CAPEX LRBP_Input"/>
      <sheetName val="Forside"/>
      <sheetName val="Front"/>
      <sheetName val="Sheet-8"/>
      <sheetName val="สรุปราคาค่าก่อสร้าง"/>
      <sheetName val="TB-2001-Apr'01"/>
      <sheetName val="TrialBalance Q3-2002"/>
      <sheetName val="1602-97"/>
      <sheetName val="19"/>
      <sheetName val="K-8"/>
      <sheetName val="เงินกู้ธนชาติ"/>
      <sheetName val="List_of_New_Sites_Propose2"/>
      <sheetName val="ADJ - RATE"/>
      <sheetName val="TOTAL PGS Group"/>
      <sheetName val="Sheet3"/>
      <sheetName val="Mar21"/>
      <sheetName val="Dtn-Jan 21  "/>
      <sheetName val="DTAC Telenor"/>
      <sheetName val="Account code for NewERP"/>
      <sheetName val="RC-New (VF.Feb21)"/>
      <sheetName val="list"/>
      <sheetName val="AARSPAK2"/>
      <sheetName val="Sheet1"/>
      <sheetName val="Employees"/>
      <sheetName val="UAD"/>
      <sheetName val="Basis P&amp;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FY 2nd Hafl Latest Estimate"/>
      <sheetName val="WeeklyData"/>
      <sheetName val="Sheet3"/>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tats"/>
      <sheetName val="Report Template"/>
      <sheetName val="Shareholder Structure"/>
      <sheetName val="Tariffs&amp;Traffic"/>
      <sheetName val="TPSA_Model"/>
      <sheetName val="__FDSCACHE__"/>
      <sheetName val="GSM"/>
      <sheetName val="Centertel_Model"/>
      <sheetName val="Centertel Consolidations"/>
      <sheetName val="TPSA_Capex"/>
      <sheetName val="TPSA_Group"/>
      <sheetName val="mwareValPrintout"/>
      <sheetName val="mwareTaxoPres"/>
      <sheetName val="Group_DCF"/>
      <sheetName val="Valuation Multiples"/>
      <sheetName val="Valuation Chart"/>
      <sheetName val="TPSA Q"/>
      <sheetName val="Dividend Chart"/>
      <sheetName val="Quarterly"/>
      <sheetName val="Consensus"/>
      <sheetName val="Mobile Ops Summary"/>
      <sheetName val="Centertel_Fins"/>
      <sheetName val="IS(PAS)consol"/>
      <sheetName val="CF(PAS)unconsol"/>
      <sheetName val="IS(PAS)unconsol"/>
      <sheetName val="GE 2"/>
      <sheetName val="Debt Summary"/>
      <sheetName val="Changes"/>
      <sheetName val="Benchmarking"/>
      <sheetName val="Chart Data"/>
      <sheetName val="Charts"/>
      <sheetName val="Sublink churn"/>
      <sheetName val="Link"/>
      <sheetName val="GE Upload"/>
      <sheetName val="FT-Link"/>
      <sheetName val="mwareDates"/>
      <sheetName val="Operational Changes"/>
      <sheetName val="mwarePreview"/>
      <sheetName val="Taglink"/>
      <sheetName val="MSAM Link"/>
      <sheetName val="TPSAQ link"/>
      <sheetName val="Quarterly_Table"/>
      <sheetName val="Quarterly Segments"/>
      <sheetName val="BS(PAS)unconsol"/>
      <sheetName val="CF(PAS)consol"/>
      <sheetName val="BS(PAS)consol"/>
      <sheetName val="Proportional"/>
      <sheetName val="Centertel_DCF"/>
      <sheetName val="TPSA_DCF"/>
      <sheetName val="mwareSettings"/>
      <sheetName val="Cellular_Market"/>
      <sheetName val="NMT"/>
      <sheetName val="Relative Pricing"/>
      <sheetName val="Sheet1"/>
      <sheetName val="xbrldates"/>
      <sheetName val="xbrlPreview"/>
      <sheetName val="xbrlSettings"/>
      <sheetName val="TPSA_WIP"/>
      <sheetName val="Macro_Assumptions"/>
      <sheetName val="MWare_Cached"/>
    </sheetNames>
    <sheetDataSet>
      <sheetData sheetId="0" refreshError="1"/>
      <sheetData sheetId="1" refreshError="1"/>
      <sheetData sheetId="2" refreshError="1"/>
      <sheetData sheetId="3" refreshError="1"/>
      <sheetData sheetId="4" refreshError="1">
        <row r="468">
          <cell r="O468">
            <v>7427.9247366746959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Cost Report"/>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_ID"/>
      <sheetName val="★ﾒﾆｭｰ"/>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
      <sheetName val="Ref"/>
      <sheetName val="WaterFall_Prep"/>
    </sheetNames>
    <sheetDataSet>
      <sheetData sheetId="0" refreshError="1"/>
      <sheetData sheetId="1" refreshError="1"/>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Z"/>
      <sheetName val="BEN"/>
      <sheetName val="BRA"/>
      <sheetName val="CE"/>
      <sheetName val="FRA"/>
      <sheetName val="ITA"/>
      <sheetName val="JPN"/>
      <sheetName val="KOR"/>
      <sheetName val="MEX"/>
      <sheetName val="NOR"/>
      <sheetName val="SPA"/>
      <sheetName val="UK"/>
      <sheetName val="UPIBV"/>
      <sheetName val="UPIO"/>
      <sheetName val="UPV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ﾃﾞｰﾀ"/>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sheetName val="2002 Total"/>
      <sheetName val="EBITDA mnd"/>
      <sheetName val="R2002"/>
      <sheetName val="B2002"/>
      <sheetName val="ASK"/>
      <sheetName val="Standardkalkyle"/>
      <sheetName val="Diagram DB"/>
      <sheetName val="Omsetning diagram"/>
      <sheetName val="Grunnlag diagram"/>
      <sheetName val="Grunndata"/>
      <sheetName val="A-sted"/>
      <sheetName val="K-kost"/>
    </sheetNames>
    <sheetDataSet>
      <sheetData sheetId="0" refreshError="1"/>
      <sheetData sheetId="1"/>
      <sheetData sheetId="2" refreshError="1"/>
      <sheetData sheetId="3"/>
      <sheetData sheetId="4"/>
      <sheetData sheetId="5" refreshError="1"/>
      <sheetData sheetId="6" refreshError="1"/>
      <sheetData sheetId="7" refreshError="1"/>
      <sheetData sheetId="8" refreshError="1"/>
      <sheetData sheetId="9" refreshError="1"/>
      <sheetData sheetId="10"/>
      <sheetData sheetId="11">
        <row r="8">
          <cell r="A8" t="str">
            <v>92000</v>
          </cell>
          <cell r="B8">
            <v>572754.43999999994</v>
          </cell>
          <cell r="C8">
            <v>638109.75</v>
          </cell>
          <cell r="D8">
            <v>455414.35</v>
          </cell>
          <cell r="E8">
            <v>633339.72</v>
          </cell>
          <cell r="F8">
            <v>1213897.45</v>
          </cell>
          <cell r="G8">
            <v>1357058.72</v>
          </cell>
          <cell r="H8">
            <v>906607.45</v>
          </cell>
          <cell r="I8">
            <v>1485501.87</v>
          </cell>
          <cell r="J8">
            <v>1471471.16</v>
          </cell>
          <cell r="O8" t="str">
            <v>92000</v>
          </cell>
          <cell r="P8">
            <v>572754.43999999994</v>
          </cell>
          <cell r="Q8">
            <v>1210864.19</v>
          </cell>
          <cell r="R8">
            <v>1666278.54</v>
          </cell>
          <cell r="S8">
            <v>2299618.2599999998</v>
          </cell>
          <cell r="T8">
            <v>3513515.71</v>
          </cell>
          <cell r="U8">
            <v>4870574.43</v>
          </cell>
          <cell r="V8">
            <v>5777181.8799999999</v>
          </cell>
          <cell r="W8">
            <v>7262683.75</v>
          </cell>
          <cell r="X8">
            <v>8734154.9100000001</v>
          </cell>
          <cell r="Y8">
            <v>8734154.9100000001</v>
          </cell>
          <cell r="Z8">
            <v>8734154.9100000001</v>
          </cell>
          <cell r="AA8">
            <v>8734154.9100000001</v>
          </cell>
        </row>
        <row r="9">
          <cell r="A9" t="str">
            <v>92100</v>
          </cell>
          <cell r="B9">
            <v>154549.20000000001</v>
          </cell>
          <cell r="C9">
            <v>181790.48</v>
          </cell>
          <cell r="D9">
            <v>-52647.27</v>
          </cell>
          <cell r="E9">
            <v>94947.77</v>
          </cell>
          <cell r="F9">
            <v>104831.27</v>
          </cell>
          <cell r="G9">
            <v>84803.5</v>
          </cell>
          <cell r="H9">
            <v>80114.16</v>
          </cell>
          <cell r="I9">
            <v>83136.800000000003</v>
          </cell>
          <cell r="J9">
            <v>102074.35</v>
          </cell>
          <cell r="O9" t="str">
            <v>92100</v>
          </cell>
          <cell r="P9">
            <v>154549.20000000001</v>
          </cell>
          <cell r="Q9">
            <v>336339.68000000005</v>
          </cell>
          <cell r="R9">
            <v>283692.41000000003</v>
          </cell>
          <cell r="S9">
            <v>378640.18000000005</v>
          </cell>
          <cell r="T9">
            <v>483471.45000000007</v>
          </cell>
          <cell r="U9">
            <v>568274.95000000007</v>
          </cell>
          <cell r="V9">
            <v>648389.1100000001</v>
          </cell>
          <cell r="W9">
            <v>731525.91000000015</v>
          </cell>
          <cell r="X9">
            <v>833600.26000000013</v>
          </cell>
          <cell r="Y9">
            <v>833600.26000000013</v>
          </cell>
          <cell r="Z9">
            <v>833600.26000000013</v>
          </cell>
          <cell r="AA9">
            <v>833600.26000000013</v>
          </cell>
        </row>
        <row r="10">
          <cell r="A10" t="str">
            <v>92200</v>
          </cell>
          <cell r="B10">
            <v>808138.91</v>
          </cell>
          <cell r="C10">
            <v>978397.38</v>
          </cell>
          <cell r="D10">
            <v>1381144</v>
          </cell>
          <cell r="E10">
            <v>1168586.22</v>
          </cell>
          <cell r="F10">
            <v>373605.36</v>
          </cell>
          <cell r="G10">
            <v>887938.18</v>
          </cell>
          <cell r="H10">
            <v>652326.82999999996</v>
          </cell>
          <cell r="I10">
            <v>485790.25</v>
          </cell>
          <cell r="J10">
            <v>856444.17</v>
          </cell>
          <cell r="O10" t="str">
            <v>92200</v>
          </cell>
          <cell r="P10">
            <v>808138.91</v>
          </cell>
          <cell r="Q10">
            <v>1786536.29</v>
          </cell>
          <cell r="R10">
            <v>3167680.29</v>
          </cell>
          <cell r="S10">
            <v>4336266.51</v>
          </cell>
          <cell r="T10">
            <v>4709871.87</v>
          </cell>
          <cell r="U10">
            <v>5597810.0499999998</v>
          </cell>
          <cell r="V10">
            <v>6250136.8799999999</v>
          </cell>
          <cell r="W10">
            <v>6735927.1299999999</v>
          </cell>
          <cell r="X10">
            <v>7592371.2999999998</v>
          </cell>
          <cell r="Y10">
            <v>7592371.2999999998</v>
          </cell>
          <cell r="Z10">
            <v>7592371.2999999998</v>
          </cell>
          <cell r="AA10">
            <v>7592371.2999999998</v>
          </cell>
        </row>
        <row r="11">
          <cell r="A11" t="str">
            <v>92305</v>
          </cell>
          <cell r="C11">
            <v>813.5</v>
          </cell>
          <cell r="D11">
            <v>-300000</v>
          </cell>
          <cell r="G11">
            <v>2325000</v>
          </cell>
          <cell r="H11">
            <v>1666</v>
          </cell>
          <cell r="O11" t="str">
            <v>92305</v>
          </cell>
          <cell r="P11">
            <v>0</v>
          </cell>
          <cell r="Q11">
            <v>813.5</v>
          </cell>
          <cell r="R11">
            <v>-299186.5</v>
          </cell>
          <cell r="S11">
            <v>-299186.5</v>
          </cell>
          <cell r="T11">
            <v>-299186.5</v>
          </cell>
          <cell r="U11">
            <v>2025813.5</v>
          </cell>
          <cell r="V11">
            <v>2027479.5</v>
          </cell>
          <cell r="W11">
            <v>2027479.5</v>
          </cell>
          <cell r="X11">
            <v>2027479.5</v>
          </cell>
          <cell r="Y11">
            <v>2027479.5</v>
          </cell>
          <cell r="Z11">
            <v>2027479.5</v>
          </cell>
          <cell r="AA11">
            <v>2027479.5</v>
          </cell>
        </row>
        <row r="12">
          <cell r="A12" t="str">
            <v>92310</v>
          </cell>
          <cell r="C12">
            <v>-0.16000000000349246</v>
          </cell>
          <cell r="D12">
            <v>767</v>
          </cell>
          <cell r="H12">
            <v>1153</v>
          </cell>
          <cell r="I12">
            <v>83760</v>
          </cell>
          <cell r="J12">
            <v>34276.18</v>
          </cell>
          <cell r="O12" t="str">
            <v>92310</v>
          </cell>
          <cell r="P12">
            <v>0</v>
          </cell>
          <cell r="Q12">
            <v>-0.16000000000349246</v>
          </cell>
          <cell r="R12">
            <v>766.83999999999651</v>
          </cell>
          <cell r="S12">
            <v>766.83999999999651</v>
          </cell>
          <cell r="T12">
            <v>766.83999999999651</v>
          </cell>
          <cell r="U12">
            <v>766.83999999999651</v>
          </cell>
          <cell r="V12">
            <v>1919.8399999999965</v>
          </cell>
          <cell r="W12">
            <v>85679.84</v>
          </cell>
          <cell r="X12">
            <v>119956.01999999999</v>
          </cell>
          <cell r="Y12">
            <v>119956.01999999999</v>
          </cell>
          <cell r="Z12">
            <v>119956.01999999999</v>
          </cell>
          <cell r="AA12">
            <v>119956.01999999999</v>
          </cell>
        </row>
        <row r="13">
          <cell r="A13" t="str">
            <v>92320</v>
          </cell>
          <cell r="G13">
            <v>767.21</v>
          </cell>
          <cell r="J13">
            <v>32395.7</v>
          </cell>
          <cell r="O13" t="str">
            <v>92320</v>
          </cell>
          <cell r="P13">
            <v>0</v>
          </cell>
          <cell r="Q13">
            <v>0</v>
          </cell>
          <cell r="R13">
            <v>0</v>
          </cell>
          <cell r="S13">
            <v>0</v>
          </cell>
          <cell r="T13">
            <v>0</v>
          </cell>
          <cell r="U13">
            <v>767.21</v>
          </cell>
          <cell r="V13">
            <v>767.21</v>
          </cell>
          <cell r="W13">
            <v>767.21</v>
          </cell>
          <cell r="X13">
            <v>33162.910000000003</v>
          </cell>
          <cell r="Y13">
            <v>33162.910000000003</v>
          </cell>
          <cell r="Z13">
            <v>33162.910000000003</v>
          </cell>
          <cell r="AA13">
            <v>33162.910000000003</v>
          </cell>
        </row>
        <row r="14">
          <cell r="A14" t="str">
            <v>92325</v>
          </cell>
          <cell r="B14">
            <v>2310</v>
          </cell>
          <cell r="C14">
            <v>1970</v>
          </cell>
          <cell r="D14">
            <v>5995.72</v>
          </cell>
          <cell r="E14">
            <v>11770</v>
          </cell>
          <cell r="F14">
            <v>30554</v>
          </cell>
          <cell r="G14">
            <v>44286.95</v>
          </cell>
          <cell r="H14">
            <v>86700</v>
          </cell>
          <cell r="I14">
            <v>162097.73000000001</v>
          </cell>
          <cell r="J14">
            <v>163630.28</v>
          </cell>
          <cell r="O14" t="str">
            <v>92325</v>
          </cell>
          <cell r="P14">
            <v>2310</v>
          </cell>
          <cell r="Q14">
            <v>4280</v>
          </cell>
          <cell r="R14">
            <v>10275.720000000001</v>
          </cell>
          <cell r="S14">
            <v>22045.72</v>
          </cell>
          <cell r="T14">
            <v>52599.72</v>
          </cell>
          <cell r="U14">
            <v>96886.67</v>
          </cell>
          <cell r="V14">
            <v>183586.66999999998</v>
          </cell>
          <cell r="W14">
            <v>345684.4</v>
          </cell>
          <cell r="X14">
            <v>509314.68000000005</v>
          </cell>
          <cell r="Y14">
            <v>509314.68000000005</v>
          </cell>
          <cell r="Z14">
            <v>509314.68000000005</v>
          </cell>
          <cell r="AA14">
            <v>509314.68000000005</v>
          </cell>
        </row>
        <row r="15">
          <cell r="A15" t="str">
            <v>92330</v>
          </cell>
          <cell r="F15">
            <v>1942.25</v>
          </cell>
          <cell r="O15" t="str">
            <v>92330</v>
          </cell>
          <cell r="P15">
            <v>0</v>
          </cell>
          <cell r="Q15">
            <v>0</v>
          </cell>
          <cell r="R15">
            <v>0</v>
          </cell>
          <cell r="S15">
            <v>0</v>
          </cell>
          <cell r="T15">
            <v>1942.25</v>
          </cell>
          <cell r="U15">
            <v>1942.25</v>
          </cell>
          <cell r="V15">
            <v>1942.25</v>
          </cell>
          <cell r="W15">
            <v>1942.25</v>
          </cell>
          <cell r="X15">
            <v>1942.25</v>
          </cell>
          <cell r="Y15">
            <v>1942.25</v>
          </cell>
          <cell r="Z15">
            <v>1942.25</v>
          </cell>
          <cell r="AA15">
            <v>1942.25</v>
          </cell>
        </row>
        <row r="16">
          <cell r="A16" t="str">
            <v>92335</v>
          </cell>
          <cell r="D16">
            <v>55633.68</v>
          </cell>
          <cell r="E16">
            <v>1743.93</v>
          </cell>
          <cell r="O16" t="str">
            <v>92335</v>
          </cell>
          <cell r="P16">
            <v>0</v>
          </cell>
          <cell r="Q16">
            <v>0</v>
          </cell>
          <cell r="R16">
            <v>55633.68</v>
          </cell>
          <cell r="S16">
            <v>57377.61</v>
          </cell>
          <cell r="T16">
            <v>57377.61</v>
          </cell>
          <cell r="U16">
            <v>57377.61</v>
          </cell>
          <cell r="V16">
            <v>57377.61</v>
          </cell>
          <cell r="W16">
            <v>57377.61</v>
          </cell>
          <cell r="X16">
            <v>57377.61</v>
          </cell>
          <cell r="Y16">
            <v>57377.61</v>
          </cell>
          <cell r="Z16">
            <v>57377.61</v>
          </cell>
          <cell r="AA16">
            <v>57377.61</v>
          </cell>
        </row>
        <row r="17">
          <cell r="A17" t="str">
            <v>92340</v>
          </cell>
          <cell r="C17">
            <v>64</v>
          </cell>
          <cell r="O17" t="str">
            <v>92340</v>
          </cell>
          <cell r="P17">
            <v>0</v>
          </cell>
          <cell r="Q17">
            <v>64</v>
          </cell>
          <cell r="R17">
            <v>64</v>
          </cell>
          <cell r="S17">
            <v>64</v>
          </cell>
          <cell r="T17">
            <v>64</v>
          </cell>
          <cell r="U17">
            <v>64</v>
          </cell>
          <cell r="V17">
            <v>64</v>
          </cell>
          <cell r="W17">
            <v>64</v>
          </cell>
          <cell r="X17">
            <v>64</v>
          </cell>
          <cell r="Y17">
            <v>64</v>
          </cell>
          <cell r="Z17">
            <v>64</v>
          </cell>
          <cell r="AA17">
            <v>64</v>
          </cell>
        </row>
        <row r="18">
          <cell r="A18" t="str">
            <v>92350</v>
          </cell>
          <cell r="F18">
            <v>258</v>
          </cell>
          <cell r="G18">
            <v>140</v>
          </cell>
          <cell r="O18" t="str">
            <v>92350</v>
          </cell>
          <cell r="P18">
            <v>0</v>
          </cell>
          <cell r="Q18">
            <v>0</v>
          </cell>
          <cell r="R18">
            <v>0</v>
          </cell>
          <cell r="S18">
            <v>0</v>
          </cell>
          <cell r="T18">
            <v>258</v>
          </cell>
          <cell r="U18">
            <v>398</v>
          </cell>
          <cell r="V18">
            <v>398</v>
          </cell>
          <cell r="W18">
            <v>398</v>
          </cell>
          <cell r="X18">
            <v>398</v>
          </cell>
          <cell r="Y18">
            <v>398</v>
          </cell>
          <cell r="Z18">
            <v>398</v>
          </cell>
          <cell r="AA18">
            <v>398</v>
          </cell>
        </row>
        <row r="19">
          <cell r="A19" t="str">
            <v>92355</v>
          </cell>
          <cell r="C19">
            <v>2995.3499999999767</v>
          </cell>
          <cell r="D19">
            <v>4280.38</v>
          </cell>
          <cell r="E19">
            <v>88460.32</v>
          </cell>
          <cell r="F19">
            <v>22633.599999999999</v>
          </cell>
          <cell r="G19">
            <v>276.91000000000003</v>
          </cell>
          <cell r="H19">
            <v>464.1</v>
          </cell>
          <cell r="O19" t="str">
            <v>92355</v>
          </cell>
          <cell r="P19">
            <v>0</v>
          </cell>
          <cell r="Q19">
            <v>2995.3499999999767</v>
          </cell>
          <cell r="R19">
            <v>7275.7299999999768</v>
          </cell>
          <cell r="S19">
            <v>95736.049999999988</v>
          </cell>
          <cell r="T19">
            <v>118369.65</v>
          </cell>
          <cell r="U19">
            <v>118646.56</v>
          </cell>
          <cell r="V19">
            <v>119110.66</v>
          </cell>
          <cell r="W19">
            <v>119110.66</v>
          </cell>
          <cell r="X19">
            <v>119110.66</v>
          </cell>
          <cell r="Y19">
            <v>119110.66</v>
          </cell>
          <cell r="Z19">
            <v>119110.66</v>
          </cell>
          <cell r="AA19">
            <v>119110.66</v>
          </cell>
        </row>
        <row r="20">
          <cell r="A20" t="str">
            <v>92360</v>
          </cell>
          <cell r="C20">
            <v>784.68</v>
          </cell>
          <cell r="O20" t="str">
            <v>92360</v>
          </cell>
          <cell r="P20">
            <v>0</v>
          </cell>
          <cell r="Q20">
            <v>784.68</v>
          </cell>
          <cell r="R20">
            <v>784.68</v>
          </cell>
          <cell r="S20">
            <v>784.68</v>
          </cell>
          <cell r="T20">
            <v>784.68</v>
          </cell>
          <cell r="U20">
            <v>784.68</v>
          </cell>
          <cell r="V20">
            <v>784.68</v>
          </cell>
          <cell r="W20">
            <v>784.68</v>
          </cell>
          <cell r="X20">
            <v>784.68</v>
          </cell>
          <cell r="Y20">
            <v>784.68</v>
          </cell>
          <cell r="Z20">
            <v>784.68</v>
          </cell>
          <cell r="AA20">
            <v>784.68</v>
          </cell>
        </row>
        <row r="21">
          <cell r="A21" t="str">
            <v>92365</v>
          </cell>
          <cell r="J21">
            <v>0</v>
          </cell>
          <cell r="O21" t="str">
            <v>92365</v>
          </cell>
          <cell r="P21">
            <v>0</v>
          </cell>
          <cell r="Q21">
            <v>0</v>
          </cell>
          <cell r="R21">
            <v>0</v>
          </cell>
          <cell r="S21">
            <v>0</v>
          </cell>
          <cell r="T21">
            <v>0</v>
          </cell>
          <cell r="U21">
            <v>0</v>
          </cell>
          <cell r="V21">
            <v>0</v>
          </cell>
          <cell r="W21">
            <v>0</v>
          </cell>
          <cell r="X21">
            <v>0</v>
          </cell>
          <cell r="Y21">
            <v>0</v>
          </cell>
          <cell r="Z21">
            <v>0</v>
          </cell>
          <cell r="AA21">
            <v>0</v>
          </cell>
        </row>
        <row r="22">
          <cell r="A22" t="str">
            <v>92370</v>
          </cell>
          <cell r="C22">
            <v>5334</v>
          </cell>
          <cell r="D22">
            <v>0</v>
          </cell>
          <cell r="I22">
            <v>406.5</v>
          </cell>
          <cell r="O22" t="str">
            <v>92370</v>
          </cell>
          <cell r="P22">
            <v>0</v>
          </cell>
          <cell r="Q22">
            <v>5334</v>
          </cell>
          <cell r="R22">
            <v>5334</v>
          </cell>
          <cell r="S22">
            <v>5334</v>
          </cell>
          <cell r="T22">
            <v>5334</v>
          </cell>
          <cell r="U22">
            <v>5334</v>
          </cell>
          <cell r="V22">
            <v>5334</v>
          </cell>
          <cell r="W22">
            <v>5740.5</v>
          </cell>
          <cell r="X22">
            <v>5740.5</v>
          </cell>
          <cell r="Y22">
            <v>5740.5</v>
          </cell>
          <cell r="Z22">
            <v>5740.5</v>
          </cell>
          <cell r="AA22">
            <v>5740.5</v>
          </cell>
        </row>
        <row r="23">
          <cell r="A23" t="str">
            <v>92375</v>
          </cell>
          <cell r="C23">
            <v>5069.76</v>
          </cell>
          <cell r="D23">
            <v>863.71</v>
          </cell>
          <cell r="F23">
            <v>4700.6499999999996</v>
          </cell>
          <cell r="H23">
            <v>101.82</v>
          </cell>
          <cell r="O23" t="str">
            <v>92375</v>
          </cell>
          <cell r="P23">
            <v>0</v>
          </cell>
          <cell r="Q23">
            <v>5069.76</v>
          </cell>
          <cell r="R23">
            <v>5933.47</v>
          </cell>
          <cell r="S23">
            <v>5933.47</v>
          </cell>
          <cell r="T23">
            <v>10634.119999999999</v>
          </cell>
          <cell r="U23">
            <v>10634.119999999999</v>
          </cell>
          <cell r="V23">
            <v>10735.939999999999</v>
          </cell>
          <cell r="W23">
            <v>10735.939999999999</v>
          </cell>
          <cell r="X23">
            <v>10735.939999999999</v>
          </cell>
          <cell r="Y23">
            <v>10735.939999999999</v>
          </cell>
          <cell r="Z23">
            <v>10735.939999999999</v>
          </cell>
          <cell r="AA23">
            <v>10735.939999999999</v>
          </cell>
        </row>
        <row r="24">
          <cell r="A24" t="str">
            <v>92387</v>
          </cell>
          <cell r="G24">
            <v>12181.01</v>
          </cell>
          <cell r="J24">
            <v>1330</v>
          </cell>
          <cell r="O24" t="str">
            <v>92387</v>
          </cell>
          <cell r="P24">
            <v>0</v>
          </cell>
          <cell r="Q24">
            <v>0</v>
          </cell>
          <cell r="R24">
            <v>0</v>
          </cell>
          <cell r="S24">
            <v>0</v>
          </cell>
          <cell r="T24">
            <v>0</v>
          </cell>
          <cell r="U24">
            <v>12181.01</v>
          </cell>
          <cell r="V24">
            <v>12181.01</v>
          </cell>
          <cell r="W24">
            <v>12181.01</v>
          </cell>
          <cell r="X24">
            <v>13511.01</v>
          </cell>
          <cell r="Y24">
            <v>13511.01</v>
          </cell>
          <cell r="Z24">
            <v>13511.01</v>
          </cell>
          <cell r="AA24">
            <v>13511.01</v>
          </cell>
        </row>
        <row r="25">
          <cell r="A25" t="str">
            <v>92390</v>
          </cell>
          <cell r="B25">
            <v>67167.44</v>
          </cell>
          <cell r="C25">
            <v>58636.98</v>
          </cell>
          <cell r="D25">
            <v>232738</v>
          </cell>
          <cell r="E25">
            <v>29266.03</v>
          </cell>
          <cell r="F25">
            <v>330.5</v>
          </cell>
          <cell r="H25">
            <v>1764.53</v>
          </cell>
          <cell r="I25">
            <v>87348.58</v>
          </cell>
          <cell r="J25">
            <v>17985.02</v>
          </cell>
          <cell r="O25" t="str">
            <v>92390</v>
          </cell>
          <cell r="P25">
            <v>67167.44</v>
          </cell>
          <cell r="Q25">
            <v>125804.42000000001</v>
          </cell>
          <cell r="R25">
            <v>358542.42000000004</v>
          </cell>
          <cell r="S25">
            <v>387808.45000000007</v>
          </cell>
          <cell r="T25">
            <v>388138.95000000007</v>
          </cell>
          <cell r="U25">
            <v>388138.95000000007</v>
          </cell>
          <cell r="V25">
            <v>389903.4800000001</v>
          </cell>
          <cell r="W25">
            <v>477252.06000000011</v>
          </cell>
          <cell r="X25">
            <v>495237.08000000013</v>
          </cell>
          <cell r="Y25">
            <v>495237.08000000013</v>
          </cell>
          <cell r="Z25">
            <v>495237.08000000013</v>
          </cell>
          <cell r="AA25">
            <v>495237.08000000013</v>
          </cell>
        </row>
        <row r="26">
          <cell r="A26" t="str">
            <v>92395</v>
          </cell>
          <cell r="D26">
            <v>494</v>
          </cell>
          <cell r="E26">
            <v>655.35</v>
          </cell>
          <cell r="H26">
            <v>666.4</v>
          </cell>
          <cell r="O26" t="str">
            <v>92395</v>
          </cell>
          <cell r="P26">
            <v>0</v>
          </cell>
          <cell r="Q26">
            <v>0</v>
          </cell>
          <cell r="R26">
            <v>494</v>
          </cell>
          <cell r="S26">
            <v>1149.3499999999999</v>
          </cell>
          <cell r="T26">
            <v>1149.3499999999999</v>
          </cell>
          <cell r="U26">
            <v>1149.3499999999999</v>
          </cell>
          <cell r="V26">
            <v>1815.75</v>
          </cell>
          <cell r="W26">
            <v>1815.75</v>
          </cell>
          <cell r="X26">
            <v>1815.75</v>
          </cell>
          <cell r="Y26">
            <v>1815.75</v>
          </cell>
          <cell r="Z26">
            <v>1815.75</v>
          </cell>
          <cell r="AA26">
            <v>1815.75</v>
          </cell>
        </row>
        <row r="27">
          <cell r="A27" t="str">
            <v>93000</v>
          </cell>
          <cell r="B27">
            <v>148262.76999999999</v>
          </cell>
          <cell r="C27">
            <v>230750.43</v>
          </cell>
          <cell r="D27">
            <v>250927.11</v>
          </cell>
          <cell r="E27">
            <v>250453.09</v>
          </cell>
          <cell r="F27">
            <v>163469.38</v>
          </cell>
          <cell r="G27">
            <v>218457.27</v>
          </cell>
          <cell r="H27">
            <v>210941.85</v>
          </cell>
          <cell r="I27">
            <v>144187.63</v>
          </cell>
          <cell r="J27">
            <v>221217.87</v>
          </cell>
          <cell r="O27" t="str">
            <v>93000</v>
          </cell>
          <cell r="P27">
            <v>148262.76999999999</v>
          </cell>
          <cell r="Q27">
            <v>379013.19999999995</v>
          </cell>
          <cell r="R27">
            <v>629940.30999999994</v>
          </cell>
          <cell r="S27">
            <v>880393.39999999991</v>
          </cell>
          <cell r="T27">
            <v>1043862.7799999999</v>
          </cell>
          <cell r="U27">
            <v>1262320.0499999998</v>
          </cell>
          <cell r="V27">
            <v>1473261.9</v>
          </cell>
          <cell r="W27">
            <v>1617449.5299999998</v>
          </cell>
          <cell r="X27">
            <v>1838667.4</v>
          </cell>
          <cell r="Y27">
            <v>1838667.4</v>
          </cell>
          <cell r="Z27">
            <v>1838667.4</v>
          </cell>
          <cell r="AA27">
            <v>1838667.4</v>
          </cell>
        </row>
        <row r="28">
          <cell r="A28" t="str">
            <v>93110</v>
          </cell>
          <cell r="B28">
            <v>838111.01</v>
          </cell>
          <cell r="C28">
            <v>-350432.81</v>
          </cell>
          <cell r="D28">
            <v>275632.12</v>
          </cell>
          <cell r="E28">
            <v>316121.59999999998</v>
          </cell>
          <cell r="F28">
            <v>246404.74</v>
          </cell>
          <cell r="G28">
            <v>179780.08</v>
          </cell>
          <cell r="H28">
            <v>179511.45</v>
          </cell>
          <cell r="I28">
            <v>266467.59000000003</v>
          </cell>
          <cell r="J28">
            <v>253212.84</v>
          </cell>
          <cell r="O28" t="str">
            <v>93110</v>
          </cell>
          <cell r="P28">
            <v>838111.01</v>
          </cell>
          <cell r="Q28">
            <v>487678.2</v>
          </cell>
          <cell r="R28">
            <v>763310.32000000007</v>
          </cell>
          <cell r="S28">
            <v>1079431.92</v>
          </cell>
          <cell r="T28">
            <v>1325836.6599999999</v>
          </cell>
          <cell r="U28">
            <v>1505616.74</v>
          </cell>
          <cell r="V28">
            <v>1685128.19</v>
          </cell>
          <cell r="W28">
            <v>1951595.78</v>
          </cell>
          <cell r="X28">
            <v>2204808.62</v>
          </cell>
          <cell r="Y28">
            <v>2204808.62</v>
          </cell>
          <cell r="Z28">
            <v>2204808.62</v>
          </cell>
          <cell r="AA28">
            <v>2204808.62</v>
          </cell>
        </row>
        <row r="29">
          <cell r="A29" t="str">
            <v>93120</v>
          </cell>
          <cell r="B29">
            <v>35616.31</v>
          </cell>
          <cell r="C29">
            <v>437094.41</v>
          </cell>
          <cell r="D29">
            <v>147177.75</v>
          </cell>
          <cell r="E29">
            <v>250063.59</v>
          </cell>
          <cell r="F29">
            <v>234113.01</v>
          </cell>
          <cell r="G29">
            <v>207419.15</v>
          </cell>
          <cell r="H29">
            <v>153930.07999999999</v>
          </cell>
          <cell r="I29">
            <v>281520.03000000003</v>
          </cell>
          <cell r="J29">
            <v>246177.5</v>
          </cell>
          <cell r="O29" t="str">
            <v>93120</v>
          </cell>
          <cell r="P29">
            <v>35616.31</v>
          </cell>
          <cell r="Q29">
            <v>472710.72</v>
          </cell>
          <cell r="R29">
            <v>619888.47</v>
          </cell>
          <cell r="S29">
            <v>869952.05999999994</v>
          </cell>
          <cell r="T29">
            <v>1104065.0699999998</v>
          </cell>
          <cell r="U29">
            <v>1311484.2199999997</v>
          </cell>
          <cell r="V29">
            <v>1465414.2999999998</v>
          </cell>
          <cell r="W29">
            <v>1746934.3299999998</v>
          </cell>
          <cell r="X29">
            <v>1993111.8299999998</v>
          </cell>
          <cell r="Y29">
            <v>1993111.8299999998</v>
          </cell>
          <cell r="Z29">
            <v>1993111.8299999998</v>
          </cell>
          <cell r="AA29">
            <v>1993111.8299999998</v>
          </cell>
        </row>
        <row r="30">
          <cell r="A30" t="str">
            <v>93130</v>
          </cell>
          <cell r="B30">
            <v>402161.65</v>
          </cell>
          <cell r="C30">
            <v>316456.31</v>
          </cell>
          <cell r="D30">
            <v>255215.4</v>
          </cell>
          <cell r="E30">
            <v>331939.51</v>
          </cell>
          <cell r="F30">
            <v>319634.78999999998</v>
          </cell>
          <cell r="G30">
            <v>220350.23</v>
          </cell>
          <cell r="H30">
            <v>217547.94</v>
          </cell>
          <cell r="I30">
            <v>301201.89</v>
          </cell>
          <cell r="J30">
            <v>336939.35</v>
          </cell>
          <cell r="O30" t="str">
            <v>93130</v>
          </cell>
          <cell r="P30">
            <v>402161.65</v>
          </cell>
          <cell r="Q30">
            <v>718617.96</v>
          </cell>
          <cell r="R30">
            <v>973833.36</v>
          </cell>
          <cell r="S30">
            <v>1305772.8700000001</v>
          </cell>
          <cell r="T30">
            <v>1625407.6600000001</v>
          </cell>
          <cell r="U30">
            <v>1845757.8900000001</v>
          </cell>
          <cell r="V30">
            <v>2063305.83</v>
          </cell>
          <cell r="W30">
            <v>2364507.7200000002</v>
          </cell>
          <cell r="X30">
            <v>2701447.0700000003</v>
          </cell>
          <cell r="Y30">
            <v>2701447.0700000003</v>
          </cell>
          <cell r="Z30">
            <v>2701447.0700000003</v>
          </cell>
          <cell r="AA30">
            <v>2701447.0700000003</v>
          </cell>
        </row>
        <row r="31">
          <cell r="A31" t="str">
            <v>93150</v>
          </cell>
          <cell r="B31">
            <v>40482.629999999997</v>
          </cell>
          <cell r="C31">
            <v>174544.55</v>
          </cell>
          <cell r="D31">
            <v>144281.84</v>
          </cell>
          <cell r="E31">
            <v>9173.06</v>
          </cell>
          <cell r="F31">
            <v>107321.3</v>
          </cell>
          <cell r="G31">
            <v>68657.23</v>
          </cell>
          <cell r="H31">
            <v>100005.52</v>
          </cell>
          <cell r="I31">
            <v>120258.91</v>
          </cell>
          <cell r="J31">
            <v>121412.44</v>
          </cell>
          <cell r="O31" t="str">
            <v>93150</v>
          </cell>
          <cell r="P31">
            <v>40482.629999999997</v>
          </cell>
          <cell r="Q31">
            <v>215027.18</v>
          </cell>
          <cell r="R31">
            <v>359309.02</v>
          </cell>
          <cell r="S31">
            <v>368482.08</v>
          </cell>
          <cell r="T31">
            <v>475803.38</v>
          </cell>
          <cell r="U31">
            <v>544460.61</v>
          </cell>
          <cell r="V31">
            <v>644466.13</v>
          </cell>
          <cell r="W31">
            <v>764725.04</v>
          </cell>
          <cell r="X31">
            <v>886137.48</v>
          </cell>
          <cell r="Y31">
            <v>886137.48</v>
          </cell>
          <cell r="Z31">
            <v>886137.48</v>
          </cell>
          <cell r="AA31">
            <v>886137.48</v>
          </cell>
        </row>
        <row r="32">
          <cell r="A32" t="str">
            <v>93200</v>
          </cell>
          <cell r="B32">
            <v>466430.75</v>
          </cell>
          <cell r="C32">
            <v>632403.06999999995</v>
          </cell>
          <cell r="D32">
            <v>534486.89</v>
          </cell>
          <cell r="E32">
            <v>607306.52</v>
          </cell>
          <cell r="F32">
            <v>549195.06999999995</v>
          </cell>
          <cell r="G32">
            <v>462982.16</v>
          </cell>
          <cell r="H32">
            <v>328035.63</v>
          </cell>
          <cell r="I32">
            <v>571094.92000000004</v>
          </cell>
          <cell r="J32">
            <v>615783.69999999995</v>
          </cell>
          <cell r="O32" t="str">
            <v>93200</v>
          </cell>
          <cell r="P32">
            <v>466430.75</v>
          </cell>
          <cell r="Q32">
            <v>1098833.8199999998</v>
          </cell>
          <cell r="R32">
            <v>1633320.71</v>
          </cell>
          <cell r="S32">
            <v>2240627.23</v>
          </cell>
          <cell r="T32">
            <v>2789822.3</v>
          </cell>
          <cell r="U32">
            <v>3252804.46</v>
          </cell>
          <cell r="V32">
            <v>3580840.09</v>
          </cell>
          <cell r="W32">
            <v>4151935.01</v>
          </cell>
          <cell r="X32">
            <v>4767718.71</v>
          </cell>
          <cell r="Y32">
            <v>4767718.71</v>
          </cell>
          <cell r="Z32">
            <v>4767718.71</v>
          </cell>
          <cell r="AA32">
            <v>4767718.71</v>
          </cell>
        </row>
        <row r="33">
          <cell r="A33" t="str">
            <v>93300</v>
          </cell>
          <cell r="B33">
            <v>318087.92</v>
          </cell>
          <cell r="C33">
            <v>399476.15</v>
          </cell>
          <cell r="D33">
            <v>423306.91</v>
          </cell>
          <cell r="E33">
            <v>418291.79</v>
          </cell>
          <cell r="F33">
            <v>353357.96</v>
          </cell>
          <cell r="G33">
            <v>384061.18</v>
          </cell>
          <cell r="H33">
            <v>258426.69</v>
          </cell>
          <cell r="I33">
            <v>385136.55</v>
          </cell>
          <cell r="J33">
            <v>434136.87</v>
          </cell>
          <cell r="O33" t="str">
            <v>93300</v>
          </cell>
          <cell r="P33">
            <v>318087.92</v>
          </cell>
          <cell r="Q33">
            <v>717564.07000000007</v>
          </cell>
          <cell r="R33">
            <v>1140870.98</v>
          </cell>
          <cell r="S33">
            <v>1559162.77</v>
          </cell>
          <cell r="T33">
            <v>1912520.73</v>
          </cell>
          <cell r="U33">
            <v>2296581.91</v>
          </cell>
          <cell r="V33">
            <v>2555008.6</v>
          </cell>
          <cell r="W33">
            <v>2940145.15</v>
          </cell>
          <cell r="X33">
            <v>3374282.02</v>
          </cell>
          <cell r="Y33">
            <v>3374282.02</v>
          </cell>
          <cell r="Z33">
            <v>3374282.02</v>
          </cell>
          <cell r="AA33">
            <v>3374282.02</v>
          </cell>
        </row>
        <row r="34">
          <cell r="A34" t="str">
            <v>93400</v>
          </cell>
          <cell r="B34">
            <v>166675.70000000001</v>
          </cell>
          <cell r="C34">
            <v>884139.99</v>
          </cell>
          <cell r="D34">
            <v>446130.11</v>
          </cell>
          <cell r="E34">
            <v>350469.27</v>
          </cell>
          <cell r="F34">
            <v>414043.75</v>
          </cell>
          <cell r="G34">
            <v>479006.54</v>
          </cell>
          <cell r="H34">
            <v>396794.95</v>
          </cell>
          <cell r="I34">
            <v>494917.31</v>
          </cell>
          <cell r="J34">
            <v>410201.34</v>
          </cell>
          <cell r="O34" t="str">
            <v>93400</v>
          </cell>
          <cell r="P34">
            <v>166675.70000000001</v>
          </cell>
          <cell r="Q34">
            <v>1050815.69</v>
          </cell>
          <cell r="R34">
            <v>1496945.7999999998</v>
          </cell>
          <cell r="S34">
            <v>1847415.0699999998</v>
          </cell>
          <cell r="T34">
            <v>2261458.8199999998</v>
          </cell>
          <cell r="U34">
            <v>2740465.36</v>
          </cell>
          <cell r="V34">
            <v>3137260.31</v>
          </cell>
          <cell r="W34">
            <v>3632177.62</v>
          </cell>
          <cell r="X34">
            <v>4042378.96</v>
          </cell>
          <cell r="Y34">
            <v>4042378.96</v>
          </cell>
          <cell r="Z34">
            <v>4042378.96</v>
          </cell>
          <cell r="AA34">
            <v>4042378.96</v>
          </cell>
        </row>
        <row r="35">
          <cell r="A35" t="str">
            <v>93500</v>
          </cell>
          <cell r="B35">
            <v>574802.68000000005</v>
          </cell>
          <cell r="C35">
            <v>56956.49</v>
          </cell>
          <cell r="D35">
            <v>187665.51</v>
          </cell>
          <cell r="E35">
            <v>448583.7</v>
          </cell>
          <cell r="F35">
            <v>967807.07</v>
          </cell>
          <cell r="G35">
            <v>86891.040000000066</v>
          </cell>
          <cell r="H35">
            <v>980962.6</v>
          </cell>
          <cell r="I35">
            <v>473239.34</v>
          </cell>
          <cell r="J35">
            <v>544567.19999999995</v>
          </cell>
          <cell r="O35" t="str">
            <v>93500</v>
          </cell>
          <cell r="P35">
            <v>574802.68000000005</v>
          </cell>
          <cell r="Q35">
            <v>631759.17000000004</v>
          </cell>
          <cell r="R35">
            <v>819424.68</v>
          </cell>
          <cell r="S35">
            <v>1268008.3800000001</v>
          </cell>
          <cell r="T35">
            <v>2235815.4500000002</v>
          </cell>
          <cell r="U35">
            <v>2322706.4900000002</v>
          </cell>
          <cell r="V35">
            <v>3303669.0900000003</v>
          </cell>
          <cell r="W35">
            <v>3776908.43</v>
          </cell>
          <cell r="X35">
            <v>4321475.63</v>
          </cell>
          <cell r="Y35">
            <v>4321475.63</v>
          </cell>
          <cell r="Z35">
            <v>4321475.63</v>
          </cell>
          <cell r="AA35">
            <v>4321475.63</v>
          </cell>
        </row>
        <row r="36">
          <cell r="A36" t="str">
            <v>93550</v>
          </cell>
          <cell r="B36">
            <v>775470.37</v>
          </cell>
          <cell r="C36">
            <v>660106.03</v>
          </cell>
          <cell r="D36">
            <v>677748.4</v>
          </cell>
          <cell r="E36">
            <v>801176.83</v>
          </cell>
          <cell r="F36">
            <v>735927.51</v>
          </cell>
          <cell r="G36">
            <v>547091.32999999996</v>
          </cell>
          <cell r="H36">
            <v>858161.08</v>
          </cell>
          <cell r="I36">
            <v>625363.65</v>
          </cell>
          <cell r="J36">
            <v>715900.49</v>
          </cell>
          <cell r="O36" t="str">
            <v>93550</v>
          </cell>
          <cell r="P36">
            <v>775470.37</v>
          </cell>
          <cell r="Q36">
            <v>1435576.4</v>
          </cell>
          <cell r="R36">
            <v>2113324.7999999998</v>
          </cell>
          <cell r="S36">
            <v>2914501.63</v>
          </cell>
          <cell r="T36">
            <v>3650429.1399999997</v>
          </cell>
          <cell r="U36">
            <v>4197520.47</v>
          </cell>
          <cell r="V36">
            <v>5055681.55</v>
          </cell>
          <cell r="W36">
            <v>5681045.2000000002</v>
          </cell>
          <cell r="X36">
            <v>6396945.6900000004</v>
          </cell>
          <cell r="Y36">
            <v>6396945.6900000004</v>
          </cell>
          <cell r="Z36">
            <v>6396945.6900000004</v>
          </cell>
          <cell r="AA36">
            <v>6396945.6900000004</v>
          </cell>
        </row>
        <row r="37">
          <cell r="A37" t="str">
            <v>93600</v>
          </cell>
          <cell r="B37">
            <v>1218911.99</v>
          </cell>
          <cell r="C37">
            <v>1194422.7</v>
          </cell>
          <cell r="D37">
            <v>1061550.6100000001</v>
          </cell>
          <cell r="E37">
            <v>1060979.99</v>
          </cell>
          <cell r="F37">
            <v>1203023.8600000001</v>
          </cell>
          <cell r="G37">
            <v>1165314.1499999999</v>
          </cell>
          <cell r="H37">
            <v>1165579.3899999999</v>
          </cell>
          <cell r="I37">
            <v>1294197.93</v>
          </cell>
          <cell r="J37">
            <v>1133771.8</v>
          </cell>
          <cell r="O37" t="str">
            <v>93600</v>
          </cell>
          <cell r="P37">
            <v>1218911.99</v>
          </cell>
          <cell r="Q37">
            <v>2413334.69</v>
          </cell>
          <cell r="R37">
            <v>3474885.3</v>
          </cell>
          <cell r="S37">
            <v>4535865.29</v>
          </cell>
          <cell r="T37">
            <v>5738889.1500000004</v>
          </cell>
          <cell r="U37">
            <v>6904203.3000000007</v>
          </cell>
          <cell r="V37">
            <v>8069782.6900000004</v>
          </cell>
          <cell r="W37">
            <v>9363980.620000001</v>
          </cell>
          <cell r="X37">
            <v>10497752.420000002</v>
          </cell>
          <cell r="Y37">
            <v>10497752.420000002</v>
          </cell>
          <cell r="Z37">
            <v>10497752.420000002</v>
          </cell>
          <cell r="AA37">
            <v>10497752.420000002</v>
          </cell>
        </row>
        <row r="38">
          <cell r="A38" t="str">
            <v>93650</v>
          </cell>
          <cell r="B38">
            <v>2358279.0499999998</v>
          </cell>
          <cell r="C38">
            <v>1683877.04</v>
          </cell>
          <cell r="D38">
            <v>2202545.4700000002</v>
          </cell>
          <cell r="E38">
            <v>2226436.61</v>
          </cell>
          <cell r="F38">
            <v>1716917.06</v>
          </cell>
          <cell r="G38">
            <v>3140712.33</v>
          </cell>
          <cell r="H38">
            <v>2456515.4700000002</v>
          </cell>
          <cell r="I38">
            <v>2209956.81</v>
          </cell>
          <cell r="J38">
            <v>5419539.0000000019</v>
          </cell>
          <cell r="O38" t="str">
            <v>93650</v>
          </cell>
          <cell r="P38">
            <v>2358279.0499999998</v>
          </cell>
          <cell r="Q38">
            <v>4042156.09</v>
          </cell>
          <cell r="R38">
            <v>6244701.5600000005</v>
          </cell>
          <cell r="S38">
            <v>8471138.1699999999</v>
          </cell>
          <cell r="T38">
            <v>10188055.23</v>
          </cell>
          <cell r="U38">
            <v>13328767.560000001</v>
          </cell>
          <cell r="V38">
            <v>15785283.030000001</v>
          </cell>
          <cell r="W38">
            <v>17995239.84</v>
          </cell>
          <cell r="X38">
            <v>23414778.840000004</v>
          </cell>
          <cell r="Y38">
            <v>23414778.840000004</v>
          </cell>
          <cell r="Z38">
            <v>23414778.840000004</v>
          </cell>
          <cell r="AA38">
            <v>23414778.840000004</v>
          </cell>
        </row>
        <row r="39">
          <cell r="A39" t="str">
            <v>93700</v>
          </cell>
          <cell r="B39">
            <v>727319.35</v>
          </cell>
          <cell r="C39">
            <v>438319.41</v>
          </cell>
          <cell r="D39">
            <v>780954.1</v>
          </cell>
          <cell r="E39">
            <v>671152.48</v>
          </cell>
          <cell r="F39">
            <v>670773.32999999996</v>
          </cell>
          <cell r="G39">
            <v>669424.89</v>
          </cell>
          <cell r="H39">
            <v>532002.03</v>
          </cell>
          <cell r="I39">
            <v>598141.31000000006</v>
          </cell>
          <cell r="J39">
            <v>678485.71</v>
          </cell>
          <cell r="O39" t="str">
            <v>93700</v>
          </cell>
          <cell r="P39">
            <v>727319.35</v>
          </cell>
          <cell r="Q39">
            <v>1165638.76</v>
          </cell>
          <cell r="R39">
            <v>1946592.8599999999</v>
          </cell>
          <cell r="S39">
            <v>2617745.34</v>
          </cell>
          <cell r="T39">
            <v>3288518.67</v>
          </cell>
          <cell r="U39">
            <v>3957943.56</v>
          </cell>
          <cell r="V39">
            <v>4489945.59</v>
          </cell>
          <cell r="W39">
            <v>5088086.9000000004</v>
          </cell>
          <cell r="X39">
            <v>5766572.6100000003</v>
          </cell>
          <cell r="Y39">
            <v>5766572.6100000003</v>
          </cell>
          <cell r="Z39">
            <v>5766572.6100000003</v>
          </cell>
          <cell r="AA39">
            <v>5766572.6100000003</v>
          </cell>
        </row>
        <row r="40">
          <cell r="A40" t="str">
            <v>93750</v>
          </cell>
          <cell r="B40">
            <v>1111973.77</v>
          </cell>
          <cell r="C40">
            <v>1498143.25</v>
          </cell>
          <cell r="D40">
            <v>999781.04</v>
          </cell>
          <cell r="E40">
            <v>1300780.54</v>
          </cell>
          <cell r="F40">
            <v>1240287.68</v>
          </cell>
          <cell r="G40">
            <v>1044857.09</v>
          </cell>
          <cell r="H40">
            <v>944630.37</v>
          </cell>
          <cell r="I40">
            <v>1405966.99</v>
          </cell>
          <cell r="J40">
            <v>1240348.3400000001</v>
          </cell>
          <cell r="O40" t="str">
            <v>93750</v>
          </cell>
          <cell r="P40">
            <v>1111973.77</v>
          </cell>
          <cell r="Q40">
            <v>2610117.02</v>
          </cell>
          <cell r="R40">
            <v>3609898.06</v>
          </cell>
          <cell r="S40">
            <v>4910678.5999999996</v>
          </cell>
          <cell r="T40">
            <v>6150966.2799999993</v>
          </cell>
          <cell r="U40">
            <v>7195823.3699999992</v>
          </cell>
          <cell r="V40">
            <v>8140453.7399999993</v>
          </cell>
          <cell r="W40">
            <v>9546420.7299999986</v>
          </cell>
          <cell r="X40">
            <v>10786769.069999998</v>
          </cell>
          <cell r="Y40">
            <v>10786769.069999998</v>
          </cell>
          <cell r="Z40">
            <v>10786769.069999998</v>
          </cell>
          <cell r="AA40">
            <v>10786769.069999998</v>
          </cell>
        </row>
        <row r="41">
          <cell r="A41" t="str">
            <v>93755</v>
          </cell>
          <cell r="E41">
            <v>511881.91</v>
          </cell>
          <cell r="F41">
            <v>368461.5</v>
          </cell>
          <cell r="G41">
            <v>360739.09</v>
          </cell>
          <cell r="H41">
            <v>307714.59999999998</v>
          </cell>
          <cell r="I41">
            <v>450936.79</v>
          </cell>
          <cell r="J41">
            <v>539852.43000000005</v>
          </cell>
          <cell r="O41" t="str">
            <v>93755</v>
          </cell>
          <cell r="P41">
            <v>0</v>
          </cell>
          <cell r="Q41">
            <v>0</v>
          </cell>
          <cell r="R41">
            <v>0</v>
          </cell>
          <cell r="S41">
            <v>511881.91</v>
          </cell>
          <cell r="T41">
            <v>880343.40999999992</v>
          </cell>
          <cell r="U41">
            <v>1241082.5</v>
          </cell>
          <cell r="V41">
            <v>1548797.1</v>
          </cell>
          <cell r="W41">
            <v>1999733.8900000001</v>
          </cell>
          <cell r="X41">
            <v>2539586.3200000003</v>
          </cell>
          <cell r="Y41">
            <v>2539586.3200000003</v>
          </cell>
          <cell r="Z41">
            <v>2539586.3200000003</v>
          </cell>
          <cell r="AA41">
            <v>2539586.3200000003</v>
          </cell>
        </row>
        <row r="42">
          <cell r="A42" t="str">
            <v>93800</v>
          </cell>
          <cell r="B42">
            <v>572866.98</v>
          </cell>
          <cell r="C42">
            <v>1369316.31</v>
          </cell>
          <cell r="D42">
            <v>758405.56</v>
          </cell>
          <cell r="E42">
            <v>1106107.7</v>
          </cell>
          <cell r="F42">
            <v>638145.28000000003</v>
          </cell>
          <cell r="G42">
            <v>715703.27</v>
          </cell>
          <cell r="H42">
            <v>474723</v>
          </cell>
          <cell r="I42">
            <v>821912.5</v>
          </cell>
          <cell r="J42">
            <v>598235.06000000006</v>
          </cell>
          <cell r="O42" t="str">
            <v>93800</v>
          </cell>
          <cell r="P42">
            <v>572866.98</v>
          </cell>
          <cell r="Q42">
            <v>1942183.29</v>
          </cell>
          <cell r="R42">
            <v>2700588.85</v>
          </cell>
          <cell r="S42">
            <v>3806696.55</v>
          </cell>
          <cell r="T42">
            <v>4444841.83</v>
          </cell>
          <cell r="U42">
            <v>5160545.0999999996</v>
          </cell>
          <cell r="V42">
            <v>5635268.0999999996</v>
          </cell>
          <cell r="W42">
            <v>6457180.5999999996</v>
          </cell>
          <cell r="X42">
            <v>7055415.6600000001</v>
          </cell>
          <cell r="Y42">
            <v>7055415.6600000001</v>
          </cell>
          <cell r="Z42">
            <v>7055415.6600000001</v>
          </cell>
          <cell r="AA42">
            <v>7055415.6600000001</v>
          </cell>
        </row>
        <row r="43">
          <cell r="A43" t="str">
            <v>93850</v>
          </cell>
          <cell r="B43">
            <v>759733.8</v>
          </cell>
          <cell r="C43">
            <v>800381.13</v>
          </cell>
          <cell r="D43">
            <v>750862.33</v>
          </cell>
          <cell r="E43">
            <v>645342.57999999996</v>
          </cell>
          <cell r="F43">
            <v>740134.77</v>
          </cell>
          <cell r="G43">
            <v>622517.11</v>
          </cell>
          <cell r="H43">
            <v>602597.02</v>
          </cell>
          <cell r="I43">
            <v>633334.91</v>
          </cell>
          <cell r="J43">
            <v>553335.21</v>
          </cell>
          <cell r="O43" t="str">
            <v>93850</v>
          </cell>
          <cell r="P43">
            <v>759733.8</v>
          </cell>
          <cell r="Q43">
            <v>1560114.9300000002</v>
          </cell>
          <cell r="R43">
            <v>2310977.2600000002</v>
          </cell>
          <cell r="S43">
            <v>2956319.8400000003</v>
          </cell>
          <cell r="T43">
            <v>3696454.6100000003</v>
          </cell>
          <cell r="U43">
            <v>4318971.7200000007</v>
          </cell>
          <cell r="V43">
            <v>4921568.74</v>
          </cell>
          <cell r="W43">
            <v>5554903.6500000004</v>
          </cell>
          <cell r="X43">
            <v>6108238.8600000003</v>
          </cell>
          <cell r="Y43">
            <v>6108238.8600000003</v>
          </cell>
          <cell r="Z43">
            <v>6108238.8600000003</v>
          </cell>
          <cell r="AA43">
            <v>6108238.8600000003</v>
          </cell>
        </row>
        <row r="44">
          <cell r="A44" t="str">
            <v>93900</v>
          </cell>
          <cell r="B44">
            <v>197200.52</v>
          </cell>
          <cell r="C44">
            <v>149903.72</v>
          </cell>
          <cell r="D44">
            <v>139839.48000000001</v>
          </cell>
          <cell r="E44">
            <v>172218.21</v>
          </cell>
          <cell r="F44">
            <v>196478.18</v>
          </cell>
          <cell r="G44">
            <v>168157.74</v>
          </cell>
          <cell r="H44">
            <v>184461.13</v>
          </cell>
          <cell r="I44">
            <v>183368.55</v>
          </cell>
          <cell r="J44">
            <v>102828.86</v>
          </cell>
          <cell r="O44" t="str">
            <v>93900</v>
          </cell>
          <cell r="P44">
            <v>197200.52</v>
          </cell>
          <cell r="Q44">
            <v>347104.24</v>
          </cell>
          <cell r="R44">
            <v>486943.72</v>
          </cell>
          <cell r="S44">
            <v>659161.92999999993</v>
          </cell>
          <cell r="T44">
            <v>855640.10999999987</v>
          </cell>
          <cell r="U44">
            <v>1023797.8499999999</v>
          </cell>
          <cell r="V44">
            <v>1208258.98</v>
          </cell>
          <cell r="W44">
            <v>1391627.53</v>
          </cell>
          <cell r="X44">
            <v>1494456.3900000001</v>
          </cell>
          <cell r="Y44">
            <v>1494456.3900000001</v>
          </cell>
          <cell r="Z44">
            <v>1494456.3900000001</v>
          </cell>
          <cell r="AA44">
            <v>1494456.3900000001</v>
          </cell>
        </row>
        <row r="45">
          <cell r="A45" t="str">
            <v>93910</v>
          </cell>
          <cell r="B45">
            <v>463042.39</v>
          </cell>
          <cell r="C45">
            <v>739315.9</v>
          </cell>
          <cell r="D45">
            <v>624629.06000000006</v>
          </cell>
          <cell r="E45">
            <v>515284.52</v>
          </cell>
          <cell r="F45">
            <v>647018.17000000004</v>
          </cell>
          <cell r="G45">
            <v>701803.98</v>
          </cell>
          <cell r="H45">
            <v>607567.79</v>
          </cell>
          <cell r="I45">
            <v>596272.54</v>
          </cell>
          <cell r="J45">
            <v>510434.79</v>
          </cell>
          <cell r="O45" t="str">
            <v>93910</v>
          </cell>
          <cell r="P45">
            <v>463042.39</v>
          </cell>
          <cell r="Q45">
            <v>1202358.29</v>
          </cell>
          <cell r="R45">
            <v>1826987.35</v>
          </cell>
          <cell r="S45">
            <v>2342271.87</v>
          </cell>
          <cell r="T45">
            <v>2989290.04</v>
          </cell>
          <cell r="U45">
            <v>3691094.02</v>
          </cell>
          <cell r="V45">
            <v>4298661.8100000005</v>
          </cell>
          <cell r="W45">
            <v>4894934.3500000006</v>
          </cell>
          <cell r="X45">
            <v>5405369.1400000006</v>
          </cell>
          <cell r="Y45">
            <v>5405369.1400000006</v>
          </cell>
          <cell r="Z45">
            <v>5405369.1400000006</v>
          </cell>
          <cell r="AA45">
            <v>5405369.1400000006</v>
          </cell>
        </row>
        <row r="46">
          <cell r="A46" t="str">
            <v>93920</v>
          </cell>
          <cell r="B46">
            <v>1083120.26</v>
          </cell>
          <cell r="C46">
            <v>375386.28</v>
          </cell>
          <cell r="D46">
            <v>227947.08</v>
          </cell>
          <cell r="E46">
            <v>682570.17</v>
          </cell>
          <cell r="F46">
            <v>622381.71</v>
          </cell>
          <cell r="G46">
            <v>587426.86</v>
          </cell>
          <cell r="H46">
            <v>1097771.8500000001</v>
          </cell>
          <cell r="I46">
            <v>557018.4</v>
          </cell>
          <cell r="J46">
            <v>1241134.95</v>
          </cell>
          <cell r="O46" t="str">
            <v>93920</v>
          </cell>
          <cell r="P46">
            <v>1083120.26</v>
          </cell>
          <cell r="Q46">
            <v>1458506.54</v>
          </cell>
          <cell r="R46">
            <v>1686453.62</v>
          </cell>
          <cell r="S46">
            <v>2369023.79</v>
          </cell>
          <cell r="T46">
            <v>2991405.5</v>
          </cell>
          <cell r="U46">
            <v>3578832.36</v>
          </cell>
          <cell r="V46">
            <v>4676604.21</v>
          </cell>
          <cell r="W46">
            <v>5233622.6100000003</v>
          </cell>
          <cell r="X46">
            <v>6474757.5600000005</v>
          </cell>
          <cell r="Y46">
            <v>6474757.5600000005</v>
          </cell>
          <cell r="Z46">
            <v>6474757.5600000005</v>
          </cell>
          <cell r="AA46">
            <v>6474757.5600000005</v>
          </cell>
        </row>
        <row r="47">
          <cell r="A47" t="str">
            <v>93930</v>
          </cell>
          <cell r="B47">
            <v>503253.07</v>
          </cell>
          <cell r="C47">
            <v>649279.89</v>
          </cell>
          <cell r="D47">
            <v>173137.34</v>
          </cell>
          <cell r="E47">
            <v>723989.02</v>
          </cell>
          <cell r="F47">
            <v>392686.9</v>
          </cell>
          <cell r="G47">
            <v>581295.93999999994</v>
          </cell>
          <cell r="H47">
            <v>565798.24</v>
          </cell>
          <cell r="I47">
            <v>501445.91</v>
          </cell>
          <cell r="J47">
            <v>572687</v>
          </cell>
          <cell r="O47" t="str">
            <v>93930</v>
          </cell>
          <cell r="P47">
            <v>503253.07</v>
          </cell>
          <cell r="Q47">
            <v>1152532.96</v>
          </cell>
          <cell r="R47">
            <v>1325670.3</v>
          </cell>
          <cell r="S47">
            <v>2049659.32</v>
          </cell>
          <cell r="T47">
            <v>2442346.2200000002</v>
          </cell>
          <cell r="U47">
            <v>3023642.16</v>
          </cell>
          <cell r="V47">
            <v>3589440.4000000004</v>
          </cell>
          <cell r="W47">
            <v>4090886.3100000005</v>
          </cell>
          <cell r="X47">
            <v>4663573.3100000005</v>
          </cell>
          <cell r="Y47">
            <v>4663573.3100000005</v>
          </cell>
          <cell r="Z47">
            <v>4663573.3100000005</v>
          </cell>
          <cell r="AA47">
            <v>4663573.3100000005</v>
          </cell>
        </row>
        <row r="48">
          <cell r="A48" t="str">
            <v>93940</v>
          </cell>
          <cell r="B48">
            <v>252585.82</v>
          </cell>
          <cell r="C48">
            <v>411386.43</v>
          </cell>
          <cell r="D48">
            <v>258155.07</v>
          </cell>
          <cell r="E48">
            <v>292729.99</v>
          </cell>
          <cell r="F48">
            <v>345405.52</v>
          </cell>
          <cell r="G48">
            <v>333705.39</v>
          </cell>
          <cell r="H48">
            <v>274337.63</v>
          </cell>
          <cell r="I48">
            <v>295643.25</v>
          </cell>
          <cell r="J48">
            <v>308278.09000000003</v>
          </cell>
          <cell r="O48" t="str">
            <v>93940</v>
          </cell>
          <cell r="P48">
            <v>252585.82</v>
          </cell>
          <cell r="Q48">
            <v>663972.25</v>
          </cell>
          <cell r="R48">
            <v>922127.32000000007</v>
          </cell>
          <cell r="S48">
            <v>1214857.31</v>
          </cell>
          <cell r="T48">
            <v>1560262.83</v>
          </cell>
          <cell r="U48">
            <v>1893968.2200000002</v>
          </cell>
          <cell r="V48">
            <v>2168305.85</v>
          </cell>
          <cell r="W48">
            <v>2463949.1</v>
          </cell>
          <cell r="X48">
            <v>2772227.19</v>
          </cell>
          <cell r="Y48">
            <v>2772227.19</v>
          </cell>
          <cell r="Z48">
            <v>2772227.19</v>
          </cell>
          <cell r="AA48">
            <v>2772227.19</v>
          </cell>
        </row>
        <row r="49">
          <cell r="A49" t="str">
            <v>93950</v>
          </cell>
          <cell r="B49">
            <v>538864.72</v>
          </cell>
          <cell r="C49">
            <v>456766.91</v>
          </cell>
          <cell r="D49">
            <v>678204.88</v>
          </cell>
          <cell r="E49">
            <v>262510.24</v>
          </cell>
          <cell r="F49">
            <v>240521.89</v>
          </cell>
          <cell r="G49">
            <v>375490.56</v>
          </cell>
          <cell r="H49">
            <v>374488.03</v>
          </cell>
          <cell r="I49">
            <v>434291.88</v>
          </cell>
          <cell r="J49">
            <v>327398.58</v>
          </cell>
          <cell r="O49" t="str">
            <v>93950</v>
          </cell>
          <cell r="P49">
            <v>538864.72</v>
          </cell>
          <cell r="Q49">
            <v>995631.62999999989</v>
          </cell>
          <cell r="R49">
            <v>1673836.5099999998</v>
          </cell>
          <cell r="S49">
            <v>1936346.7499999998</v>
          </cell>
          <cell r="T49">
            <v>2176868.6399999997</v>
          </cell>
          <cell r="U49">
            <v>2552359.1999999997</v>
          </cell>
          <cell r="V49">
            <v>2926847.2299999995</v>
          </cell>
          <cell r="W49">
            <v>3361139.1099999994</v>
          </cell>
          <cell r="X49">
            <v>3688537.6899999995</v>
          </cell>
          <cell r="Y49">
            <v>3688537.6899999995</v>
          </cell>
          <cell r="Z49">
            <v>3688537.6899999995</v>
          </cell>
          <cell r="AA49">
            <v>3688537.6899999995</v>
          </cell>
        </row>
        <row r="50">
          <cell r="A50" t="str">
            <v>92345</v>
          </cell>
          <cell r="J50">
            <v>10595</v>
          </cell>
          <cell r="O50" t="str">
            <v>92345</v>
          </cell>
          <cell r="P50">
            <v>0</v>
          </cell>
          <cell r="Q50">
            <v>0</v>
          </cell>
          <cell r="R50">
            <v>0</v>
          </cell>
          <cell r="S50">
            <v>0</v>
          </cell>
          <cell r="T50">
            <v>0</v>
          </cell>
          <cell r="U50">
            <v>0</v>
          </cell>
          <cell r="V50">
            <v>0</v>
          </cell>
          <cell r="W50">
            <v>0</v>
          </cell>
          <cell r="X50">
            <v>10595</v>
          </cell>
          <cell r="Y50">
            <v>10595</v>
          </cell>
          <cell r="Z50">
            <v>10595</v>
          </cell>
          <cell r="AA50">
            <v>10595</v>
          </cell>
        </row>
        <row r="51">
          <cell r="A51" t="str">
            <v>92356</v>
          </cell>
          <cell r="I51">
            <v>2011.79</v>
          </cell>
          <cell r="J51">
            <v>-105.85</v>
          </cell>
          <cell r="O51" t="str">
            <v>92356</v>
          </cell>
          <cell r="P51">
            <v>0</v>
          </cell>
          <cell r="Q51">
            <v>0</v>
          </cell>
          <cell r="R51">
            <v>0</v>
          </cell>
          <cell r="S51">
            <v>0</v>
          </cell>
          <cell r="T51">
            <v>0</v>
          </cell>
          <cell r="U51">
            <v>0</v>
          </cell>
          <cell r="V51">
            <v>0</v>
          </cell>
          <cell r="W51">
            <v>2011.79</v>
          </cell>
          <cell r="X51">
            <v>1905.94</v>
          </cell>
          <cell r="Y51">
            <v>1905.94</v>
          </cell>
          <cell r="Z51">
            <v>1905.94</v>
          </cell>
          <cell r="AA51">
            <v>1905.94</v>
          </cell>
        </row>
        <row r="52">
          <cell r="A52" t="str">
            <v>92394</v>
          </cell>
          <cell r="J52">
            <v>2261.09</v>
          </cell>
          <cell r="O52" t="str">
            <v>92394</v>
          </cell>
          <cell r="P52">
            <v>0</v>
          </cell>
          <cell r="Q52">
            <v>0</v>
          </cell>
          <cell r="R52">
            <v>0</v>
          </cell>
          <cell r="S52">
            <v>0</v>
          </cell>
          <cell r="T52">
            <v>0</v>
          </cell>
          <cell r="U52">
            <v>0</v>
          </cell>
          <cell r="V52">
            <v>0</v>
          </cell>
          <cell r="W52">
            <v>0</v>
          </cell>
          <cell r="X52">
            <v>2261.09</v>
          </cell>
          <cell r="Y52">
            <v>2261.09</v>
          </cell>
          <cell r="Z52">
            <v>2261.09</v>
          </cell>
          <cell r="AA52">
            <v>2261.09</v>
          </cell>
        </row>
        <row r="53">
          <cell r="O53" t="str">
            <v>Totalt</v>
          </cell>
          <cell r="P53">
            <v>15158173.500000002</v>
          </cell>
          <cell r="Q53">
            <v>30240132.810000002</v>
          </cell>
          <cell r="R53">
            <v>44023400.440000005</v>
          </cell>
          <cell r="S53">
            <v>60007732.700000003</v>
          </cell>
          <cell r="T53">
            <v>74873996.210000008</v>
          </cell>
          <cell r="U53">
            <v>92908293.300000012</v>
          </cell>
          <cell r="V53">
            <v>107912361.93000001</v>
          </cell>
          <cell r="W53">
            <v>123948291.04000001</v>
          </cell>
          <cell r="X53">
            <v>143766527.56</v>
          </cell>
          <cell r="Y53">
            <v>143766527.56</v>
          </cell>
          <cell r="Z53">
            <v>143766527.56</v>
          </cell>
          <cell r="AA53">
            <v>143766527.56</v>
          </cell>
        </row>
        <row r="54">
          <cell r="O54">
            <v>0</v>
          </cell>
          <cell r="P54">
            <v>0</v>
          </cell>
          <cell r="Q54">
            <v>0</v>
          </cell>
          <cell r="R54">
            <v>0</v>
          </cell>
          <cell r="S54">
            <v>0</v>
          </cell>
          <cell r="T54">
            <v>0</v>
          </cell>
          <cell r="U54">
            <v>0</v>
          </cell>
          <cell r="V54">
            <v>0</v>
          </cell>
          <cell r="W54">
            <v>0</v>
          </cell>
          <cell r="X54">
            <v>0</v>
          </cell>
          <cell r="Y54">
            <v>0</v>
          </cell>
          <cell r="Z54">
            <v>0</v>
          </cell>
          <cell r="AA54">
            <v>0</v>
          </cell>
        </row>
        <row r="55">
          <cell r="O55">
            <v>0</v>
          </cell>
          <cell r="P55">
            <v>0</v>
          </cell>
          <cell r="Q55">
            <v>0</v>
          </cell>
          <cell r="R55">
            <v>0</v>
          </cell>
          <cell r="S55">
            <v>0</v>
          </cell>
          <cell r="T55">
            <v>0</v>
          </cell>
          <cell r="U55">
            <v>0</v>
          </cell>
          <cell r="V55">
            <v>0</v>
          </cell>
          <cell r="W55">
            <v>0</v>
          </cell>
          <cell r="X55">
            <v>0</v>
          </cell>
          <cell r="Y55">
            <v>0</v>
          </cell>
          <cell r="Z55">
            <v>0</v>
          </cell>
          <cell r="AA55">
            <v>0</v>
          </cell>
        </row>
        <row r="56">
          <cell r="O56">
            <v>0</v>
          </cell>
          <cell r="P56">
            <v>0</v>
          </cell>
          <cell r="Q56">
            <v>0</v>
          </cell>
          <cell r="R56">
            <v>0</v>
          </cell>
          <cell r="S56">
            <v>0</v>
          </cell>
          <cell r="T56">
            <v>0</v>
          </cell>
          <cell r="U56">
            <v>0</v>
          </cell>
          <cell r="V56">
            <v>0</v>
          </cell>
          <cell r="W56">
            <v>0</v>
          </cell>
          <cell r="X56">
            <v>0</v>
          </cell>
          <cell r="Y56">
            <v>0</v>
          </cell>
          <cell r="Z56">
            <v>0</v>
          </cell>
          <cell r="AA56">
            <v>0</v>
          </cell>
        </row>
        <row r="57">
          <cell r="O57">
            <v>0</v>
          </cell>
          <cell r="P57">
            <v>0</v>
          </cell>
          <cell r="Q57">
            <v>0</v>
          </cell>
          <cell r="R57">
            <v>0</v>
          </cell>
          <cell r="S57">
            <v>0</v>
          </cell>
          <cell r="T57">
            <v>0</v>
          </cell>
          <cell r="U57">
            <v>0</v>
          </cell>
          <cell r="V57">
            <v>0</v>
          </cell>
          <cell r="W57">
            <v>0</v>
          </cell>
          <cell r="X57">
            <v>0</v>
          </cell>
          <cell r="Y57">
            <v>0</v>
          </cell>
          <cell r="Z57">
            <v>0</v>
          </cell>
          <cell r="AA57">
            <v>0</v>
          </cell>
        </row>
        <row r="58">
          <cell r="O58">
            <v>0</v>
          </cell>
          <cell r="P58">
            <v>0</v>
          </cell>
          <cell r="Q58">
            <v>0</v>
          </cell>
          <cell r="R58">
            <v>0</v>
          </cell>
          <cell r="S58">
            <v>0</v>
          </cell>
          <cell r="T58">
            <v>0</v>
          </cell>
          <cell r="U58">
            <v>0</v>
          </cell>
          <cell r="V58">
            <v>0</v>
          </cell>
          <cell r="W58">
            <v>0</v>
          </cell>
          <cell r="X58">
            <v>0</v>
          </cell>
          <cell r="Y58">
            <v>0</v>
          </cell>
          <cell r="Z58">
            <v>0</v>
          </cell>
          <cell r="AA58">
            <v>0</v>
          </cell>
        </row>
        <row r="59">
          <cell r="O59">
            <v>0</v>
          </cell>
          <cell r="P59">
            <v>0</v>
          </cell>
          <cell r="Q59">
            <v>0</v>
          </cell>
          <cell r="R59">
            <v>0</v>
          </cell>
          <cell r="S59">
            <v>0</v>
          </cell>
          <cell r="T59">
            <v>0</v>
          </cell>
          <cell r="U59">
            <v>0</v>
          </cell>
          <cell r="V59">
            <v>0</v>
          </cell>
          <cell r="W59">
            <v>0</v>
          </cell>
          <cell r="X59">
            <v>0</v>
          </cell>
          <cell r="Y59">
            <v>0</v>
          </cell>
          <cell r="Z59">
            <v>0</v>
          </cell>
          <cell r="AA59">
            <v>0</v>
          </cell>
        </row>
      </sheetData>
      <sheetData sheetId="12">
        <row r="8">
          <cell r="O8">
            <v>0</v>
          </cell>
          <cell r="P8">
            <v>-3253058.74</v>
          </cell>
          <cell r="Q8">
            <v>-6804979.9000000004</v>
          </cell>
          <cell r="R8">
            <v>-5587279.3100000005</v>
          </cell>
          <cell r="S8">
            <v>-4555082.0100000007</v>
          </cell>
          <cell r="T8">
            <v>-4029511.3200000008</v>
          </cell>
          <cell r="U8">
            <v>-1975689.6800000009</v>
          </cell>
          <cell r="V8">
            <v>-1862725.9000000008</v>
          </cell>
          <cell r="W8">
            <v>-801891.48000000091</v>
          </cell>
          <cell r="X8">
            <v>-226879.35000000149</v>
          </cell>
          <cell r="Y8">
            <v>-226879.35000000149</v>
          </cell>
          <cell r="Z8">
            <v>-226879.35000000149</v>
          </cell>
          <cell r="AA8">
            <v>-226879.35000000149</v>
          </cell>
        </row>
        <row r="9">
          <cell r="A9" t="str">
            <v>1000</v>
          </cell>
          <cell r="C9">
            <v>10734.55</v>
          </cell>
          <cell r="D9">
            <v>99372.68</v>
          </cell>
          <cell r="E9">
            <v>105783.9</v>
          </cell>
          <cell r="F9">
            <v>1945.82</v>
          </cell>
          <cell r="G9">
            <v>105987.06</v>
          </cell>
          <cell r="H9">
            <v>310557.03000000003</v>
          </cell>
          <cell r="I9">
            <v>30048.79</v>
          </cell>
          <cell r="J9">
            <v>69861.3</v>
          </cell>
          <cell r="O9" t="str">
            <v>1000</v>
          </cell>
          <cell r="P9">
            <v>0</v>
          </cell>
          <cell r="Q9">
            <v>10734.55</v>
          </cell>
          <cell r="R9">
            <v>110107.23</v>
          </cell>
          <cell r="S9">
            <v>215891.13</v>
          </cell>
          <cell r="T9">
            <v>217836.95</v>
          </cell>
          <cell r="U9">
            <v>323824.01</v>
          </cell>
          <cell r="V9">
            <v>634381.04</v>
          </cell>
          <cell r="W9">
            <v>664429.83000000007</v>
          </cell>
          <cell r="X9">
            <v>734291.13000000012</v>
          </cell>
          <cell r="Y9">
            <v>734291.13000000012</v>
          </cell>
          <cell r="Z9">
            <v>734291.13000000012</v>
          </cell>
          <cell r="AA9">
            <v>734291.13000000012</v>
          </cell>
        </row>
        <row r="10">
          <cell r="A10" t="str">
            <v>1001</v>
          </cell>
          <cell r="C10">
            <v>783</v>
          </cell>
          <cell r="D10">
            <v>13757.66</v>
          </cell>
          <cell r="E10">
            <v>980.31</v>
          </cell>
          <cell r="G10">
            <v>6624.6</v>
          </cell>
          <cell r="H10">
            <v>9402.5</v>
          </cell>
          <cell r="J10">
            <v>4466.13</v>
          </cell>
          <cell r="O10" t="str">
            <v>1001</v>
          </cell>
          <cell r="P10">
            <v>0</v>
          </cell>
          <cell r="Q10">
            <v>783</v>
          </cell>
          <cell r="R10">
            <v>14540.66</v>
          </cell>
          <cell r="S10">
            <v>15520.97</v>
          </cell>
          <cell r="T10">
            <v>15520.97</v>
          </cell>
          <cell r="U10">
            <v>22145.57</v>
          </cell>
          <cell r="V10">
            <v>31548.07</v>
          </cell>
          <cell r="W10">
            <v>31548.07</v>
          </cell>
          <cell r="X10">
            <v>36014.199999999997</v>
          </cell>
          <cell r="Y10">
            <v>36014.199999999997</v>
          </cell>
          <cell r="Z10">
            <v>36014.199999999997</v>
          </cell>
          <cell r="AA10">
            <v>36014.199999999997</v>
          </cell>
        </row>
        <row r="11">
          <cell r="A11" t="str">
            <v>1003</v>
          </cell>
          <cell r="B11">
            <v>7252.82</v>
          </cell>
          <cell r="C11">
            <v>11719.36</v>
          </cell>
          <cell r="H11">
            <v>16566.939999999999</v>
          </cell>
          <cell r="O11" t="str">
            <v>1003</v>
          </cell>
          <cell r="P11">
            <v>7252.82</v>
          </cell>
          <cell r="Q11">
            <v>18972.18</v>
          </cell>
          <cell r="R11">
            <v>18972.18</v>
          </cell>
          <cell r="S11">
            <v>18972.18</v>
          </cell>
          <cell r="T11">
            <v>18972.18</v>
          </cell>
          <cell r="U11">
            <v>18972.18</v>
          </cell>
          <cell r="V11">
            <v>35539.119999999995</v>
          </cell>
          <cell r="W11">
            <v>35539.119999999995</v>
          </cell>
          <cell r="X11">
            <v>35539.119999999995</v>
          </cell>
          <cell r="Y11">
            <v>35539.119999999995</v>
          </cell>
          <cell r="Z11">
            <v>35539.119999999995</v>
          </cell>
          <cell r="AA11">
            <v>35539.119999999995</v>
          </cell>
        </row>
        <row r="12">
          <cell r="A12" t="str">
            <v>1004</v>
          </cell>
          <cell r="B12">
            <v>125256.69</v>
          </cell>
          <cell r="C12">
            <v>152568.29</v>
          </cell>
          <cell r="D12">
            <v>254694.15</v>
          </cell>
          <cell r="E12">
            <v>255796.06</v>
          </cell>
          <cell r="F12">
            <v>373843.05</v>
          </cell>
          <cell r="G12">
            <v>218222.04</v>
          </cell>
          <cell r="H12">
            <v>193944.73</v>
          </cell>
          <cell r="I12">
            <v>230540.95</v>
          </cell>
          <cell r="J12">
            <v>231949.71</v>
          </cell>
          <cell r="O12" t="str">
            <v>1004</v>
          </cell>
          <cell r="P12">
            <v>125256.69</v>
          </cell>
          <cell r="Q12">
            <v>277824.98</v>
          </cell>
          <cell r="R12">
            <v>532519.13</v>
          </cell>
          <cell r="S12">
            <v>788315.19</v>
          </cell>
          <cell r="T12">
            <v>1162158.24</v>
          </cell>
          <cell r="U12">
            <v>1380380.28</v>
          </cell>
          <cell r="V12">
            <v>1574325.01</v>
          </cell>
          <cell r="W12">
            <v>1804865.96</v>
          </cell>
          <cell r="X12">
            <v>2036815.67</v>
          </cell>
          <cell r="Y12">
            <v>2036815.67</v>
          </cell>
          <cell r="Z12">
            <v>2036815.67</v>
          </cell>
          <cell r="AA12">
            <v>2036815.67</v>
          </cell>
        </row>
        <row r="13">
          <cell r="A13" t="str">
            <v>1005</v>
          </cell>
          <cell r="C13">
            <v>70422.179999999993</v>
          </cell>
          <cell r="E13">
            <v>0</v>
          </cell>
          <cell r="O13" t="str">
            <v>1005</v>
          </cell>
          <cell r="P13">
            <v>0</v>
          </cell>
          <cell r="Q13">
            <v>70422.179999999993</v>
          </cell>
          <cell r="R13">
            <v>70422.179999999993</v>
          </cell>
          <cell r="S13">
            <v>70422.179999999993</v>
          </cell>
          <cell r="T13">
            <v>70422.179999999993</v>
          </cell>
          <cell r="U13">
            <v>70422.179999999993</v>
          </cell>
          <cell r="V13">
            <v>70422.179999999993</v>
          </cell>
          <cell r="W13">
            <v>70422.179999999993</v>
          </cell>
          <cell r="X13">
            <v>70422.179999999993</v>
          </cell>
          <cell r="Y13">
            <v>70422.179999999993</v>
          </cell>
          <cell r="Z13">
            <v>70422.179999999993</v>
          </cell>
          <cell r="AA13">
            <v>70422.179999999993</v>
          </cell>
        </row>
        <row r="14">
          <cell r="A14" t="str">
            <v>1006</v>
          </cell>
          <cell r="B14">
            <v>125329.58</v>
          </cell>
          <cell r="C14">
            <v>72683.47</v>
          </cell>
          <cell r="D14">
            <v>2657.66</v>
          </cell>
          <cell r="E14">
            <v>97391.8</v>
          </cell>
          <cell r="F14">
            <v>32741.93</v>
          </cell>
          <cell r="G14">
            <v>79330.53</v>
          </cell>
          <cell r="H14">
            <v>96612.89</v>
          </cell>
          <cell r="I14">
            <v>9633.06</v>
          </cell>
          <cell r="J14">
            <v>50100.41</v>
          </cell>
          <cell r="O14" t="str">
            <v>1006</v>
          </cell>
          <cell r="P14">
            <v>125329.58</v>
          </cell>
          <cell r="Q14">
            <v>198013.05</v>
          </cell>
          <cell r="R14">
            <v>200670.71</v>
          </cell>
          <cell r="S14">
            <v>298062.51</v>
          </cell>
          <cell r="T14">
            <v>330804.44</v>
          </cell>
          <cell r="U14">
            <v>410134.97</v>
          </cell>
          <cell r="V14">
            <v>506747.86</v>
          </cell>
          <cell r="W14">
            <v>516380.92</v>
          </cell>
          <cell r="X14">
            <v>566481.32999999996</v>
          </cell>
          <cell r="Y14">
            <v>566481.32999999996</v>
          </cell>
          <cell r="Z14">
            <v>566481.32999999996</v>
          </cell>
          <cell r="AA14">
            <v>566481.32999999996</v>
          </cell>
        </row>
        <row r="15">
          <cell r="A15" t="str">
            <v>1007</v>
          </cell>
          <cell r="C15">
            <v>93265.33</v>
          </cell>
          <cell r="D15">
            <v>104084.64</v>
          </cell>
          <cell r="F15">
            <v>67436.7</v>
          </cell>
          <cell r="H15">
            <v>6677.42</v>
          </cell>
          <cell r="J15">
            <v>71000.009999999995</v>
          </cell>
          <cell r="O15" t="str">
            <v>1007</v>
          </cell>
          <cell r="P15">
            <v>0</v>
          </cell>
          <cell r="Q15">
            <v>93265.33</v>
          </cell>
          <cell r="R15">
            <v>197349.97</v>
          </cell>
          <cell r="S15">
            <v>197349.97</v>
          </cell>
          <cell r="T15">
            <v>264786.67</v>
          </cell>
          <cell r="U15">
            <v>264786.67</v>
          </cell>
          <cell r="V15">
            <v>271464.08999999997</v>
          </cell>
          <cell r="W15">
            <v>271464.08999999997</v>
          </cell>
          <cell r="X15">
            <v>342464.1</v>
          </cell>
          <cell r="Y15">
            <v>342464.1</v>
          </cell>
          <cell r="Z15">
            <v>342464.1</v>
          </cell>
          <cell r="AA15">
            <v>342464.1</v>
          </cell>
        </row>
        <row r="16">
          <cell r="A16" t="str">
            <v>1008</v>
          </cell>
          <cell r="B16">
            <v>65075.49</v>
          </cell>
          <cell r="C16">
            <v>4339.5200000000004</v>
          </cell>
          <cell r="D16">
            <v>1577.82</v>
          </cell>
          <cell r="E16">
            <v>20674.13</v>
          </cell>
          <cell r="F16">
            <v>433.87</v>
          </cell>
          <cell r="G16">
            <v>1880.24</v>
          </cell>
          <cell r="H16">
            <v>51478.720000000001</v>
          </cell>
          <cell r="J16">
            <v>1446.37</v>
          </cell>
          <cell r="O16" t="str">
            <v>1008</v>
          </cell>
          <cell r="P16">
            <v>65075.49</v>
          </cell>
          <cell r="Q16">
            <v>69415.009999999995</v>
          </cell>
          <cell r="R16">
            <v>70992.83</v>
          </cell>
          <cell r="S16">
            <v>91666.96</v>
          </cell>
          <cell r="T16">
            <v>92100.83</v>
          </cell>
          <cell r="U16">
            <v>93981.07</v>
          </cell>
          <cell r="V16">
            <v>145459.79</v>
          </cell>
          <cell r="W16">
            <v>145459.79</v>
          </cell>
          <cell r="X16">
            <v>146906.16</v>
          </cell>
          <cell r="Y16">
            <v>146906.16</v>
          </cell>
          <cell r="Z16">
            <v>146906.16</v>
          </cell>
          <cell r="AA16">
            <v>146906.16</v>
          </cell>
        </row>
        <row r="17">
          <cell r="A17" t="str">
            <v>1012</v>
          </cell>
          <cell r="B17">
            <v>43359.92</v>
          </cell>
          <cell r="C17">
            <v>1703.22</v>
          </cell>
          <cell r="D17">
            <v>1883.87</v>
          </cell>
          <cell r="F17">
            <v>570.53</v>
          </cell>
          <cell r="H17">
            <v>465.56</v>
          </cell>
          <cell r="O17" t="str">
            <v>1012</v>
          </cell>
          <cell r="P17">
            <v>43359.92</v>
          </cell>
          <cell r="Q17">
            <v>45063.14</v>
          </cell>
          <cell r="R17">
            <v>46947.01</v>
          </cell>
          <cell r="S17">
            <v>46947.01</v>
          </cell>
          <cell r="T17">
            <v>47517.54</v>
          </cell>
          <cell r="U17">
            <v>47517.54</v>
          </cell>
          <cell r="V17">
            <v>47983.1</v>
          </cell>
          <cell r="W17">
            <v>47983.1</v>
          </cell>
          <cell r="X17">
            <v>47983.1</v>
          </cell>
          <cell r="Y17">
            <v>47983.1</v>
          </cell>
          <cell r="Z17">
            <v>47983.1</v>
          </cell>
          <cell r="AA17">
            <v>47983.1</v>
          </cell>
        </row>
        <row r="18">
          <cell r="A18" t="str">
            <v>1013</v>
          </cell>
          <cell r="C18">
            <v>3800</v>
          </cell>
          <cell r="D18">
            <v>10462.9</v>
          </cell>
          <cell r="E18">
            <v>13703.63</v>
          </cell>
          <cell r="F18">
            <v>13165.73</v>
          </cell>
          <cell r="G18">
            <v>3600</v>
          </cell>
          <cell r="H18">
            <v>1923.79</v>
          </cell>
          <cell r="O18" t="str">
            <v>1013</v>
          </cell>
          <cell r="P18">
            <v>0</v>
          </cell>
          <cell r="Q18">
            <v>3800</v>
          </cell>
          <cell r="R18">
            <v>14262.9</v>
          </cell>
          <cell r="S18">
            <v>27966.53</v>
          </cell>
          <cell r="T18">
            <v>41132.259999999995</v>
          </cell>
          <cell r="U18">
            <v>44732.259999999995</v>
          </cell>
          <cell r="V18">
            <v>46656.049999999996</v>
          </cell>
          <cell r="W18">
            <v>46656.049999999996</v>
          </cell>
          <cell r="X18">
            <v>46656.049999999996</v>
          </cell>
          <cell r="Y18">
            <v>46656.049999999996</v>
          </cell>
          <cell r="Z18">
            <v>46656.049999999996</v>
          </cell>
          <cell r="AA18">
            <v>46656.049999999996</v>
          </cell>
        </row>
        <row r="19">
          <cell r="A19" t="str">
            <v>1016</v>
          </cell>
          <cell r="D19">
            <v>3514.5</v>
          </cell>
          <cell r="O19" t="str">
            <v>1016</v>
          </cell>
          <cell r="P19">
            <v>0</v>
          </cell>
          <cell r="Q19">
            <v>0</v>
          </cell>
          <cell r="R19">
            <v>3514.5</v>
          </cell>
          <cell r="S19">
            <v>3514.5</v>
          </cell>
          <cell r="T19">
            <v>3514.5</v>
          </cell>
          <cell r="U19">
            <v>3514.5</v>
          </cell>
          <cell r="V19">
            <v>3514.5</v>
          </cell>
          <cell r="W19">
            <v>3514.5</v>
          </cell>
          <cell r="X19">
            <v>3514.5</v>
          </cell>
          <cell r="Y19">
            <v>3514.5</v>
          </cell>
          <cell r="Z19">
            <v>3514.5</v>
          </cell>
          <cell r="AA19">
            <v>3514.5</v>
          </cell>
        </row>
        <row r="20">
          <cell r="A20" t="str">
            <v>1017</v>
          </cell>
          <cell r="C20">
            <v>240346.37</v>
          </cell>
          <cell r="D20">
            <v>5232.26</v>
          </cell>
          <cell r="F20">
            <v>4409.68</v>
          </cell>
          <cell r="G20">
            <v>54895.97</v>
          </cell>
          <cell r="H20">
            <v>79080</v>
          </cell>
          <cell r="I20">
            <v>8561.69</v>
          </cell>
          <cell r="J20">
            <v>55701.61</v>
          </cell>
          <cell r="O20" t="str">
            <v>1017</v>
          </cell>
          <cell r="P20">
            <v>0</v>
          </cell>
          <cell r="Q20">
            <v>240346.37</v>
          </cell>
          <cell r="R20">
            <v>245578.63</v>
          </cell>
          <cell r="S20">
            <v>245578.63</v>
          </cell>
          <cell r="T20">
            <v>249988.31</v>
          </cell>
          <cell r="U20">
            <v>304884.28000000003</v>
          </cell>
          <cell r="V20">
            <v>383964.28</v>
          </cell>
          <cell r="W20">
            <v>392525.97000000003</v>
          </cell>
          <cell r="X20">
            <v>448227.58</v>
          </cell>
          <cell r="Y20">
            <v>448227.58</v>
          </cell>
          <cell r="Z20">
            <v>448227.58</v>
          </cell>
          <cell r="AA20">
            <v>448227.58</v>
          </cell>
        </row>
        <row r="21">
          <cell r="A21" t="str">
            <v>1020</v>
          </cell>
          <cell r="F21">
            <v>8747.98</v>
          </cell>
          <cell r="O21" t="str">
            <v>1020</v>
          </cell>
          <cell r="P21">
            <v>0</v>
          </cell>
          <cell r="Q21">
            <v>0</v>
          </cell>
          <cell r="R21">
            <v>0</v>
          </cell>
          <cell r="S21">
            <v>0</v>
          </cell>
          <cell r="T21">
            <v>8747.98</v>
          </cell>
          <cell r="U21">
            <v>8747.98</v>
          </cell>
          <cell r="V21">
            <v>8747.98</v>
          </cell>
          <cell r="W21">
            <v>8747.98</v>
          </cell>
          <cell r="X21">
            <v>8747.98</v>
          </cell>
          <cell r="Y21">
            <v>8747.98</v>
          </cell>
          <cell r="Z21">
            <v>8747.98</v>
          </cell>
          <cell r="AA21">
            <v>8747.98</v>
          </cell>
        </row>
        <row r="22">
          <cell r="A22" t="str">
            <v>1023</v>
          </cell>
          <cell r="B22">
            <v>186060.88</v>
          </cell>
          <cell r="C22">
            <v>273755.46999999997</v>
          </cell>
          <cell r="D22">
            <v>146726.29</v>
          </cell>
          <cell r="E22">
            <v>13760.05</v>
          </cell>
          <cell r="F22">
            <v>92150</v>
          </cell>
          <cell r="O22" t="str">
            <v>1023</v>
          </cell>
          <cell r="P22">
            <v>186060.88</v>
          </cell>
          <cell r="Q22">
            <v>459816.35</v>
          </cell>
          <cell r="R22">
            <v>606542.64</v>
          </cell>
          <cell r="S22">
            <v>620302.69000000006</v>
          </cell>
          <cell r="T22">
            <v>712452.69000000006</v>
          </cell>
          <cell r="U22">
            <v>712452.69000000006</v>
          </cell>
          <cell r="V22">
            <v>712452.69000000006</v>
          </cell>
          <cell r="W22">
            <v>712452.69000000006</v>
          </cell>
          <cell r="X22">
            <v>712452.69000000006</v>
          </cell>
          <cell r="Y22">
            <v>712452.69000000006</v>
          </cell>
          <cell r="Z22">
            <v>712452.69000000006</v>
          </cell>
          <cell r="AA22">
            <v>712452.69000000006</v>
          </cell>
        </row>
        <row r="23">
          <cell r="A23" t="str">
            <v>1026</v>
          </cell>
          <cell r="B23">
            <v>62901.73</v>
          </cell>
          <cell r="C23">
            <v>38014.53</v>
          </cell>
          <cell r="D23">
            <v>34565.15</v>
          </cell>
          <cell r="E23">
            <v>81638.86</v>
          </cell>
          <cell r="F23">
            <v>2472.1799999999998</v>
          </cell>
          <cell r="G23">
            <v>7131.05</v>
          </cell>
          <cell r="H23">
            <v>35044.94</v>
          </cell>
          <cell r="I23">
            <v>32319.35</v>
          </cell>
          <cell r="J23">
            <v>5726.61</v>
          </cell>
          <cell r="O23" t="str">
            <v>1026</v>
          </cell>
          <cell r="P23">
            <v>62901.73</v>
          </cell>
          <cell r="Q23">
            <v>100916.26000000001</v>
          </cell>
          <cell r="R23">
            <v>135481.41</v>
          </cell>
          <cell r="S23">
            <v>217120.27000000002</v>
          </cell>
          <cell r="T23">
            <v>219592.45</v>
          </cell>
          <cell r="U23">
            <v>226723.5</v>
          </cell>
          <cell r="V23">
            <v>261768.44</v>
          </cell>
          <cell r="W23">
            <v>294087.78999999998</v>
          </cell>
          <cell r="X23">
            <v>299814.39999999997</v>
          </cell>
          <cell r="Y23">
            <v>299814.39999999997</v>
          </cell>
          <cell r="Z23">
            <v>299814.39999999997</v>
          </cell>
          <cell r="AA23">
            <v>299814.39999999997</v>
          </cell>
        </row>
        <row r="24">
          <cell r="A24" t="str">
            <v>1027</v>
          </cell>
          <cell r="B24">
            <v>695086.45</v>
          </cell>
          <cell r="C24">
            <v>115326.13</v>
          </cell>
          <cell r="D24">
            <v>760261.6</v>
          </cell>
          <cell r="E24">
            <v>297089.65000000002</v>
          </cell>
          <cell r="F24">
            <v>326701.17</v>
          </cell>
          <cell r="G24">
            <v>232835.29</v>
          </cell>
          <cell r="H24">
            <v>484816.37</v>
          </cell>
          <cell r="I24">
            <v>9011.7799999999897</v>
          </cell>
          <cell r="J24">
            <v>300199.38</v>
          </cell>
          <cell r="O24" t="str">
            <v>1027</v>
          </cell>
          <cell r="P24">
            <v>695086.45</v>
          </cell>
          <cell r="Q24">
            <v>810412.58</v>
          </cell>
          <cell r="R24">
            <v>1570674.18</v>
          </cell>
          <cell r="S24">
            <v>1867763.83</v>
          </cell>
          <cell r="T24">
            <v>2194465</v>
          </cell>
          <cell r="U24">
            <v>2427300.29</v>
          </cell>
          <cell r="V24">
            <v>2912116.66</v>
          </cell>
          <cell r="W24">
            <v>2921128.44</v>
          </cell>
          <cell r="X24">
            <v>3221327.82</v>
          </cell>
          <cell r="Y24">
            <v>3221327.82</v>
          </cell>
          <cell r="Z24">
            <v>3221327.82</v>
          </cell>
          <cell r="AA24">
            <v>3221327.82</v>
          </cell>
        </row>
        <row r="25">
          <cell r="A25" t="str">
            <v>1029</v>
          </cell>
          <cell r="B25">
            <v>376376.57</v>
          </cell>
          <cell r="C25">
            <v>576810.86</v>
          </cell>
          <cell r="D25">
            <v>461804.34</v>
          </cell>
          <cell r="E25">
            <v>420383.84</v>
          </cell>
          <cell r="F25">
            <v>451789.49</v>
          </cell>
          <cell r="G25">
            <v>613153.30000000005</v>
          </cell>
          <cell r="H25">
            <v>328829.34000000003</v>
          </cell>
          <cell r="I25">
            <v>473806.46</v>
          </cell>
          <cell r="J25">
            <v>330743.55</v>
          </cell>
          <cell r="O25" t="str">
            <v>1029</v>
          </cell>
          <cell r="P25">
            <v>376376.57</v>
          </cell>
          <cell r="Q25">
            <v>953187.42999999993</v>
          </cell>
          <cell r="R25">
            <v>1414991.77</v>
          </cell>
          <cell r="S25">
            <v>1835375.61</v>
          </cell>
          <cell r="T25">
            <v>2287165.1</v>
          </cell>
          <cell r="U25">
            <v>2900318.4000000004</v>
          </cell>
          <cell r="V25">
            <v>3229147.74</v>
          </cell>
          <cell r="W25">
            <v>3702954.2</v>
          </cell>
          <cell r="X25">
            <v>4033697.75</v>
          </cell>
          <cell r="Y25">
            <v>4033697.75</v>
          </cell>
          <cell r="Z25">
            <v>4033697.75</v>
          </cell>
          <cell r="AA25">
            <v>4033697.75</v>
          </cell>
        </row>
        <row r="26">
          <cell r="A26" t="str">
            <v>1032</v>
          </cell>
          <cell r="C26">
            <v>14815</v>
          </cell>
          <cell r="D26">
            <v>2037.9</v>
          </cell>
          <cell r="E26">
            <v>2037.9</v>
          </cell>
          <cell r="F26">
            <v>2037.9</v>
          </cell>
          <cell r="G26">
            <v>2037.9</v>
          </cell>
          <cell r="H26">
            <v>61294.35</v>
          </cell>
          <cell r="I26">
            <v>6113.71</v>
          </cell>
          <cell r="O26" t="str">
            <v>1032</v>
          </cell>
          <cell r="P26">
            <v>0</v>
          </cell>
          <cell r="Q26">
            <v>14815</v>
          </cell>
          <cell r="R26">
            <v>16852.900000000001</v>
          </cell>
          <cell r="S26">
            <v>18890.800000000003</v>
          </cell>
          <cell r="T26">
            <v>20928.700000000004</v>
          </cell>
          <cell r="U26">
            <v>22966.600000000006</v>
          </cell>
          <cell r="V26">
            <v>84260.950000000012</v>
          </cell>
          <cell r="W26">
            <v>90374.660000000018</v>
          </cell>
          <cell r="X26">
            <v>90374.660000000018</v>
          </cell>
          <cell r="Y26">
            <v>90374.660000000018</v>
          </cell>
          <cell r="Z26">
            <v>90374.660000000018</v>
          </cell>
          <cell r="AA26">
            <v>90374.660000000018</v>
          </cell>
        </row>
        <row r="27">
          <cell r="A27" t="str">
            <v>1033</v>
          </cell>
          <cell r="C27">
            <v>5635.5</v>
          </cell>
          <cell r="E27">
            <v>10967.04</v>
          </cell>
          <cell r="G27">
            <v>5369.89</v>
          </cell>
          <cell r="H27">
            <v>3882.51</v>
          </cell>
          <cell r="J27">
            <v>660.98</v>
          </cell>
          <cell r="O27" t="str">
            <v>1033</v>
          </cell>
          <cell r="P27">
            <v>0</v>
          </cell>
          <cell r="Q27">
            <v>5635.5</v>
          </cell>
          <cell r="R27">
            <v>5635.5</v>
          </cell>
          <cell r="S27">
            <v>16602.54</v>
          </cell>
          <cell r="T27">
            <v>16602.54</v>
          </cell>
          <cell r="U27">
            <v>21972.43</v>
          </cell>
          <cell r="V27">
            <v>25854.940000000002</v>
          </cell>
          <cell r="W27">
            <v>25854.940000000002</v>
          </cell>
          <cell r="X27">
            <v>26515.920000000002</v>
          </cell>
          <cell r="Y27">
            <v>26515.920000000002</v>
          </cell>
          <cell r="Z27">
            <v>26515.920000000002</v>
          </cell>
          <cell r="AA27">
            <v>26515.920000000002</v>
          </cell>
        </row>
        <row r="28">
          <cell r="A28" t="str">
            <v>1035</v>
          </cell>
          <cell r="D28">
            <v>74637</v>
          </cell>
          <cell r="O28" t="str">
            <v>1035</v>
          </cell>
          <cell r="P28">
            <v>0</v>
          </cell>
          <cell r="Q28">
            <v>0</v>
          </cell>
          <cell r="R28">
            <v>74637</v>
          </cell>
          <cell r="S28">
            <v>74637</v>
          </cell>
          <cell r="T28">
            <v>74637</v>
          </cell>
          <cell r="U28">
            <v>74637</v>
          </cell>
          <cell r="V28">
            <v>74637</v>
          </cell>
          <cell r="W28">
            <v>74637</v>
          </cell>
          <cell r="X28">
            <v>74637</v>
          </cell>
          <cell r="Y28">
            <v>74637</v>
          </cell>
          <cell r="Z28">
            <v>74637</v>
          </cell>
          <cell r="AA28">
            <v>74637</v>
          </cell>
        </row>
        <row r="29">
          <cell r="A29" t="str">
            <v>1036</v>
          </cell>
          <cell r="D29">
            <v>36366.379999999997</v>
          </cell>
          <cell r="O29" t="str">
            <v>1036</v>
          </cell>
          <cell r="P29">
            <v>0</v>
          </cell>
          <cell r="Q29">
            <v>0</v>
          </cell>
          <cell r="R29">
            <v>36366.379999999997</v>
          </cell>
          <cell r="S29">
            <v>36366.379999999997</v>
          </cell>
          <cell r="T29">
            <v>36366.379999999997</v>
          </cell>
          <cell r="U29">
            <v>36366.379999999997</v>
          </cell>
          <cell r="V29">
            <v>36366.379999999997</v>
          </cell>
          <cell r="W29">
            <v>36366.379999999997</v>
          </cell>
          <cell r="X29">
            <v>36366.379999999997</v>
          </cell>
          <cell r="Y29">
            <v>36366.379999999997</v>
          </cell>
          <cell r="Z29">
            <v>36366.379999999997</v>
          </cell>
          <cell r="AA29">
            <v>36366.379999999997</v>
          </cell>
        </row>
        <row r="30">
          <cell r="A30" t="str">
            <v>1037</v>
          </cell>
          <cell r="E30">
            <v>-14702.36</v>
          </cell>
          <cell r="H30">
            <v>1922.08</v>
          </cell>
          <cell r="I30">
            <v>2108.29</v>
          </cell>
          <cell r="J30">
            <v>7333.49</v>
          </cell>
          <cell r="O30" t="str">
            <v>1037</v>
          </cell>
          <cell r="P30">
            <v>0</v>
          </cell>
          <cell r="Q30">
            <v>0</v>
          </cell>
          <cell r="R30">
            <v>0</v>
          </cell>
          <cell r="S30">
            <v>-14702.36</v>
          </cell>
          <cell r="T30">
            <v>-14702.36</v>
          </cell>
          <cell r="U30">
            <v>-14702.36</v>
          </cell>
          <cell r="V30">
            <v>-12780.28</v>
          </cell>
          <cell r="W30">
            <v>-10671.990000000002</v>
          </cell>
          <cell r="X30">
            <v>-3338.5000000000018</v>
          </cell>
          <cell r="Y30">
            <v>-3338.5000000000018</v>
          </cell>
          <cell r="Z30">
            <v>-3338.5000000000018</v>
          </cell>
          <cell r="AA30">
            <v>-3338.5000000000018</v>
          </cell>
        </row>
        <row r="31">
          <cell r="A31" t="str">
            <v>1038</v>
          </cell>
          <cell r="E31">
            <v>-10429.4</v>
          </cell>
          <cell r="O31" t="str">
            <v>1038</v>
          </cell>
          <cell r="P31">
            <v>0</v>
          </cell>
          <cell r="Q31">
            <v>0</v>
          </cell>
          <cell r="R31">
            <v>0</v>
          </cell>
          <cell r="S31">
            <v>-10429.4</v>
          </cell>
          <cell r="T31">
            <v>-10429.4</v>
          </cell>
          <cell r="U31">
            <v>-10429.4</v>
          </cell>
          <cell r="V31">
            <v>-10429.4</v>
          </cell>
          <cell r="W31">
            <v>-10429.4</v>
          </cell>
          <cell r="X31">
            <v>-10429.4</v>
          </cell>
          <cell r="Y31">
            <v>-10429.4</v>
          </cell>
          <cell r="Z31">
            <v>-10429.4</v>
          </cell>
          <cell r="AA31">
            <v>-10429.4</v>
          </cell>
        </row>
        <row r="32">
          <cell r="A32" t="str">
            <v>1040</v>
          </cell>
          <cell r="D32">
            <v>145</v>
          </cell>
          <cell r="E32">
            <v>4817.68</v>
          </cell>
          <cell r="I32">
            <v>450</v>
          </cell>
          <cell r="O32" t="str">
            <v>1040</v>
          </cell>
          <cell r="P32">
            <v>0</v>
          </cell>
          <cell r="Q32">
            <v>0</v>
          </cell>
          <cell r="R32">
            <v>145</v>
          </cell>
          <cell r="S32">
            <v>4962.68</v>
          </cell>
          <cell r="T32">
            <v>4962.68</v>
          </cell>
          <cell r="U32">
            <v>4962.68</v>
          </cell>
          <cell r="V32">
            <v>4962.68</v>
          </cell>
          <cell r="W32">
            <v>5412.68</v>
          </cell>
          <cell r="X32">
            <v>5412.68</v>
          </cell>
          <cell r="Y32">
            <v>5412.68</v>
          </cell>
          <cell r="Z32">
            <v>5412.68</v>
          </cell>
          <cell r="AA32">
            <v>5412.68</v>
          </cell>
        </row>
        <row r="33">
          <cell r="A33" t="str">
            <v>1041</v>
          </cell>
          <cell r="C33">
            <v>23551.18</v>
          </cell>
          <cell r="E33">
            <v>-1.0000000002037268E-2</v>
          </cell>
          <cell r="O33" t="str">
            <v>1041</v>
          </cell>
          <cell r="P33">
            <v>0</v>
          </cell>
          <cell r="Q33">
            <v>23551.18</v>
          </cell>
          <cell r="R33">
            <v>23551.18</v>
          </cell>
          <cell r="S33">
            <v>23551.17</v>
          </cell>
          <cell r="T33">
            <v>23551.17</v>
          </cell>
          <cell r="U33">
            <v>23551.17</v>
          </cell>
          <cell r="V33">
            <v>23551.17</v>
          </cell>
          <cell r="W33">
            <v>23551.17</v>
          </cell>
          <cell r="X33">
            <v>23551.17</v>
          </cell>
          <cell r="Y33">
            <v>23551.17</v>
          </cell>
          <cell r="Z33">
            <v>23551.17</v>
          </cell>
          <cell r="AA33">
            <v>23551.17</v>
          </cell>
        </row>
        <row r="34">
          <cell r="A34" t="str">
            <v>1046</v>
          </cell>
          <cell r="D34">
            <v>136259.07</v>
          </cell>
          <cell r="F34">
            <v>3348.79</v>
          </cell>
          <cell r="O34" t="str">
            <v>1046</v>
          </cell>
          <cell r="P34">
            <v>0</v>
          </cell>
          <cell r="Q34">
            <v>0</v>
          </cell>
          <cell r="R34">
            <v>136259.07</v>
          </cell>
          <cell r="S34">
            <v>136259.07</v>
          </cell>
          <cell r="T34">
            <v>139607.86000000002</v>
          </cell>
          <cell r="U34">
            <v>139607.86000000002</v>
          </cell>
          <cell r="V34">
            <v>139607.86000000002</v>
          </cell>
          <cell r="W34">
            <v>139607.86000000002</v>
          </cell>
          <cell r="X34">
            <v>139607.86000000002</v>
          </cell>
          <cell r="Y34">
            <v>139607.86000000002</v>
          </cell>
          <cell r="Z34">
            <v>139607.86000000002</v>
          </cell>
          <cell r="AA34">
            <v>139607.86000000002</v>
          </cell>
        </row>
        <row r="35">
          <cell r="A35" t="str">
            <v>1048</v>
          </cell>
          <cell r="C35">
            <v>21662</v>
          </cell>
          <cell r="O35" t="str">
            <v>1048</v>
          </cell>
          <cell r="P35">
            <v>0</v>
          </cell>
          <cell r="Q35">
            <v>21662</v>
          </cell>
          <cell r="R35">
            <v>21662</v>
          </cell>
          <cell r="S35">
            <v>21662</v>
          </cell>
          <cell r="T35">
            <v>21662</v>
          </cell>
          <cell r="U35">
            <v>21662</v>
          </cell>
          <cell r="V35">
            <v>21662</v>
          </cell>
          <cell r="W35">
            <v>21662</v>
          </cell>
          <cell r="X35">
            <v>21662</v>
          </cell>
          <cell r="Y35">
            <v>21662</v>
          </cell>
          <cell r="Z35">
            <v>21662</v>
          </cell>
          <cell r="AA35">
            <v>21662</v>
          </cell>
        </row>
        <row r="36">
          <cell r="A36" t="str">
            <v>1053</v>
          </cell>
          <cell r="E36">
            <v>350</v>
          </cell>
          <cell r="O36" t="str">
            <v>1053</v>
          </cell>
          <cell r="P36">
            <v>0</v>
          </cell>
          <cell r="Q36">
            <v>0</v>
          </cell>
          <cell r="R36">
            <v>0</v>
          </cell>
          <cell r="S36">
            <v>350</v>
          </cell>
          <cell r="T36">
            <v>350</v>
          </cell>
          <cell r="U36">
            <v>350</v>
          </cell>
          <cell r="V36">
            <v>350</v>
          </cell>
          <cell r="W36">
            <v>350</v>
          </cell>
          <cell r="X36">
            <v>350</v>
          </cell>
          <cell r="Y36">
            <v>350</v>
          </cell>
          <cell r="Z36">
            <v>350</v>
          </cell>
          <cell r="AA36">
            <v>350</v>
          </cell>
        </row>
        <row r="37">
          <cell r="A37" t="str">
            <v>1055</v>
          </cell>
          <cell r="G37">
            <v>143.69</v>
          </cell>
          <cell r="H37">
            <v>2095.75</v>
          </cell>
          <cell r="I37">
            <v>2204.84</v>
          </cell>
          <cell r="J37">
            <v>133127.01</v>
          </cell>
          <cell r="O37" t="str">
            <v>1055</v>
          </cell>
          <cell r="P37">
            <v>0</v>
          </cell>
          <cell r="Q37">
            <v>0</v>
          </cell>
          <cell r="R37">
            <v>0</v>
          </cell>
          <cell r="S37">
            <v>0</v>
          </cell>
          <cell r="T37">
            <v>0</v>
          </cell>
          <cell r="U37">
            <v>143.69</v>
          </cell>
          <cell r="V37">
            <v>2239.44</v>
          </cell>
          <cell r="W37">
            <v>4444.2800000000007</v>
          </cell>
          <cell r="X37">
            <v>137571.29</v>
          </cell>
          <cell r="Y37">
            <v>137571.29</v>
          </cell>
          <cell r="Z37">
            <v>137571.29</v>
          </cell>
          <cell r="AA37">
            <v>137571.29</v>
          </cell>
        </row>
        <row r="38">
          <cell r="O38" t="str">
            <v>Totalt</v>
          </cell>
          <cell r="P38">
            <v>-1566358.61</v>
          </cell>
          <cell r="Q38">
            <v>-3386343.81</v>
          </cell>
          <cell r="R38">
            <v>-18602.350000000093</v>
          </cell>
          <cell r="S38">
            <v>2313838.0299999998</v>
          </cell>
          <cell r="T38">
            <v>4221203.54</v>
          </cell>
          <cell r="U38">
            <v>7606236.7400000002</v>
          </cell>
          <cell r="V38">
            <v>9403795.4399999995</v>
          </cell>
          <cell r="W38">
            <v>11269428.779999999</v>
          </cell>
          <cell r="X38">
            <v>13106757.469999999</v>
          </cell>
          <cell r="Y38">
            <v>13106757.469999999</v>
          </cell>
          <cell r="Z38">
            <v>13106757.469999999</v>
          </cell>
          <cell r="AA38">
            <v>13106757.469999999</v>
          </cell>
        </row>
        <row r="39">
          <cell r="O39">
            <v>0</v>
          </cell>
          <cell r="P39">
            <v>0</v>
          </cell>
          <cell r="Q39">
            <v>0</v>
          </cell>
          <cell r="R39">
            <v>0</v>
          </cell>
          <cell r="S39">
            <v>0</v>
          </cell>
          <cell r="T39">
            <v>0</v>
          </cell>
          <cell r="U39">
            <v>0</v>
          </cell>
          <cell r="V39">
            <v>0</v>
          </cell>
          <cell r="W39">
            <v>0</v>
          </cell>
          <cell r="X39">
            <v>0</v>
          </cell>
          <cell r="Y39">
            <v>0</v>
          </cell>
          <cell r="Z39">
            <v>0</v>
          </cell>
          <cell r="AA39">
            <v>0</v>
          </cell>
        </row>
        <row r="40">
          <cell r="O40">
            <v>0</v>
          </cell>
          <cell r="P40">
            <v>0</v>
          </cell>
          <cell r="Q40">
            <v>0</v>
          </cell>
          <cell r="R40">
            <v>0</v>
          </cell>
          <cell r="S40">
            <v>0</v>
          </cell>
          <cell r="T40">
            <v>0</v>
          </cell>
          <cell r="U40">
            <v>0</v>
          </cell>
          <cell r="V40">
            <v>0</v>
          </cell>
          <cell r="W40">
            <v>0</v>
          </cell>
          <cell r="X40">
            <v>0</v>
          </cell>
          <cell r="Y40">
            <v>0</v>
          </cell>
          <cell r="Z40">
            <v>0</v>
          </cell>
          <cell r="AA40">
            <v>0</v>
          </cell>
        </row>
        <row r="41">
          <cell r="O41">
            <v>0</v>
          </cell>
          <cell r="P41">
            <v>0</v>
          </cell>
          <cell r="Q41">
            <v>0</v>
          </cell>
          <cell r="R41">
            <v>0</v>
          </cell>
          <cell r="S41">
            <v>0</v>
          </cell>
          <cell r="T41">
            <v>0</v>
          </cell>
          <cell r="U41">
            <v>0</v>
          </cell>
          <cell r="V41">
            <v>0</v>
          </cell>
          <cell r="W41">
            <v>0</v>
          </cell>
          <cell r="X41">
            <v>0</v>
          </cell>
          <cell r="Y41">
            <v>0</v>
          </cell>
          <cell r="Z41">
            <v>0</v>
          </cell>
          <cell r="AA41">
            <v>0</v>
          </cell>
        </row>
        <row r="42">
          <cell r="O42">
            <v>0</v>
          </cell>
          <cell r="P42">
            <v>0</v>
          </cell>
          <cell r="Q42">
            <v>0</v>
          </cell>
          <cell r="R42">
            <v>0</v>
          </cell>
          <cell r="S42">
            <v>0</v>
          </cell>
          <cell r="T42">
            <v>0</v>
          </cell>
          <cell r="U42">
            <v>0</v>
          </cell>
          <cell r="V42">
            <v>0</v>
          </cell>
          <cell r="W42">
            <v>0</v>
          </cell>
          <cell r="X42">
            <v>0</v>
          </cell>
          <cell r="Y42">
            <v>0</v>
          </cell>
          <cell r="Z42">
            <v>0</v>
          </cell>
          <cell r="AA42">
            <v>0</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Version History"/>
      <sheetName val="imports"/>
      <sheetName val="C5"/>
      <sheetName val="other sources"/>
      <sheetName val="HH"/>
      <sheetName val="S"/>
      <sheetName val="M"/>
      <sheetName val="L"/>
      <sheetName val="FREV1"/>
      <sheetName val="FREV2"/>
      <sheetName val="FREV3"/>
      <sheetName val="foldback"/>
      <sheetName val="C1"/>
      <sheetName val="C2"/>
      <sheetName val="C3"/>
      <sheetName val="C4"/>
      <sheetName val="C6"/>
      <sheetName val="C7"/>
      <sheetName val="C8"/>
      <sheetName val="C-Por"/>
      <sheetName val="C-Gr"/>
      <sheetName val="C-Swi"/>
      <sheetName val="C-Swe"/>
      <sheetName val="C-No"/>
      <sheetName val="C-Ne"/>
      <sheetName val="C-Fi"/>
      <sheetName val="C-Dk"/>
      <sheetName val="C-Os"/>
      <sheetName val="C-UK"/>
      <sheetName val="C-Ar"/>
      <sheetName val="C-Fr"/>
      <sheetName val="C-Ge"/>
      <sheetName val="C-It"/>
      <sheetName val="C-J"/>
      <sheetName val="C-US"/>
    </sheetNames>
    <sheetDataSet>
      <sheetData sheetId="0">
        <row r="5">
          <cell r="B5" t="str">
            <v>fixed seeds</v>
          </cell>
        </row>
        <row r="6">
          <cell r="B6" t="str">
            <v>models site numbers and spend per site for seed countries</v>
          </cell>
        </row>
        <row r="8">
          <cell r="B8" t="str">
            <v>v0</v>
          </cell>
        </row>
        <row r="9">
          <cell r="B9" t="str">
            <v>Under construction</v>
          </cell>
        </row>
        <row r="14">
          <cell r="B14" t="str">
            <v>andrew entwistle</v>
          </cell>
        </row>
        <row r="15">
          <cell r="B15" t="str">
            <v>andrew@newstreetresearch.com</v>
          </cell>
        </row>
      </sheetData>
      <sheetData sheetId="1" refreshError="1"/>
      <sheetData sheetId="2"/>
      <sheetData sheetId="3" refreshError="1"/>
      <sheetData sheetId="4" refreshError="1"/>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 Debt Roll"/>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ﾃﾞｰﾀ加工(MTD)"/>
      <sheetName val="ﾃﾞｰﾀ加工(YTD)"/>
    </sheetNames>
    <sheetDataSet>
      <sheetData sheetId="0" refreshError="1"/>
      <sheetData sheetId="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CMCSA"/>
      <sheetName val="CHTR"/>
      <sheetName val="CABO"/>
      <sheetName val="OPT"/>
      <sheetName val="SLK"/>
      <sheetName val="VMED"/>
      <sheetName val="UNITY"/>
      <sheetName val="ZIGGO"/>
      <sheetName val="TNET"/>
      <sheetName val="UPC-CH"/>
      <sheetName val="UPC-EE"/>
      <sheetName val="NOS"/>
      <sheetName val="COMH"/>
      <sheetName val="VTR"/>
      <sheetName val="LBTYPR"/>
      <sheetName val="MEGA"/>
      <sheetName val="TVSA"/>
      <sheetName val="LBTYALL"/>
      <sheetName val="ATCALL"/>
      <sheetName val="LiLAC"/>
      <sheetName val="Forex"/>
      <sheetName val="Sheet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3">
          <cell r="B33" t="str">
            <v>2016A</v>
          </cell>
          <cell r="C33" t="str">
            <v>2017E</v>
          </cell>
          <cell r="D33" t="str">
            <v>2018E</v>
          </cell>
          <cell r="E33" t="str">
            <v>2019E</v>
          </cell>
          <cell r="F33" t="str">
            <v>2020E</v>
          </cell>
          <cell r="G33" t="str">
            <v>2021E</v>
          </cell>
          <cell r="H33" t="str">
            <v>2022E</v>
          </cell>
          <cell r="I33" t="str">
            <v>2023E</v>
          </cell>
          <cell r="J33" t="str">
            <v>2024E</v>
          </cell>
          <cell r="K33" t="str">
            <v>2025E</v>
          </cell>
        </row>
      </sheetData>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Fixed"/>
      <sheetName val="ConsQ107"/>
      <sheetName val="Interims_IFRS"/>
      <sheetName val="Mobile_new"/>
      <sheetName val="Analysis"/>
      <sheetName val="Interims"/>
      <sheetName val="Pen modeller"/>
      <sheetName val="Valuation"/>
      <sheetName val="George"/>
      <sheetName val="SOP"/>
      <sheetName val="Graphs"/>
      <sheetName val="quarterly"/>
      <sheetName val="Mob Norway"/>
      <sheetName val="Thai"/>
      <sheetName val="Kyiv"/>
      <sheetName val="Gram"/>
      <sheetName val="Digi"/>
      <sheetName val="Sweden"/>
      <sheetName val="Pak"/>
      <sheetName val="networks II - OLD"/>
      <sheetName val="Sonofon"/>
      <sheetName val="Pannon"/>
      <sheetName val="Serbia"/>
      <sheetName val="GDP sense check"/>
      <sheetName val="Other unts"/>
      <sheetName val="2003 deals"/>
      <sheetName val="changes q32003"/>
      <sheetName val="Notes"/>
      <sheetName val="ITU inputs for mobile"/>
      <sheetName val="buyback"/>
      <sheetName val="restated prior years"/>
      <sheetName val="Industry Model"/>
      <sheetName val="Debt"/>
      <sheetName val="Debt ratios"/>
      <sheetName val="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Group"/>
      <sheetName val="Quarterlies"/>
      <sheetName val="Valuation"/>
      <sheetName val="Wireline"/>
      <sheetName val="Market"/>
      <sheetName val="Outpayments"/>
      <sheetName val="Sheet1"/>
      <sheetName val="Global Services"/>
      <sheetName val="FRS17"/>
      <sheetName val="George"/>
      <sheetName val="Cost Analy"/>
      <sheetName val="charts"/>
      <sheetName val="questions"/>
      <sheetName val="IM"/>
      <sheetName val="Debt"/>
      <sheetName val="debt 20F"/>
      <sheetName val="Debt ratios"/>
      <sheetName val="Charts Jan 05"/>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refreshError="1"/>
      <sheetData sheetId="15"/>
      <sheetData sheetId="16"/>
      <sheetData sheetId="17"/>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eetName val="PL"/>
      <sheetName val="IC-PL"/>
      <sheetName val="EXT-INC"/>
      <sheetName val="TRAF-COST"/>
      <sheetName val="INT-traf-cost"/>
      <sheetName val="OWN-WORK-CAP"/>
      <sheetName val="PAYROLL"/>
      <sheetName val="OPR-COST"/>
      <sheetName val="INT-OPR-COST"/>
      <sheetName val="FIN-PL"/>
      <sheetName val="Investments"/>
      <sheetName val="M-BALANCE"/>
      <sheetName val="IC-BAL"/>
      <sheetName val="CASH"/>
      <sheetName val="PROVISIONS"/>
      <sheetName val="EQUITY"/>
      <sheetName val="COMMITMENTS"/>
      <sheetName val="PERS-ADD"/>
      <sheetName val="AQUISITIONS"/>
      <sheetName val="Statistics"/>
      <sheetName val="Definitions"/>
    </sheetNames>
    <sheetDataSet>
      <sheetData sheetId="0">
        <row r="10">
          <cell r="E10" t="str">
            <v>&lt;Code&gt;</v>
          </cell>
        </row>
        <row r="11">
          <cell r="E11" t="str">
            <v>&lt;Name&gt;</v>
          </cell>
        </row>
        <row r="12">
          <cell r="E12" t="str">
            <v>0006</v>
          </cell>
        </row>
        <row r="15">
          <cell r="E15" t="str">
            <v>NOK</v>
          </cell>
        </row>
        <row r="16">
          <cell r="E16">
            <v>36692</v>
          </cell>
        </row>
        <row r="20">
          <cell r="E20" t="str">
            <v>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TP"/>
      <sheetName val="P&amp;L"/>
      <sheetName val="BS"/>
      <sheetName val="CF"/>
      <sheetName val="Cons. Revs"/>
      <sheetName val="Prop. Revs"/>
      <sheetName val="Cons. EBITDA"/>
      <sheetName val="Prop. EBITDA"/>
      <sheetName val="EBITDA Margins"/>
      <sheetName val="Capex"/>
      <sheetName val="USA"/>
      <sheetName val="UK"/>
      <sheetName val="Germany"/>
      <sheetName val="Italy"/>
      <sheetName val="J-Phone"/>
      <sheetName val="Spain"/>
      <sheetName val="Ireland"/>
      <sheetName val="Egypt"/>
      <sheetName val="Australia"/>
      <sheetName val="NZ"/>
      <sheetName val="NL"/>
      <sheetName val="Greece"/>
      <sheetName val="Portugal"/>
      <sheetName val="Sweden"/>
      <sheetName val="Switzerland"/>
      <sheetName val="Jap Fixed"/>
      <sheetName val="SFR"/>
      <sheetName val="Belgium"/>
      <sheetName val="Arcor"/>
      <sheetName val="Cegetel7"/>
      <sheetName val="Depreciaton schedule"/>
      <sheetName val="Cash Tax"/>
      <sheetName val="Bill"/>
      <sheetName val="Multip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sheetName val="BTOW"/>
      <sheetName val="MELI"/>
      <sheetName val="BAI"/>
      <sheetName val="TC"/>
      <sheetName val="QH"/>
      <sheetName val="REN"/>
      <sheetName val="SINA"/>
      <sheetName val="WB"/>
      <sheetName val="CA"/>
      <sheetName val="DNA"/>
      <sheetName val="GR"/>
      <sheetName val="NEX"/>
      <sheetName val="RAK"/>
      <sheetName val="YJP"/>
      <sheetName val="BTOW1"/>
      <sheetName val="MELI1"/>
      <sheetName val="BAI1"/>
      <sheetName val="TC1"/>
      <sheetName val="QH1"/>
      <sheetName val="REN1"/>
      <sheetName val="SINA1"/>
      <sheetName val="WB1"/>
      <sheetName val="CA1"/>
      <sheetName val="DNA1"/>
      <sheetName val="GR1"/>
      <sheetName val="NEX1"/>
      <sheetName val="RAK1"/>
      <sheetName val="YJP1"/>
      <sheetName val="Global comps"/>
      <sheetName val="Consensus data"/>
      <sheetName val="Share prices"/>
    </sheetNames>
    <sheetDataSet>
      <sheetData sheetId="0">
        <row r="84">
          <cell r="C84">
            <v>1.52207</v>
          </cell>
        </row>
        <row r="86">
          <cell r="C86">
            <v>2.2357999999999998</v>
          </cell>
        </row>
        <row r="87">
          <cell r="C87">
            <v>99.71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1">
          <cell r="C41">
            <v>0.39643310566492568</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link"/>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VEDMENY"/>
      <sheetName val="Omsres"/>
      <sheetName val="BUS SOL Årsverk og ansatte"/>
      <sheetName val="Årsverk og ansatte"/>
      <sheetName val="InvesteringerBUS SOL"/>
      <sheetName val="Investeringer"/>
      <sheetName val="Business Sol"/>
      <sheetName val="Annualiseringstabell"/>
      <sheetName val="Oms.avvik (2)"/>
      <sheetName val="Driftsinntekter"/>
      <sheetName val="Res.avvik (2)"/>
      <sheetName val="Res. før skatt"/>
      <sheetName val="SKILLEARK"/>
      <sheetName val="Årsverk"/>
      <sheetName val="Res. et. felleskost (2)"/>
      <sheetName val=" UTSTYR"/>
      <sheetName val="BD_KOMM."/>
      <sheetName val="BD_KOMM. (2)"/>
      <sheetName val="SI STORK"/>
      <sheetName val=" BASIS"/>
      <sheetName val="DATAN."/>
      <sheetName val="BK_TALE"/>
      <sheetName val=" DKL"/>
      <sheetName val="IDT"/>
      <sheetName val="DR.TJ"/>
      <sheetName val="SENT.ENH"/>
      <sheetName val="TELF.SELSK"/>
      <sheetName val="Elimineringer"/>
      <sheetName val="Res.avvik"/>
      <sheetName val="Oms.avvik"/>
    </sheetNames>
    <sheetDataSet>
      <sheetData sheetId="0"/>
      <sheetData sheetId="1"/>
      <sheetData sheetId="2"/>
      <sheetData sheetId="3"/>
      <sheetData sheetId="4"/>
      <sheetData sheetId="5"/>
      <sheetData sheetId="6">
        <row r="8">
          <cell r="F8" t="str">
            <v>Denne periode</v>
          </cell>
          <cell r="I8" t="str">
            <v>Hittil i år</v>
          </cell>
          <cell r="K8" t="str">
            <v xml:space="preserve">Årsbudsjett </v>
          </cell>
        </row>
        <row r="10">
          <cell r="A10" t="str">
            <v>Mill. kr.</v>
          </cell>
          <cell r="E10" t="str">
            <v>F04</v>
          </cell>
          <cell r="F10" t="str">
            <v>B04</v>
          </cell>
          <cell r="G10" t="str">
            <v>Avvik</v>
          </cell>
          <cell r="H10" t="str">
            <v>F04</v>
          </cell>
          <cell r="I10" t="str">
            <v>B04</v>
          </cell>
          <cell r="J10" t="str">
            <v>Avvik</v>
          </cell>
          <cell r="K10">
            <v>2000</v>
          </cell>
        </row>
        <row r="12">
          <cell r="A12" t="str">
            <v>Eksterne driftsinntekter</v>
          </cell>
          <cell r="E12">
            <v>91.320999999999998</v>
          </cell>
          <cell r="F12">
            <v>136.584</v>
          </cell>
          <cell r="G12">
            <v>-45.263000000000005</v>
          </cell>
          <cell r="H12">
            <v>372.24400000000003</v>
          </cell>
          <cell r="I12">
            <v>486.55200000000002</v>
          </cell>
          <cell r="J12">
            <v>-114.30799999999999</v>
          </cell>
          <cell r="K12">
            <v>1759.3979999999999</v>
          </cell>
        </row>
        <row r="13">
          <cell r="A13" t="str">
            <v>Driftsinntekter innen Telenor</v>
          </cell>
          <cell r="E13">
            <v>81.988</v>
          </cell>
          <cell r="F13">
            <v>119.511</v>
          </cell>
          <cell r="G13">
            <v>-37.522999999999996</v>
          </cell>
          <cell r="H13">
            <v>375.31900000000002</v>
          </cell>
          <cell r="I13">
            <v>459.3</v>
          </cell>
          <cell r="J13">
            <v>-83.980999999999995</v>
          </cell>
          <cell r="K13">
            <v>1552.173</v>
          </cell>
        </row>
        <row r="14">
          <cell r="A14" t="str">
            <v>Driftsinntekter innen Business Solution</v>
          </cell>
          <cell r="E14">
            <v>0</v>
          </cell>
          <cell r="F14">
            <v>0</v>
          </cell>
          <cell r="G14">
            <v>0</v>
          </cell>
          <cell r="H14">
            <v>0</v>
          </cell>
          <cell r="I14">
            <v>0</v>
          </cell>
          <cell r="J14">
            <v>0</v>
          </cell>
          <cell r="K14">
            <v>0</v>
          </cell>
        </row>
        <row r="15">
          <cell r="A15" t="str">
            <v>Gevinst ved salg av VDM og virksomhet eksternt</v>
          </cell>
          <cell r="E15">
            <v>0</v>
          </cell>
          <cell r="F15">
            <v>0</v>
          </cell>
          <cell r="G15">
            <v>0</v>
          </cell>
          <cell r="H15">
            <v>0</v>
          </cell>
          <cell r="I15">
            <v>0</v>
          </cell>
          <cell r="J15">
            <v>0</v>
          </cell>
          <cell r="K15">
            <v>0</v>
          </cell>
        </row>
        <row r="16">
          <cell r="A16" t="str">
            <v>SUM OMSETNING</v>
          </cell>
          <cell r="E16">
            <v>173.309</v>
          </cell>
          <cell r="F16">
            <v>256.09500000000003</v>
          </cell>
          <cell r="G16">
            <v>-82.786000000000001</v>
          </cell>
          <cell r="H16">
            <v>747.5630000000001</v>
          </cell>
          <cell r="I16">
            <v>945.85200000000009</v>
          </cell>
          <cell r="J16">
            <v>-198.28899999999999</v>
          </cell>
          <cell r="K16">
            <v>3311.5709999999999</v>
          </cell>
        </row>
        <row r="18">
          <cell r="A18" t="str">
            <v>Eksterne vare- og trafikkostnader</v>
          </cell>
          <cell r="E18">
            <v>82.016000000000005</v>
          </cell>
          <cell r="F18">
            <v>139.30600000000001</v>
          </cell>
          <cell r="G18">
            <v>57.290000000000006</v>
          </cell>
          <cell r="H18">
            <v>378.68400000000003</v>
          </cell>
          <cell r="I18">
            <v>517.95600000000002</v>
          </cell>
          <cell r="J18">
            <v>139.27199999999999</v>
          </cell>
          <cell r="K18">
            <v>1788.82</v>
          </cell>
        </row>
        <row r="19">
          <cell r="A19" t="str">
            <v>Vare- og trafikkostnad innen Telenor</v>
          </cell>
          <cell r="E19">
            <v>27.591999999999999</v>
          </cell>
          <cell r="F19">
            <v>30.11</v>
          </cell>
          <cell r="G19">
            <v>2.5180000000000007</v>
          </cell>
          <cell r="H19">
            <v>123.145</v>
          </cell>
          <cell r="I19">
            <v>115.96299999999999</v>
          </cell>
          <cell r="J19">
            <v>-7.1820000000000022</v>
          </cell>
          <cell r="K19">
            <v>393.41800000000001</v>
          </cell>
        </row>
        <row r="20">
          <cell r="A20" t="str">
            <v>Vare- og trafikkostnad innen Business Solution</v>
          </cell>
          <cell r="E20">
            <v>0</v>
          </cell>
          <cell r="F20">
            <v>0</v>
          </cell>
          <cell r="G20">
            <v>0</v>
          </cell>
          <cell r="H20">
            <v>0</v>
          </cell>
          <cell r="I20">
            <v>0</v>
          </cell>
          <cell r="J20">
            <v>0</v>
          </cell>
          <cell r="K20">
            <v>0</v>
          </cell>
        </row>
        <row r="21">
          <cell r="A21" t="str">
            <v>SUM VAREKOST</v>
          </cell>
          <cell r="E21">
            <v>109.608</v>
          </cell>
          <cell r="F21">
            <v>169.416</v>
          </cell>
          <cell r="G21">
            <v>59.808000000000007</v>
          </cell>
          <cell r="H21">
            <v>501.82900000000001</v>
          </cell>
          <cell r="I21">
            <v>633.91899999999998</v>
          </cell>
          <cell r="J21">
            <v>132.08999999999997</v>
          </cell>
          <cell r="K21">
            <v>2182.2379999999998</v>
          </cell>
        </row>
        <row r="23">
          <cell r="A23" t="str">
            <v>DEKNINGSBIDRAG</v>
          </cell>
          <cell r="E23">
            <v>63.700999999999993</v>
          </cell>
          <cell r="F23">
            <v>86.67900000000003</v>
          </cell>
          <cell r="G23">
            <v>-22.978000000000037</v>
          </cell>
          <cell r="H23">
            <v>245.73400000000009</v>
          </cell>
          <cell r="I23">
            <v>311.93300000000011</v>
          </cell>
          <cell r="J23">
            <v>-66.199000000000012</v>
          </cell>
          <cell r="K23">
            <v>1129.3330000000001</v>
          </cell>
        </row>
        <row r="25">
          <cell r="A25" t="str">
            <v>Beh.endring egentilvirkede amidl</v>
          </cell>
          <cell r="E25">
            <v>0</v>
          </cell>
          <cell r="F25">
            <v>0</v>
          </cell>
          <cell r="G25">
            <v>0</v>
          </cell>
          <cell r="H25">
            <v>0</v>
          </cell>
          <cell r="I25">
            <v>0</v>
          </cell>
          <cell r="J25">
            <v>0</v>
          </cell>
          <cell r="K25">
            <v>0</v>
          </cell>
        </row>
        <row r="26">
          <cell r="A26" t="str">
            <v>Lønns- og personalkostnader eksternt</v>
          </cell>
          <cell r="E26">
            <v>56.027000000000001</v>
          </cell>
          <cell r="F26">
            <v>61.064999999999998</v>
          </cell>
          <cell r="G26">
            <v>5.0379999999999967</v>
          </cell>
          <cell r="H26">
            <v>224.292</v>
          </cell>
          <cell r="I26">
            <v>248.75700000000001</v>
          </cell>
          <cell r="J26">
            <v>24.465000000000003</v>
          </cell>
          <cell r="K26">
            <v>726.31299999999999</v>
          </cell>
        </row>
        <row r="27">
          <cell r="A27" t="str">
            <v>Lønns- og personalkostnader innen Telenor</v>
          </cell>
          <cell r="E27">
            <v>-5.7000000000000002E-2</v>
          </cell>
          <cell r="F27">
            <v>0.94799999999999995</v>
          </cell>
          <cell r="G27">
            <v>1.0049999999999999</v>
          </cell>
          <cell r="H27">
            <v>3.2949999999999999</v>
          </cell>
          <cell r="I27">
            <v>3.746</v>
          </cell>
          <cell r="J27">
            <v>0.45100000000000007</v>
          </cell>
          <cell r="K27">
            <v>11.271000000000001</v>
          </cell>
        </row>
        <row r="28">
          <cell r="A28" t="str">
            <v>Lønns- og personalkostnader innen Business Solution</v>
          </cell>
          <cell r="E28">
            <v>0</v>
          </cell>
          <cell r="F28">
            <v>0</v>
          </cell>
          <cell r="G28">
            <v>0</v>
          </cell>
          <cell r="H28">
            <v>0</v>
          </cell>
          <cell r="I28">
            <v>0</v>
          </cell>
          <cell r="J28">
            <v>0</v>
          </cell>
          <cell r="K28">
            <v>0</v>
          </cell>
        </row>
        <row r="29">
          <cell r="A29" t="str">
            <v>Andre eksterne driftskostnader</v>
          </cell>
          <cell r="E29">
            <v>18.728999999999999</v>
          </cell>
          <cell r="F29">
            <v>23.719000000000001</v>
          </cell>
          <cell r="G29">
            <v>4.990000000000002</v>
          </cell>
          <cell r="H29">
            <v>91.078000000000003</v>
          </cell>
          <cell r="I29">
            <v>105.411</v>
          </cell>
          <cell r="J29">
            <v>14.332999999999998</v>
          </cell>
          <cell r="K29">
            <v>303.50400000000002</v>
          </cell>
        </row>
        <row r="30">
          <cell r="A30" t="str">
            <v>Andre driftskostnader innen Telenor</v>
          </cell>
          <cell r="E30">
            <v>12.3</v>
          </cell>
          <cell r="F30">
            <v>15.862</v>
          </cell>
          <cell r="G30">
            <v>3.5619999999999994</v>
          </cell>
          <cell r="H30">
            <v>56.222999999999999</v>
          </cell>
          <cell r="I30">
            <v>58.762</v>
          </cell>
          <cell r="J30">
            <v>2.5390000000000015</v>
          </cell>
          <cell r="K30">
            <v>180.798</v>
          </cell>
        </row>
        <row r="31">
          <cell r="A31" t="str">
            <v>Andre driftskostnader innen Business Solution</v>
          </cell>
          <cell r="E31">
            <v>0</v>
          </cell>
          <cell r="F31">
            <v>0</v>
          </cell>
          <cell r="G31">
            <v>0</v>
          </cell>
          <cell r="H31">
            <v>0</v>
          </cell>
          <cell r="I31">
            <v>0</v>
          </cell>
          <cell r="J31">
            <v>0</v>
          </cell>
          <cell r="K31">
            <v>0</v>
          </cell>
        </row>
        <row r="32">
          <cell r="A32" t="str">
            <v>Avskrivninger</v>
          </cell>
          <cell r="E32">
            <v>5.12</v>
          </cell>
          <cell r="F32">
            <v>6.6550000000000002</v>
          </cell>
          <cell r="G32">
            <v>1.5350000000000001</v>
          </cell>
          <cell r="H32">
            <v>20.376999999999999</v>
          </cell>
          <cell r="I32">
            <v>25.831</v>
          </cell>
          <cell r="J32">
            <v>5.4540000000000006</v>
          </cell>
          <cell r="K32">
            <v>84.128</v>
          </cell>
        </row>
        <row r="33">
          <cell r="A33" t="str">
            <v>Nedskrivninger</v>
          </cell>
        </row>
        <row r="34">
          <cell r="A34" t="str">
            <v>Tap ved salg av VDM og virksomhet eksternt</v>
          </cell>
        </row>
        <row r="35">
          <cell r="A35" t="str">
            <v>Sum Andre driftskostnader</v>
          </cell>
          <cell r="E35">
            <v>92.119</v>
          </cell>
          <cell r="F35">
            <v>108.249</v>
          </cell>
          <cell r="G35">
            <v>16.129999999999995</v>
          </cell>
          <cell r="H35">
            <v>395.26499999999999</v>
          </cell>
          <cell r="I35">
            <v>442.50700000000001</v>
          </cell>
          <cell r="J35">
            <v>47.242000000000004</v>
          </cell>
          <cell r="K35">
            <v>1306.0139999999999</v>
          </cell>
        </row>
        <row r="37">
          <cell r="A37" t="str">
            <v>DRIFTSRESULTAT</v>
          </cell>
          <cell r="E37">
            <v>-28.418000000000006</v>
          </cell>
          <cell r="F37">
            <v>-21.569999999999965</v>
          </cell>
          <cell r="G37">
            <v>-6.8480000000000416</v>
          </cell>
          <cell r="H37">
            <v>-149.53099999999989</v>
          </cell>
          <cell r="I37">
            <v>-130.5739999999999</v>
          </cell>
          <cell r="J37">
            <v>-18.956999999999994</v>
          </cell>
          <cell r="K37">
            <v>-176.68099999999981</v>
          </cell>
        </row>
        <row r="39">
          <cell r="A39" t="str">
            <v>Andel resultat tilknyttede selskaper</v>
          </cell>
          <cell r="E39">
            <v>-0.99299999999999999</v>
          </cell>
          <cell r="F39">
            <v>-0.16900000000000001</v>
          </cell>
          <cell r="G39">
            <v>-0.82399999999999995</v>
          </cell>
          <cell r="H39">
            <v>-3.2850000000000001</v>
          </cell>
          <cell r="I39">
            <v>-0.222</v>
          </cell>
          <cell r="J39">
            <v>-3.0630000000000002</v>
          </cell>
          <cell r="K39">
            <v>-4.4160000000000004</v>
          </cell>
        </row>
        <row r="41">
          <cell r="A41" t="str">
            <v>Eksterne finansinntekter</v>
          </cell>
          <cell r="E41">
            <v>0.85799999999999998</v>
          </cell>
          <cell r="F41">
            <v>0.03</v>
          </cell>
          <cell r="G41">
            <v>0.82799999999999996</v>
          </cell>
          <cell r="H41">
            <v>1.841</v>
          </cell>
          <cell r="I41">
            <v>0.12</v>
          </cell>
          <cell r="J41">
            <v>1.7210000000000001</v>
          </cell>
          <cell r="K41">
            <v>0.36</v>
          </cell>
        </row>
        <row r="42">
          <cell r="A42" t="str">
            <v>Finansinntekter innen Telenor</v>
          </cell>
          <cell r="E42">
            <v>1.8140000000000001</v>
          </cell>
          <cell r="F42">
            <v>0.66200000000000003</v>
          </cell>
          <cell r="G42">
            <v>1.1520000000000001</v>
          </cell>
          <cell r="H42">
            <v>6.95</v>
          </cell>
          <cell r="I42">
            <v>2.6459999999999999</v>
          </cell>
          <cell r="J42">
            <v>4.3040000000000003</v>
          </cell>
          <cell r="K42">
            <v>7.9379999999999988</v>
          </cell>
        </row>
        <row r="43">
          <cell r="A43" t="str">
            <v>Gevinst ved salg av finansielle omløpsmidler og anleggsmidler eksternt</v>
          </cell>
          <cell r="E43">
            <v>0</v>
          </cell>
          <cell r="F43">
            <v>0</v>
          </cell>
          <cell r="G43">
            <v>0</v>
          </cell>
          <cell r="H43">
            <v>0</v>
          </cell>
          <cell r="I43">
            <v>0</v>
          </cell>
          <cell r="J43">
            <v>0</v>
          </cell>
          <cell r="K43">
            <v>0</v>
          </cell>
        </row>
        <row r="44">
          <cell r="A44" t="str">
            <v>Eksterne finanskostnader</v>
          </cell>
          <cell r="E44">
            <v>-1.8009999999999999</v>
          </cell>
          <cell r="F44">
            <v>-2.9000000000000001E-2</v>
          </cell>
          <cell r="G44">
            <v>-1.772</v>
          </cell>
          <cell r="H44">
            <v>-5.2569999999999997</v>
          </cell>
          <cell r="I44">
            <v>-0.11799999999999999</v>
          </cell>
          <cell r="J44">
            <v>-5.1389999999999993</v>
          </cell>
          <cell r="K44">
            <v>-0.35499999999999998</v>
          </cell>
        </row>
        <row r="45">
          <cell r="A45" t="str">
            <v>Finanskostnader innen Telenor</v>
          </cell>
          <cell r="E45">
            <v>-0.67900000000000005</v>
          </cell>
          <cell r="F45">
            <v>0</v>
          </cell>
          <cell r="G45">
            <v>-0.67900000000000005</v>
          </cell>
          <cell r="H45">
            <v>-1.7390000000000001</v>
          </cell>
          <cell r="I45">
            <v>0</v>
          </cell>
          <cell r="J45">
            <v>-1.7390000000000001</v>
          </cell>
          <cell r="K45">
            <v>0</v>
          </cell>
        </row>
        <row r="46">
          <cell r="A46" t="str">
            <v>Tap ved salg av finansielle omløpsmidler og anleggsmidler eksternt</v>
          </cell>
          <cell r="E46">
            <v>0</v>
          </cell>
          <cell r="F46">
            <v>0</v>
          </cell>
          <cell r="H46">
            <v>0</v>
          </cell>
          <cell r="I46">
            <v>0</v>
          </cell>
          <cell r="J46">
            <v>0</v>
          </cell>
          <cell r="K46">
            <v>0</v>
          </cell>
        </row>
        <row r="47">
          <cell r="A47" t="str">
            <v>Netto finansposter</v>
          </cell>
          <cell r="E47">
            <v>0.19200000000000017</v>
          </cell>
          <cell r="F47">
            <v>0.66300000000000003</v>
          </cell>
          <cell r="G47">
            <v>-0.47099999999999986</v>
          </cell>
          <cell r="H47">
            <v>1.7950000000000006</v>
          </cell>
          <cell r="I47">
            <v>2.6480000000000001</v>
          </cell>
          <cell r="J47">
            <v>-0.85299999999999954</v>
          </cell>
          <cell r="K47">
            <v>7.9429999999999978</v>
          </cell>
        </row>
        <row r="49">
          <cell r="A49" t="str">
            <v>RESULTAT FØR FORDELTE FELLESKOSTNADER</v>
          </cell>
          <cell r="E49">
            <v>-29.219000000000005</v>
          </cell>
          <cell r="F49">
            <v>-21.075999999999965</v>
          </cell>
          <cell r="G49">
            <v>-8.1430000000000415</v>
          </cell>
          <cell r="H49">
            <v>-151.0209999999999</v>
          </cell>
          <cell r="I49">
            <v>-128.14799999999991</v>
          </cell>
          <cell r="J49">
            <v>-22.87299999999999</v>
          </cell>
        </row>
        <row r="51">
          <cell r="A51" t="str">
            <v>Fordelte felleskostnader</v>
          </cell>
          <cell r="E51">
            <v>0</v>
          </cell>
          <cell r="F51">
            <v>0</v>
          </cell>
          <cell r="G51">
            <v>0</v>
          </cell>
          <cell r="H51">
            <v>0</v>
          </cell>
          <cell r="I51">
            <v>0</v>
          </cell>
          <cell r="J51">
            <v>0</v>
          </cell>
        </row>
        <row r="53">
          <cell r="A53" t="str">
            <v>RESULTAT FØR SKATT</v>
          </cell>
          <cell r="E53">
            <v>-29.219000000000005</v>
          </cell>
          <cell r="F53">
            <v>-21.075999999999965</v>
          </cell>
          <cell r="G53">
            <v>-8.1430000000000415</v>
          </cell>
          <cell r="H53">
            <v>-151.0209999999999</v>
          </cell>
          <cell r="I53">
            <v>-128.14799999999991</v>
          </cell>
          <cell r="J53">
            <v>-22.87299999999999</v>
          </cell>
          <cell r="K53">
            <v>-173.15399999999983</v>
          </cell>
        </row>
        <row r="55">
          <cell r="A55" t="str">
            <v>Skatt</v>
          </cell>
        </row>
        <row r="57">
          <cell r="A57" t="str">
            <v>Minoritetsinteresser</v>
          </cell>
        </row>
        <row r="59">
          <cell r="A59" t="str">
            <v>Resultat etter skatt (årsresultat)</v>
          </cell>
        </row>
        <row r="61">
          <cell r="A61" t="str">
            <v>NØKKELTALL:</v>
          </cell>
        </row>
        <row r="62">
          <cell r="A62" t="str">
            <v>Dekningsgrad</v>
          </cell>
          <cell r="E62">
            <v>0.36755736863059618</v>
          </cell>
          <cell r="F62">
            <v>0.33846424178527507</v>
          </cell>
          <cell r="G62">
            <v>0.27755900756166546</v>
          </cell>
          <cell r="H62">
            <v>0.32871343284780019</v>
          </cell>
          <cell r="I62">
            <v>0.32979049576466518</v>
          </cell>
          <cell r="J62">
            <v>0.33385109612736974</v>
          </cell>
          <cell r="K62">
            <v>0.34102635878862331</v>
          </cell>
        </row>
        <row r="63">
          <cell r="A63" t="str">
            <v>Driftsmargin</v>
          </cell>
          <cell r="E63">
            <v>-0.1639730192892464</v>
          </cell>
          <cell r="F63">
            <v>-8.4226556551279655E-2</v>
          </cell>
          <cell r="G63">
            <v>8.271930036479648E-2</v>
          </cell>
          <cell r="H63">
            <v>-0.20002461331018237</v>
          </cell>
          <cell r="I63">
            <v>-0.13804908167451133</v>
          </cell>
          <cell r="J63">
            <v>9.5602882661166247E-2</v>
          </cell>
          <cell r="K63">
            <v>-5.3352623271552935E-2</v>
          </cell>
        </row>
        <row r="64">
          <cell r="A64" t="str">
            <v>Resultatmargin</v>
          </cell>
          <cell r="E64">
            <v>-0.16859482196539133</v>
          </cell>
          <cell r="F64">
            <v>-8.2297584880610564E-2</v>
          </cell>
          <cell r="G64">
            <v>9.8362041891141519E-2</v>
          </cell>
          <cell r="H64">
            <v>-0.2020177563630087</v>
          </cell>
          <cell r="I64">
            <v>-0.13548419837352979</v>
          </cell>
          <cell r="J64">
            <v>0.11535183494797993</v>
          </cell>
          <cell r="K64">
            <v>-5.2287569857327486E-2</v>
          </cell>
        </row>
        <row r="65">
          <cell r="A65" t="str">
            <v>Resultatmargin etter fordelte kostnader</v>
          </cell>
          <cell r="E65">
            <v>-0.16859482196539133</v>
          </cell>
          <cell r="F65">
            <v>-8.2297584880610564E-2</v>
          </cell>
          <cell r="G65">
            <v>9.8362041891141519E-2</v>
          </cell>
          <cell r="H65">
            <v>-0.2020177563630087</v>
          </cell>
          <cell r="I65">
            <v>-0.13548419837352979</v>
          </cell>
          <cell r="J65">
            <v>0.11535183494797993</v>
          </cell>
          <cell r="K65">
            <v>-5.2287569857327486E-2</v>
          </cell>
        </row>
        <row r="66">
          <cell r="A66" t="str">
            <v>Driftskostnad i % av omsetning 1)</v>
          </cell>
          <cell r="E66">
            <v>0.43134516961034913</v>
          </cell>
          <cell r="F66">
            <v>0.33106464397977309</v>
          </cell>
          <cell r="G66">
            <v>-0.12113159229821466</v>
          </cell>
          <cell r="H66">
            <v>0.42186411044955402</v>
          </cell>
          <cell r="I66">
            <v>0.37444335900331127</v>
          </cell>
          <cell r="J66">
            <v>-0.19566390470474915</v>
          </cell>
          <cell r="K66">
            <v>0.31097536486459149</v>
          </cell>
        </row>
        <row r="67">
          <cell r="A67" t="str">
            <v>Pers.kost pr. årsverk 2) 3)</v>
          </cell>
          <cell r="E67">
            <v>0.2795617817916457</v>
          </cell>
          <cell r="F67">
            <v>0.27260063898778492</v>
          </cell>
          <cell r="G67">
            <v>-6.961142803860787E-3</v>
          </cell>
          <cell r="H67">
            <v>0.27430440039273279</v>
          </cell>
          <cell r="I67">
            <v>0.28494292301723145</v>
          </cell>
          <cell r="J67">
            <v>1.0638522624498659E-2</v>
          </cell>
          <cell r="K67">
            <v>797.12128362435112</v>
          </cell>
        </row>
        <row r="68">
          <cell r="A68" t="str">
            <v>Andre dr.kost. pr. årsverk 2) 3)</v>
          </cell>
          <cell r="E68">
            <v>0</v>
          </cell>
          <cell r="F68" t="e">
            <v>#DIV/0!</v>
          </cell>
          <cell r="G68" t="e">
            <v>#DIV/0!</v>
          </cell>
          <cell r="J68">
            <v>0</v>
          </cell>
          <cell r="K68">
            <v>333.09261718449909</v>
          </cell>
        </row>
        <row r="70">
          <cell r="A70" t="str">
            <v>Årsverk - egne</v>
          </cell>
          <cell r="H70">
            <v>1057</v>
          </cell>
          <cell r="I70">
            <v>1195</v>
          </cell>
          <cell r="J70">
            <v>138</v>
          </cell>
          <cell r="K70">
            <v>1224</v>
          </cell>
        </row>
        <row r="71">
          <cell r="A71" t="str">
            <v>Årsverk - innleide</v>
          </cell>
          <cell r="H71">
            <v>59</v>
          </cell>
          <cell r="I71">
            <v>31</v>
          </cell>
          <cell r="J71">
            <v>-28</v>
          </cell>
          <cell r="K71">
            <v>21</v>
          </cell>
        </row>
        <row r="73">
          <cell r="A73" t="str">
            <v>Investeringer</v>
          </cell>
          <cell r="H73">
            <v>13</v>
          </cell>
          <cell r="I73">
            <v>93</v>
          </cell>
          <cell r="J73">
            <v>80</v>
          </cell>
          <cell r="K73">
            <v>263</v>
          </cell>
        </row>
        <row r="75">
          <cell r="A75" t="str">
            <v>1) Driftskostnad = Pers.kost. + andre driftskostnader</v>
          </cell>
        </row>
        <row r="76">
          <cell r="A76" t="str">
            <v>2) Annualisert</v>
          </cell>
        </row>
        <row r="77">
          <cell r="A77" t="str">
            <v>3) Tusen kr.</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763A6-37A0-4D9F-BA8C-2FD2D5D57A5F}">
  <dimension ref="A8:AU39"/>
  <sheetViews>
    <sheetView showGridLines="0" zoomScaleNormal="100" workbookViewId="0">
      <selection activeCell="V1" sqref="V1"/>
    </sheetView>
  </sheetViews>
  <sheetFormatPr defaultColWidth="8.7109375" defaultRowHeight="12"/>
  <cols>
    <col min="1" max="1" width="15.5703125" style="71" customWidth="1"/>
    <col min="2" max="2" width="13" style="71" customWidth="1"/>
    <col min="3" max="9" width="8.7109375" style="71"/>
    <col min="10" max="10" width="9.7109375" style="71" bestFit="1" customWidth="1"/>
    <col min="11" max="12" width="8.7109375" style="71"/>
    <col min="13" max="13" width="10.7109375" style="71" bestFit="1" customWidth="1"/>
    <col min="14" max="20" width="8.7109375" style="71"/>
    <col min="21" max="21" width="7.5703125" style="71" bestFit="1" customWidth="1"/>
    <col min="22" max="16384" width="8.7109375" style="71"/>
  </cols>
  <sheetData>
    <row r="8" spans="1:20" ht="13.5" thickBot="1">
      <c r="A8" s="69"/>
      <c r="B8" s="70"/>
      <c r="C8" s="70"/>
      <c r="D8" s="70"/>
      <c r="E8" s="70"/>
      <c r="F8" s="70"/>
      <c r="G8" s="70"/>
      <c r="H8" s="70"/>
      <c r="I8" s="70"/>
      <c r="J8" s="70"/>
      <c r="K8" s="70"/>
      <c r="L8" s="70"/>
      <c r="M8" s="70"/>
      <c r="N8" s="70"/>
      <c r="O8" s="70"/>
      <c r="P8" s="70"/>
      <c r="Q8" s="70"/>
      <c r="R8" s="70"/>
      <c r="S8" s="70"/>
      <c r="T8" s="70"/>
    </row>
    <row r="9" spans="1:20">
      <c r="A9" s="72"/>
      <c r="B9" s="72"/>
      <c r="C9" s="72"/>
      <c r="D9" s="72"/>
      <c r="E9" s="72"/>
      <c r="F9" s="72"/>
      <c r="G9" s="72"/>
      <c r="H9" s="72"/>
      <c r="I9" s="72"/>
      <c r="J9" s="72"/>
      <c r="K9" s="72"/>
      <c r="L9" s="72"/>
      <c r="M9" s="72"/>
      <c r="N9" s="72"/>
      <c r="O9" s="72"/>
      <c r="P9" s="72"/>
      <c r="Q9" s="72"/>
      <c r="R9" s="72"/>
      <c r="S9" s="72"/>
      <c r="T9" s="72"/>
    </row>
    <row r="10" spans="1:20">
      <c r="A10" s="72"/>
      <c r="B10" s="72"/>
      <c r="C10" s="72"/>
      <c r="D10" s="72"/>
      <c r="E10" s="72"/>
      <c r="F10" s="72"/>
      <c r="G10" s="72"/>
      <c r="H10" s="72"/>
      <c r="I10" s="72"/>
      <c r="J10" s="72"/>
      <c r="K10" s="72"/>
      <c r="L10" s="72"/>
      <c r="M10" s="72"/>
      <c r="N10" s="72"/>
      <c r="O10" s="72"/>
      <c r="P10" s="72"/>
      <c r="Q10" s="72"/>
      <c r="R10" s="72"/>
      <c r="S10" s="72"/>
      <c r="T10" s="72"/>
    </row>
    <row r="11" spans="1:20">
      <c r="A11" s="72"/>
      <c r="B11" s="72"/>
      <c r="C11" s="72"/>
      <c r="D11" s="72"/>
      <c r="E11" s="72"/>
      <c r="F11" s="72"/>
      <c r="G11" s="72"/>
      <c r="H11" s="72"/>
      <c r="I11" s="72"/>
      <c r="J11" s="72"/>
      <c r="K11" s="72"/>
      <c r="L11" s="72"/>
      <c r="M11" s="72"/>
      <c r="N11" s="72"/>
      <c r="O11" s="72"/>
      <c r="P11" s="72"/>
      <c r="Q11" s="72"/>
      <c r="R11" s="72"/>
      <c r="S11" s="72"/>
      <c r="T11" s="72"/>
    </row>
    <row r="12" spans="1:20">
      <c r="A12" s="72"/>
      <c r="B12" s="72"/>
      <c r="C12" s="72"/>
      <c r="D12" s="72"/>
      <c r="E12" s="72"/>
      <c r="F12" s="72"/>
      <c r="G12" s="72"/>
      <c r="H12" s="72"/>
      <c r="I12" s="72"/>
      <c r="J12" s="72"/>
      <c r="K12" s="72"/>
      <c r="L12" s="72"/>
      <c r="M12" s="72"/>
      <c r="N12" s="72"/>
      <c r="O12" s="72"/>
      <c r="P12" s="72"/>
      <c r="Q12" s="72"/>
      <c r="R12" s="72"/>
      <c r="S12" s="72"/>
      <c r="T12" s="72"/>
    </row>
    <row r="13" spans="1:20" ht="23.25">
      <c r="A13" s="72"/>
      <c r="B13" s="73" t="s">
        <v>0</v>
      </c>
      <c r="C13" s="72"/>
      <c r="D13" s="72"/>
      <c r="E13" s="72"/>
      <c r="F13" s="72"/>
      <c r="G13" s="72"/>
      <c r="H13" s="72"/>
      <c r="I13" s="72"/>
      <c r="J13" s="72"/>
      <c r="K13" s="72"/>
      <c r="L13" s="72"/>
      <c r="M13" s="72"/>
      <c r="N13" s="72"/>
      <c r="O13" s="72"/>
      <c r="P13" s="72"/>
      <c r="Q13" s="72"/>
      <c r="R13" s="72"/>
      <c r="S13" s="72"/>
      <c r="T13" s="72"/>
    </row>
    <row r="14" spans="1:20">
      <c r="A14" s="72"/>
      <c r="B14" s="72"/>
      <c r="C14" s="72"/>
      <c r="D14" s="72"/>
      <c r="E14" s="72"/>
      <c r="F14" s="72"/>
      <c r="G14" s="72"/>
      <c r="H14" s="72"/>
      <c r="I14" s="72"/>
      <c r="J14" s="72"/>
      <c r="K14" s="72"/>
      <c r="L14" s="72"/>
      <c r="M14" s="72"/>
      <c r="N14" s="72"/>
      <c r="O14" s="72"/>
      <c r="P14" s="72"/>
      <c r="Q14" s="72"/>
      <c r="R14" s="72"/>
      <c r="S14" s="72"/>
      <c r="T14" s="72"/>
    </row>
    <row r="15" spans="1:20">
      <c r="A15" s="72"/>
      <c r="B15" s="72"/>
      <c r="C15" s="72"/>
      <c r="D15" s="72"/>
      <c r="E15" s="72"/>
      <c r="F15" s="72"/>
      <c r="G15" s="72"/>
      <c r="H15" s="72"/>
      <c r="I15" s="72"/>
      <c r="J15" s="72"/>
      <c r="K15" s="72"/>
      <c r="L15" s="72"/>
      <c r="M15" s="72"/>
      <c r="N15" s="72"/>
      <c r="O15" s="72"/>
      <c r="P15" s="72"/>
      <c r="Q15" s="72"/>
      <c r="R15" s="72"/>
      <c r="S15" s="72"/>
      <c r="T15" s="72"/>
    </row>
    <row r="16" spans="1:20">
      <c r="A16" s="72"/>
      <c r="B16" s="74">
        <v>45838</v>
      </c>
      <c r="C16" s="72"/>
      <c r="D16" s="72"/>
      <c r="E16" s="72"/>
      <c r="F16" s="72"/>
      <c r="G16" s="72"/>
      <c r="H16" s="72"/>
      <c r="I16" s="72"/>
      <c r="J16" s="72"/>
      <c r="K16" s="72"/>
      <c r="L16" s="72"/>
      <c r="M16" s="72"/>
      <c r="N16" s="72"/>
      <c r="O16" s="72"/>
      <c r="P16" s="72"/>
      <c r="Q16" s="72"/>
      <c r="R16" s="72"/>
      <c r="S16" s="72"/>
      <c r="T16" s="72"/>
    </row>
    <row r="17" spans="1:47" ht="12.75">
      <c r="A17" s="72"/>
      <c r="B17" s="75"/>
      <c r="C17" s="72"/>
      <c r="D17" s="72"/>
      <c r="E17" s="72"/>
      <c r="F17" s="72"/>
      <c r="G17" s="72"/>
      <c r="H17" s="72"/>
      <c r="I17" s="72"/>
      <c r="J17" s="72"/>
      <c r="K17" s="72"/>
      <c r="L17" s="72"/>
      <c r="M17" s="72"/>
      <c r="N17" s="72"/>
      <c r="O17" s="72"/>
      <c r="P17" s="72"/>
      <c r="Q17" s="72"/>
      <c r="R17" s="72"/>
      <c r="S17" s="72"/>
      <c r="T17" s="72"/>
    </row>
    <row r="18" spans="1:47" ht="12.75">
      <c r="A18" s="72"/>
      <c r="B18" s="75"/>
      <c r="C18" s="72"/>
      <c r="D18" s="72"/>
      <c r="E18" s="72"/>
      <c r="F18" s="72"/>
      <c r="G18" s="72"/>
      <c r="H18" s="72"/>
      <c r="I18" s="72"/>
      <c r="J18" s="72"/>
      <c r="K18" s="72"/>
      <c r="L18" s="72"/>
      <c r="M18" s="72"/>
      <c r="N18" s="72"/>
      <c r="O18" s="72"/>
      <c r="P18" s="72"/>
      <c r="Q18" s="72"/>
      <c r="R18" s="72"/>
      <c r="S18" s="72"/>
      <c r="T18" s="72"/>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row>
    <row r="19" spans="1:47" ht="12.75">
      <c r="A19" s="72"/>
      <c r="B19" s="77" t="s">
        <v>1</v>
      </c>
      <c r="C19" s="72"/>
      <c r="D19" s="72"/>
      <c r="E19" s="72"/>
      <c r="F19" s="72"/>
      <c r="G19" s="72"/>
      <c r="H19" s="78"/>
      <c r="I19" s="72"/>
      <c r="J19" s="72"/>
      <c r="K19" s="72"/>
      <c r="L19" s="72"/>
      <c r="M19" s="72"/>
      <c r="N19" s="72"/>
      <c r="O19" s="72"/>
      <c r="P19" s="72"/>
      <c r="Q19" s="72"/>
      <c r="R19" s="72"/>
      <c r="S19" s="72"/>
      <c r="T19" s="72"/>
      <c r="U19" s="76"/>
      <c r="V19" s="76"/>
    </row>
    <row r="20" spans="1:47" ht="12.75">
      <c r="A20" s="72"/>
      <c r="B20" s="79" t="s">
        <v>2</v>
      </c>
      <c r="C20" s="72"/>
      <c r="D20" s="72"/>
      <c r="E20" s="72"/>
      <c r="F20" s="72"/>
      <c r="G20" s="72"/>
      <c r="H20" s="72"/>
      <c r="I20" s="72"/>
      <c r="J20" s="72"/>
      <c r="K20" s="72"/>
      <c r="L20" s="72"/>
      <c r="M20" s="72"/>
      <c r="N20" s="72"/>
      <c r="O20" s="72"/>
      <c r="P20" s="72"/>
      <c r="Q20" s="72"/>
      <c r="R20" s="76"/>
      <c r="S20" s="76"/>
      <c r="T20" s="76"/>
      <c r="U20" s="76"/>
      <c r="V20" s="76"/>
    </row>
    <row r="21" spans="1:47" ht="12.75">
      <c r="A21" s="72"/>
      <c r="B21" s="80" t="s">
        <v>3</v>
      </c>
      <c r="C21" s="81"/>
      <c r="D21" s="81"/>
      <c r="E21" s="72"/>
      <c r="F21" s="72"/>
      <c r="G21" s="72"/>
      <c r="H21" s="72"/>
      <c r="I21" s="72"/>
      <c r="J21" s="72"/>
      <c r="K21" s="72"/>
      <c r="L21" s="72"/>
      <c r="M21" s="72"/>
      <c r="N21" s="72"/>
      <c r="O21" s="72"/>
      <c r="P21" s="72"/>
      <c r="Q21" s="72"/>
      <c r="R21" s="72"/>
      <c r="S21" s="72"/>
      <c r="T21" s="72"/>
    </row>
    <row r="22" spans="1:47" ht="15">
      <c r="A22" s="72"/>
      <c r="B22" t="s">
        <v>4</v>
      </c>
      <c r="C22" s="81"/>
      <c r="D22" s="81"/>
      <c r="E22" s="72"/>
      <c r="F22" s="72"/>
      <c r="G22" s="72"/>
      <c r="H22" s="72"/>
      <c r="I22" s="72"/>
      <c r="J22" s="72"/>
      <c r="K22" s="72"/>
      <c r="L22" s="72"/>
      <c r="M22" s="72"/>
      <c r="N22" s="72"/>
      <c r="O22" s="72"/>
      <c r="P22" s="72"/>
      <c r="Q22" s="72"/>
      <c r="R22" s="72"/>
      <c r="S22" s="72"/>
      <c r="T22" s="72"/>
    </row>
    <row r="23" spans="1:47" ht="12.75">
      <c r="A23" s="72"/>
      <c r="B23" s="75"/>
      <c r="C23" s="81"/>
      <c r="D23" s="81"/>
      <c r="E23" s="72"/>
      <c r="F23" s="72"/>
      <c r="G23" s="72"/>
      <c r="H23" s="72"/>
      <c r="I23" s="72"/>
      <c r="J23" s="72"/>
      <c r="K23" s="72"/>
      <c r="L23" s="72"/>
      <c r="M23" s="72"/>
      <c r="N23" s="72"/>
      <c r="O23" s="72"/>
      <c r="P23" s="72"/>
      <c r="Q23" s="72"/>
      <c r="R23" s="72"/>
      <c r="S23" s="72"/>
      <c r="T23" s="72"/>
    </row>
    <row r="24" spans="1:47">
      <c r="A24" s="72"/>
      <c r="B24" s="82"/>
      <c r="C24" s="81"/>
      <c r="D24" s="81"/>
      <c r="E24" s="72"/>
      <c r="F24" s="72"/>
      <c r="G24" s="72"/>
      <c r="H24" s="72"/>
      <c r="I24" s="72"/>
      <c r="J24" s="83"/>
      <c r="K24" s="72"/>
      <c r="L24" s="72"/>
      <c r="M24" s="72"/>
      <c r="N24" s="72"/>
      <c r="O24" s="72"/>
      <c r="P24" s="72"/>
      <c r="Q24" s="72"/>
      <c r="R24" s="72"/>
      <c r="S24" s="72"/>
      <c r="T24" s="72"/>
    </row>
    <row r="25" spans="1:47">
      <c r="A25" s="72"/>
      <c r="B25" s="81" t="s">
        <v>5</v>
      </c>
      <c r="C25" s="84" t="s">
        <v>6</v>
      </c>
      <c r="D25" s="72"/>
      <c r="E25" s="72"/>
      <c r="F25" s="72"/>
      <c r="G25" s="72"/>
      <c r="H25" s="72"/>
      <c r="I25" s="72"/>
      <c r="J25" s="72"/>
      <c r="K25" s="72"/>
      <c r="L25" s="72"/>
      <c r="M25" s="83"/>
      <c r="N25" s="72"/>
      <c r="O25" s="72"/>
      <c r="P25" s="72"/>
      <c r="Q25" s="72"/>
      <c r="R25" s="72"/>
      <c r="S25" s="72"/>
      <c r="T25" s="72"/>
    </row>
    <row r="26" spans="1:47">
      <c r="A26" s="72"/>
      <c r="B26" s="81" t="s">
        <v>7</v>
      </c>
      <c r="C26" s="84" t="s">
        <v>8</v>
      </c>
      <c r="D26" s="72"/>
      <c r="E26" s="72"/>
      <c r="F26" s="72"/>
      <c r="G26" s="72"/>
      <c r="H26" s="72"/>
      <c r="I26" s="72"/>
      <c r="J26" s="72"/>
      <c r="K26" s="72"/>
      <c r="L26" s="72"/>
      <c r="M26" s="83"/>
      <c r="N26" s="72"/>
      <c r="O26" s="72"/>
      <c r="P26" s="72"/>
      <c r="Q26" s="72"/>
      <c r="R26" s="72"/>
      <c r="S26" s="72"/>
      <c r="T26" s="72"/>
    </row>
    <row r="27" spans="1:47">
      <c r="A27" s="72"/>
      <c r="B27" s="81" t="s">
        <v>9</v>
      </c>
      <c r="C27" s="86" t="s">
        <v>10</v>
      </c>
      <c r="D27" s="78"/>
      <c r="E27" s="78"/>
      <c r="F27" s="72"/>
      <c r="G27" s="72"/>
      <c r="H27" s="72"/>
      <c r="I27" s="72"/>
      <c r="J27" s="72"/>
      <c r="K27" s="72"/>
      <c r="L27" s="72"/>
      <c r="M27" s="72"/>
      <c r="N27" s="72"/>
      <c r="O27" s="72"/>
      <c r="P27" s="72"/>
      <c r="Q27" s="72"/>
      <c r="R27" s="72"/>
      <c r="S27" s="72"/>
      <c r="T27" s="72"/>
    </row>
    <row r="28" spans="1:47">
      <c r="A28" s="72"/>
      <c r="B28" s="81"/>
      <c r="C28" s="85"/>
      <c r="D28" s="78"/>
      <c r="E28" s="78"/>
      <c r="F28" s="78"/>
      <c r="G28" s="78"/>
      <c r="H28" s="78"/>
      <c r="I28" s="78"/>
      <c r="J28" s="78"/>
      <c r="K28" s="78"/>
      <c r="L28" s="78"/>
      <c r="M28" s="78"/>
      <c r="N28" s="78"/>
      <c r="O28" s="78"/>
      <c r="P28" s="72"/>
      <c r="Q28" s="72"/>
      <c r="R28" s="72"/>
      <c r="S28" s="72"/>
      <c r="T28" s="72"/>
    </row>
    <row r="29" spans="1:47">
      <c r="A29" s="72"/>
      <c r="B29" s="81"/>
      <c r="C29" s="85"/>
      <c r="D29" s="78"/>
      <c r="E29" s="78"/>
      <c r="F29" s="78"/>
      <c r="G29" s="78"/>
      <c r="H29" s="78"/>
      <c r="I29" s="78"/>
      <c r="J29" s="78"/>
      <c r="K29" s="78"/>
      <c r="L29" s="78"/>
      <c r="M29" s="78"/>
      <c r="N29" s="78"/>
      <c r="O29" s="78"/>
      <c r="P29" s="72"/>
      <c r="Q29" s="72"/>
      <c r="R29" s="72"/>
      <c r="S29" s="72"/>
      <c r="T29" s="72"/>
    </row>
    <row r="30" spans="1:47">
      <c r="A30" s="72"/>
      <c r="B30" s="81"/>
      <c r="C30" s="85"/>
      <c r="D30" s="72"/>
      <c r="E30" s="72"/>
      <c r="F30" s="72"/>
      <c r="G30" s="72"/>
      <c r="H30" s="72"/>
      <c r="I30" s="72"/>
      <c r="J30" s="72"/>
      <c r="K30" s="72"/>
      <c r="L30" s="72"/>
      <c r="M30" s="72"/>
      <c r="N30" s="72"/>
      <c r="O30" s="72"/>
      <c r="P30" s="72"/>
      <c r="Q30" s="72"/>
      <c r="R30" s="72"/>
      <c r="S30" s="72"/>
      <c r="T30" s="72"/>
    </row>
    <row r="31" spans="1:47">
      <c r="A31" s="72"/>
      <c r="B31" s="72"/>
      <c r="C31" s="72"/>
      <c r="D31" s="72"/>
      <c r="E31" s="72"/>
      <c r="F31" s="72"/>
      <c r="G31" s="72"/>
      <c r="H31" s="72"/>
      <c r="I31" s="72"/>
      <c r="J31" s="72"/>
      <c r="K31" s="72"/>
      <c r="L31" s="72"/>
      <c r="M31" s="72"/>
      <c r="N31" s="72"/>
      <c r="O31" s="72"/>
      <c r="P31" s="72"/>
      <c r="Q31" s="72"/>
      <c r="R31" s="72"/>
      <c r="S31" s="72"/>
      <c r="T31" s="72"/>
    </row>
    <row r="32" spans="1:47">
      <c r="A32" s="72"/>
      <c r="B32" s="72"/>
      <c r="C32" s="72"/>
      <c r="D32" s="72"/>
      <c r="E32" s="72"/>
      <c r="F32" s="72"/>
      <c r="G32" s="72"/>
      <c r="H32" s="72"/>
      <c r="I32" s="72"/>
      <c r="J32" s="72"/>
      <c r="K32" s="72"/>
      <c r="L32" s="72"/>
      <c r="M32" s="72"/>
      <c r="N32" s="72"/>
      <c r="O32" s="72"/>
      <c r="P32" s="72"/>
      <c r="Q32" s="72"/>
      <c r="R32" s="72"/>
      <c r="S32" s="72"/>
      <c r="T32" s="72"/>
    </row>
    <row r="33" spans="1:20">
      <c r="A33" s="72"/>
      <c r="B33" s="72"/>
      <c r="C33" s="72"/>
      <c r="D33" s="72"/>
      <c r="E33" s="72"/>
      <c r="F33" s="72"/>
      <c r="G33" s="72"/>
      <c r="H33" s="72"/>
      <c r="I33" s="72"/>
      <c r="J33" s="72"/>
      <c r="K33" s="72"/>
      <c r="L33" s="72"/>
      <c r="M33" s="72"/>
      <c r="N33" s="72"/>
      <c r="O33" s="72"/>
      <c r="P33" s="72"/>
      <c r="Q33" s="72"/>
      <c r="R33" s="72"/>
      <c r="S33" s="72"/>
      <c r="T33" s="72"/>
    </row>
    <row r="34" spans="1:20">
      <c r="A34" s="72"/>
      <c r="B34" s="72"/>
      <c r="C34" s="72"/>
      <c r="D34" s="72"/>
      <c r="E34" s="72"/>
      <c r="F34" s="72"/>
      <c r="G34" s="72"/>
      <c r="H34" s="72"/>
      <c r="I34" s="72"/>
      <c r="J34" s="72"/>
      <c r="K34" s="72"/>
      <c r="L34" s="72"/>
      <c r="M34" s="72"/>
      <c r="N34" s="72"/>
      <c r="O34" s="72"/>
      <c r="P34" s="72"/>
      <c r="Q34" s="72"/>
      <c r="R34" s="72"/>
      <c r="S34" s="72"/>
      <c r="T34" s="72"/>
    </row>
    <row r="35" spans="1:20">
      <c r="A35" s="72"/>
      <c r="B35" s="72"/>
      <c r="C35" s="72"/>
      <c r="D35" s="72"/>
      <c r="E35" s="72"/>
      <c r="F35" s="72"/>
      <c r="G35" s="72"/>
      <c r="H35" s="72"/>
      <c r="I35" s="72"/>
      <c r="J35" s="72"/>
      <c r="K35" s="72"/>
      <c r="L35" s="72"/>
      <c r="M35" s="72"/>
      <c r="N35" s="72"/>
      <c r="O35" s="72"/>
      <c r="P35" s="72"/>
      <c r="Q35" s="72"/>
      <c r="R35" s="72"/>
      <c r="S35" s="72"/>
      <c r="T35" s="72"/>
    </row>
    <row r="36" spans="1:20">
      <c r="A36" s="72"/>
      <c r="B36" s="72"/>
      <c r="C36" s="72"/>
      <c r="D36" s="72"/>
      <c r="E36" s="72"/>
      <c r="F36" s="72"/>
      <c r="G36" s="72"/>
      <c r="H36" s="72"/>
      <c r="I36" s="72"/>
      <c r="J36" s="72"/>
      <c r="K36" s="72"/>
      <c r="L36" s="72"/>
      <c r="M36" s="72"/>
      <c r="N36" s="72"/>
      <c r="O36" s="72"/>
      <c r="P36" s="72"/>
      <c r="Q36" s="72"/>
      <c r="R36" s="72"/>
      <c r="S36" s="72"/>
      <c r="T36" s="72"/>
    </row>
    <row r="37" spans="1:20">
      <c r="A37" s="72"/>
      <c r="B37" s="72"/>
      <c r="C37" s="72"/>
      <c r="D37" s="72"/>
      <c r="E37" s="72"/>
      <c r="F37" s="72"/>
      <c r="G37" s="72"/>
      <c r="H37" s="72"/>
      <c r="I37" s="72"/>
      <c r="J37" s="72"/>
      <c r="K37" s="72"/>
      <c r="L37" s="72"/>
      <c r="M37" s="72"/>
      <c r="N37" s="72"/>
      <c r="O37" s="72"/>
      <c r="P37" s="72"/>
      <c r="Q37" s="72"/>
      <c r="R37" s="72"/>
      <c r="S37" s="72"/>
      <c r="T37" s="72"/>
    </row>
    <row r="38" spans="1:20">
      <c r="A38" s="72"/>
      <c r="B38" s="72"/>
      <c r="C38" s="72"/>
      <c r="D38" s="72"/>
      <c r="E38" s="72"/>
      <c r="F38" s="72"/>
      <c r="G38" s="72"/>
      <c r="H38" s="72"/>
      <c r="I38" s="72"/>
      <c r="J38" s="72"/>
      <c r="K38" s="72"/>
      <c r="L38" s="72"/>
      <c r="M38" s="72"/>
      <c r="N38" s="72"/>
      <c r="O38" s="72"/>
      <c r="P38" s="72"/>
      <c r="Q38" s="72"/>
      <c r="R38" s="72"/>
      <c r="S38" s="72"/>
      <c r="T38" s="72"/>
    </row>
    <row r="39" spans="1:20" ht="12.75" thickBot="1">
      <c r="A39" s="70"/>
      <c r="B39" s="70"/>
      <c r="C39" s="70"/>
      <c r="D39" s="70"/>
      <c r="E39" s="70"/>
      <c r="F39" s="70"/>
      <c r="G39" s="70"/>
      <c r="H39" s="70"/>
      <c r="I39" s="70"/>
      <c r="J39" s="70"/>
      <c r="K39" s="70"/>
      <c r="L39" s="70"/>
      <c r="M39" s="70"/>
      <c r="N39" s="70"/>
      <c r="O39" s="70"/>
      <c r="P39" s="70"/>
      <c r="Q39" s="70"/>
      <c r="R39" s="70"/>
      <c r="S39" s="70"/>
      <c r="T39" s="70"/>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FB765-1E02-451A-B002-44CCF1ACF028}">
  <dimension ref="A1:BZ503"/>
  <sheetViews>
    <sheetView showGridLines="0" zoomScale="72" zoomScaleNormal="72" workbookViewId="0">
      <pane xSplit="2" topLeftCell="S1" activePane="topRight" state="frozen"/>
      <selection pane="topRight" activeCell="B2" sqref="B2:AA31"/>
    </sheetView>
  </sheetViews>
  <sheetFormatPr defaultRowHeight="15"/>
  <cols>
    <col min="1" max="1" width="1.42578125" customWidth="1"/>
    <col min="2" max="2" width="40" customWidth="1"/>
    <col min="3" max="6" width="10.7109375" hidden="1" customWidth="1"/>
    <col min="7" max="7" width="10.7109375" hidden="1" customWidth="1" collapsed="1"/>
    <col min="8" max="18" width="10.7109375" hidden="1" customWidth="1"/>
    <col min="19" max="39" width="10.7109375" customWidth="1"/>
  </cols>
  <sheetData>
    <row r="1" spans="1:78">
      <c r="A1" s="161"/>
      <c r="B1" s="161"/>
      <c r="C1" s="161"/>
      <c r="D1" s="161"/>
      <c r="E1" s="161"/>
      <c r="F1" s="161"/>
      <c r="G1" s="161"/>
      <c r="H1" s="161"/>
      <c r="I1" s="161"/>
      <c r="J1" s="161"/>
      <c r="K1" s="161"/>
      <c r="L1" s="161"/>
      <c r="M1" s="161"/>
      <c r="N1" s="264"/>
      <c r="O1" s="264"/>
      <c r="P1" s="264"/>
      <c r="Q1" s="264"/>
      <c r="R1" s="264"/>
      <c r="S1" s="264"/>
      <c r="T1" s="264"/>
      <c r="U1" s="264"/>
      <c r="V1" s="264"/>
      <c r="W1" s="264"/>
      <c r="X1" s="264"/>
      <c r="Y1" s="264"/>
      <c r="Z1" s="264"/>
      <c r="AA1" s="264"/>
      <c r="AB1" s="161"/>
      <c r="AC1" s="264"/>
      <c r="AD1" s="264"/>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c r="BR1" s="161"/>
      <c r="BS1" s="161"/>
      <c r="BT1" s="161"/>
      <c r="BU1" s="161"/>
      <c r="BV1" s="161"/>
      <c r="BW1" s="161"/>
      <c r="BX1" s="161"/>
    </row>
    <row r="2" spans="1:78">
      <c r="A2" s="161"/>
      <c r="B2" s="872" t="s">
        <v>675</v>
      </c>
      <c r="C2" s="903" t="s">
        <v>403</v>
      </c>
      <c r="D2" s="903" t="s">
        <v>404</v>
      </c>
      <c r="E2" s="903" t="s">
        <v>405</v>
      </c>
      <c r="F2" s="903" t="s">
        <v>406</v>
      </c>
      <c r="G2" s="903" t="s">
        <v>407</v>
      </c>
      <c r="H2" s="903" t="s">
        <v>408</v>
      </c>
      <c r="I2" s="903" t="s">
        <v>409</v>
      </c>
      <c r="J2" s="903" t="s">
        <v>410</v>
      </c>
      <c r="K2" s="903" t="s">
        <v>411</v>
      </c>
      <c r="L2" s="903" t="s">
        <v>412</v>
      </c>
      <c r="M2" s="903" t="s">
        <v>413</v>
      </c>
      <c r="N2" s="903" t="s">
        <v>414</v>
      </c>
      <c r="O2" s="903" t="s">
        <v>415</v>
      </c>
      <c r="P2" s="903" t="s">
        <v>416</v>
      </c>
      <c r="Q2" s="903" t="s">
        <v>417</v>
      </c>
      <c r="R2" s="903" t="s">
        <v>418</v>
      </c>
      <c r="S2" s="903" t="s">
        <v>419</v>
      </c>
      <c r="T2" s="903" t="s">
        <v>420</v>
      </c>
      <c r="U2" s="903" t="s">
        <v>421</v>
      </c>
      <c r="V2" s="903" t="s">
        <v>422</v>
      </c>
      <c r="W2" s="903" t="s">
        <v>423</v>
      </c>
      <c r="X2" s="903" t="s">
        <v>424</v>
      </c>
      <c r="Y2" s="903" t="s">
        <v>3295</v>
      </c>
      <c r="Z2" s="903" t="s">
        <v>3297</v>
      </c>
      <c r="AA2" s="903" t="s">
        <v>3382</v>
      </c>
      <c r="AB2" s="464"/>
      <c r="AC2" s="177"/>
      <c r="AD2" s="977" t="str">
        <f t="shared" ref="AD2:AX2" si="0">G2</f>
        <v>Q1 21</v>
      </c>
      <c r="AE2" s="977" t="str">
        <f t="shared" si="0"/>
        <v>Q2 21</v>
      </c>
      <c r="AF2" s="977" t="str">
        <f t="shared" si="0"/>
        <v>Q3 21</v>
      </c>
      <c r="AG2" s="977" t="str">
        <f t="shared" si="0"/>
        <v>Q4 21</v>
      </c>
      <c r="AH2" s="977" t="str">
        <f t="shared" si="0"/>
        <v>Q1 22</v>
      </c>
      <c r="AI2" s="977" t="str">
        <f t="shared" si="0"/>
        <v>Q2 22</v>
      </c>
      <c r="AJ2" s="977" t="str">
        <f t="shared" si="0"/>
        <v>Q3 22</v>
      </c>
      <c r="AK2" s="977" t="str">
        <f t="shared" si="0"/>
        <v>Q4 22</v>
      </c>
      <c r="AL2" s="977" t="str">
        <f t="shared" si="0"/>
        <v>Q1 23</v>
      </c>
      <c r="AM2" s="977" t="str">
        <f t="shared" si="0"/>
        <v>Q2 23</v>
      </c>
      <c r="AN2" s="977" t="str">
        <f t="shared" si="0"/>
        <v>Q3 23</v>
      </c>
      <c r="AO2" s="977" t="str">
        <f t="shared" si="0"/>
        <v>Q4 23</v>
      </c>
      <c r="AP2" s="977" t="str">
        <f t="shared" si="0"/>
        <v>Q1 24</v>
      </c>
      <c r="AQ2" s="977" t="str">
        <f t="shared" si="0"/>
        <v>Q2 24</v>
      </c>
      <c r="AR2" s="977" t="str">
        <f t="shared" si="0"/>
        <v>Q3 24</v>
      </c>
      <c r="AS2" s="977" t="str">
        <f t="shared" si="0"/>
        <v>Q4 24</v>
      </c>
      <c r="AT2" s="977" t="str">
        <f t="shared" si="0"/>
        <v>Q1 25</v>
      </c>
      <c r="AU2" s="977" t="str">
        <f t="shared" si="0"/>
        <v>Q2 25</v>
      </c>
      <c r="AV2" s="977" t="str">
        <f t="shared" si="0"/>
        <v>Q3 25</v>
      </c>
      <c r="AW2" s="903" t="str">
        <f t="shared" si="0"/>
        <v>Q4 25</v>
      </c>
      <c r="AX2" s="903" t="str">
        <f t="shared" si="0"/>
        <v>Q1 26</v>
      </c>
      <c r="AY2" s="161"/>
      <c r="AZ2" s="161"/>
      <c r="BA2" s="161"/>
      <c r="BB2" s="161"/>
      <c r="BC2" s="161"/>
      <c r="BD2" s="161"/>
      <c r="BE2" s="161"/>
      <c r="BF2" s="161"/>
      <c r="BG2" s="161"/>
      <c r="BH2" s="161"/>
      <c r="BI2" s="161"/>
      <c r="BJ2" s="161"/>
      <c r="BK2" s="161"/>
      <c r="BL2" s="161"/>
      <c r="BM2" s="161"/>
      <c r="BN2" s="161"/>
      <c r="BO2" s="161"/>
      <c r="BP2" s="161"/>
      <c r="BQ2" s="161"/>
      <c r="BR2" s="161"/>
      <c r="BS2" s="161"/>
      <c r="BT2" s="161"/>
      <c r="BU2" s="161"/>
      <c r="BV2" s="161"/>
      <c r="BW2" s="161"/>
      <c r="BX2" s="161"/>
      <c r="BY2" s="161"/>
      <c r="BZ2" s="161"/>
    </row>
    <row r="3" spans="1:78">
      <c r="A3" s="161"/>
      <c r="B3" s="390" t="s">
        <v>676</v>
      </c>
      <c r="C3" s="396">
        <v>2861.3</v>
      </c>
      <c r="D3" s="396">
        <v>3267.4398499999998</v>
      </c>
      <c r="E3" s="396">
        <v>3703.1065200000003</v>
      </c>
      <c r="F3" s="396">
        <v>4280</v>
      </c>
      <c r="G3" s="396">
        <v>4789</v>
      </c>
      <c r="H3" s="396">
        <v>5258</v>
      </c>
      <c r="I3" s="396">
        <v>5610</v>
      </c>
      <c r="J3" s="396">
        <v>6105</v>
      </c>
      <c r="K3" s="396">
        <v>6900</v>
      </c>
      <c r="L3" s="396">
        <v>7354</v>
      </c>
      <c r="M3" s="396">
        <v>7890</v>
      </c>
      <c r="N3" s="396">
        <v>8398</v>
      </c>
      <c r="O3" s="396">
        <v>8200</v>
      </c>
      <c r="P3" s="396">
        <v>8521</v>
      </c>
      <c r="Q3" s="396">
        <v>8847</v>
      </c>
      <c r="R3" s="396">
        <v>8945</v>
      </c>
      <c r="S3" s="396">
        <v>9100</v>
      </c>
      <c r="T3" s="396">
        <v>9196</v>
      </c>
      <c r="U3" s="396">
        <v>9544</v>
      </c>
      <c r="V3" s="396">
        <v>9655</v>
      </c>
      <c r="W3" s="396">
        <f>W72</f>
        <v>9570</v>
      </c>
      <c r="X3" s="396">
        <f>X72</f>
        <v>9906</v>
      </c>
      <c r="Y3" s="396">
        <f>Y72</f>
        <v>9827</v>
      </c>
      <c r="Z3" s="396">
        <f>Z72</f>
        <v>9967</v>
      </c>
      <c r="AA3" s="396">
        <f>AA72</f>
        <v>9848</v>
      </c>
      <c r="AB3" s="393"/>
      <c r="AC3" s="177"/>
      <c r="AD3" s="474">
        <f t="shared" ref="AD3:AM4" si="1">G3/C3-1</f>
        <v>0.67371474504595796</v>
      </c>
      <c r="AE3" s="474">
        <f t="shared" si="1"/>
        <v>0.60921095456432051</v>
      </c>
      <c r="AF3" s="474">
        <f t="shared" si="1"/>
        <v>0.51494426900795709</v>
      </c>
      <c r="AG3" s="474">
        <f t="shared" si="1"/>
        <v>0.42640186915887845</v>
      </c>
      <c r="AH3" s="474">
        <f t="shared" si="1"/>
        <v>0.44080183754437252</v>
      </c>
      <c r="AI3" s="474">
        <f t="shared" si="1"/>
        <v>0.39863065804488396</v>
      </c>
      <c r="AJ3" s="474">
        <f t="shared" si="1"/>
        <v>0.40641711229946531</v>
      </c>
      <c r="AK3" s="474">
        <f t="shared" si="1"/>
        <v>0.37559377559377549</v>
      </c>
      <c r="AL3" s="474">
        <f t="shared" si="1"/>
        <v>0.18840579710144922</v>
      </c>
      <c r="AM3" s="474">
        <f t="shared" si="1"/>
        <v>0.15868914876257811</v>
      </c>
      <c r="AN3" s="474">
        <f t="shared" ref="AN3:AW4" si="2">Q3/M3-1</f>
        <v>0.1212927756653992</v>
      </c>
      <c r="AO3" s="474">
        <f t="shared" si="2"/>
        <v>6.5134555846630082E-2</v>
      </c>
      <c r="AP3" s="474">
        <f t="shared" si="2"/>
        <v>0.10975609756097571</v>
      </c>
      <c r="AQ3" s="474">
        <f t="shared" si="2"/>
        <v>7.9216054453702611E-2</v>
      </c>
      <c r="AR3" s="474">
        <f t="shared" si="2"/>
        <v>7.8783768509099072E-2</v>
      </c>
      <c r="AS3" s="474">
        <f t="shared" si="2"/>
        <v>7.9373951928451758E-2</v>
      </c>
      <c r="AT3" s="474">
        <f t="shared" si="2"/>
        <v>5.1648351648351687E-2</v>
      </c>
      <c r="AU3" s="474">
        <f t="shared" si="2"/>
        <v>7.7207481513701604E-2</v>
      </c>
      <c r="AV3" s="474">
        <f t="shared" si="2"/>
        <v>2.9652137468566542E-2</v>
      </c>
      <c r="AW3" s="474">
        <f t="shared" si="2"/>
        <v>3.2314862765406627E-2</v>
      </c>
      <c r="AX3" s="474">
        <f t="shared" ref="AX3:AX4" si="3">AA3/W3-1</f>
        <v>2.9049111807732508E-2</v>
      </c>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row>
    <row r="4" spans="1:78">
      <c r="A4" s="161"/>
      <c r="B4" s="161" t="s">
        <v>3299</v>
      </c>
      <c r="C4" s="393">
        <f>Quarts!AV87</f>
        <v>4560.21</v>
      </c>
      <c r="D4" s="393">
        <f>Quarts!AW87</f>
        <v>4487.7829999999994</v>
      </c>
      <c r="E4" s="393">
        <f>Quarts!AX87</f>
        <v>4646.1129999999994</v>
      </c>
      <c r="F4" s="393">
        <f>Quarts!AY87</f>
        <v>4791.8230000000003</v>
      </c>
      <c r="G4" s="393">
        <f>Quarts!AZ87</f>
        <v>4960.8999999999996</v>
      </c>
      <c r="H4" s="393">
        <f>Quarts!BA87</f>
        <v>5033</v>
      </c>
      <c r="I4" s="393">
        <f>Quarts!BB87</f>
        <v>5101.3719999999994</v>
      </c>
      <c r="J4" s="393">
        <f>Quarts!BC87</f>
        <v>5341.2420000000002</v>
      </c>
      <c r="K4" s="393">
        <f>Quarts!BD87</f>
        <v>5423.3630000000003</v>
      </c>
      <c r="L4" s="393">
        <f>Quarts!BE87</f>
        <v>5499.848</v>
      </c>
      <c r="M4" s="393">
        <f>Quarts!BF87</f>
        <v>5431.3499999999985</v>
      </c>
      <c r="N4" s="393">
        <f>Quarts!BG87</f>
        <v>5621</v>
      </c>
      <c r="O4" s="393">
        <f>Quarts!BH87</f>
        <v>5818.8560000000007</v>
      </c>
      <c r="P4" s="393">
        <f>Quarts!BI87</f>
        <v>6020.732</v>
      </c>
      <c r="Q4" s="393">
        <f>Quarts!BJ87</f>
        <v>6190.4940000000006</v>
      </c>
      <c r="R4" s="393">
        <f>Quarts!BK87</f>
        <v>6437.4740000000002</v>
      </c>
      <c r="S4" s="393">
        <f>Quarts!BL87</f>
        <v>6581.6110000000008</v>
      </c>
      <c r="T4" s="393">
        <f>Quarts!BM87</f>
        <v>6685.2009999999982</v>
      </c>
      <c r="U4" s="393">
        <f>Quarts!BN87</f>
        <v>6827.027</v>
      </c>
      <c r="V4" s="393">
        <f>Quarts!BO87</f>
        <v>7087.7040000000006</v>
      </c>
      <c r="W4" s="393">
        <f>Quarts!BP87</f>
        <v>7193.5940000000001</v>
      </c>
      <c r="X4" s="393">
        <f>Quarts!BQ87</f>
        <v>7394.1329999999998</v>
      </c>
      <c r="Y4" s="393">
        <f>Quarts!BR87</f>
        <v>7594.7259999999997</v>
      </c>
      <c r="Z4" s="393">
        <f>Quarts!BS87</f>
        <v>7821.14</v>
      </c>
      <c r="AA4" s="393">
        <f>Quarts!BT87</f>
        <v>8005.0209999999997</v>
      </c>
      <c r="AB4" s="393"/>
      <c r="AC4" s="177"/>
      <c r="AD4" s="491">
        <f t="shared" si="1"/>
        <v>8.7866567548424257E-2</v>
      </c>
      <c r="AE4" s="491">
        <f t="shared" si="1"/>
        <v>0.12148916291184331</v>
      </c>
      <c r="AF4" s="491">
        <f t="shared" si="1"/>
        <v>9.7987070051890779E-2</v>
      </c>
      <c r="AG4" s="491">
        <f t="shared" si="1"/>
        <v>0.1146576156923993</v>
      </c>
      <c r="AH4" s="491">
        <f t="shared" si="1"/>
        <v>9.3221592856135072E-2</v>
      </c>
      <c r="AI4" s="491">
        <f t="shared" si="1"/>
        <v>9.275740115239417E-2</v>
      </c>
      <c r="AJ4" s="491">
        <f t="shared" si="1"/>
        <v>6.4684167318125319E-2</v>
      </c>
      <c r="AK4" s="491">
        <f t="shared" si="1"/>
        <v>5.2376956520599371E-2</v>
      </c>
      <c r="AL4" s="491">
        <f t="shared" si="1"/>
        <v>7.2923940366890427E-2</v>
      </c>
      <c r="AM4" s="491">
        <f t="shared" si="1"/>
        <v>9.4708799224996865E-2</v>
      </c>
      <c r="AN4" s="491">
        <f t="shared" si="2"/>
        <v>0.13977077522163039</v>
      </c>
      <c r="AO4" s="491">
        <f t="shared" si="2"/>
        <v>0.14525422522682807</v>
      </c>
      <c r="AP4" s="491">
        <f t="shared" si="2"/>
        <v>0.13108332634455988</v>
      </c>
      <c r="AQ4" s="491">
        <f t="shared" si="2"/>
        <v>0.11036349068518558</v>
      </c>
      <c r="AR4" s="491">
        <f t="shared" si="2"/>
        <v>0.1028242657209586</v>
      </c>
      <c r="AS4" s="491">
        <f t="shared" si="2"/>
        <v>0.10100700989238964</v>
      </c>
      <c r="AT4" s="491">
        <f t="shared" si="2"/>
        <v>9.2983769475284861E-2</v>
      </c>
      <c r="AU4" s="491">
        <f t="shared" si="2"/>
        <v>0.10604497905149035</v>
      </c>
      <c r="AV4" s="491">
        <f t="shared" si="2"/>
        <v>0.11244997273337276</v>
      </c>
      <c r="AW4" s="491">
        <f t="shared" si="2"/>
        <v>0.10348005503615831</v>
      </c>
      <c r="AX4" s="491">
        <f t="shared" si="3"/>
        <v>0.1127985538244165</v>
      </c>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row>
    <row r="5" spans="1:78">
      <c r="A5" s="161"/>
      <c r="B5" s="390" t="s">
        <v>3300</v>
      </c>
      <c r="C5" s="396">
        <v>9756</v>
      </c>
      <c r="D5" s="396">
        <v>9929</v>
      </c>
      <c r="E5" s="396">
        <v>10227</v>
      </c>
      <c r="F5" s="396">
        <v>10529.4</v>
      </c>
      <c r="G5" s="396">
        <v>10465</v>
      </c>
      <c r="H5" s="396">
        <v>10565</v>
      </c>
      <c r="I5" s="396">
        <v>10823</v>
      </c>
      <c r="J5" s="396">
        <v>11036.9</v>
      </c>
      <c r="K5" s="396">
        <v>10820.6</v>
      </c>
      <c r="L5" s="396">
        <v>10965.6</v>
      </c>
      <c r="M5" s="396">
        <v>11034</v>
      </c>
      <c r="N5" s="396">
        <v>11138</v>
      </c>
      <c r="O5" s="396">
        <v>11255.2</v>
      </c>
      <c r="P5" s="396">
        <v>11439</v>
      </c>
      <c r="Q5" s="396">
        <v>11231</v>
      </c>
      <c r="R5" s="396">
        <v>11108.7</v>
      </c>
      <c r="S5" s="396">
        <v>10844</v>
      </c>
      <c r="T5" s="396">
        <v>10871.5</v>
      </c>
      <c r="U5" s="396">
        <v>10654.5</v>
      </c>
      <c r="V5" s="396">
        <v>10633</v>
      </c>
      <c r="W5" s="396">
        <v>10521.2</v>
      </c>
      <c r="X5" s="396">
        <v>10538</v>
      </c>
      <c r="Y5" s="396">
        <v>10580.8</v>
      </c>
      <c r="Z5" s="396">
        <f>V5*(1+AW5)</f>
        <v>10569.201999999999</v>
      </c>
      <c r="AA5" s="396">
        <f>W5*(1+AX5)</f>
        <v>10615.890799999999</v>
      </c>
      <c r="AB5" s="393"/>
      <c r="AC5" s="177"/>
      <c r="AD5" s="474">
        <f t="shared" ref="AD5:AM7" si="4">G5/C5-1</f>
        <v>7.2673226732267393E-2</v>
      </c>
      <c r="AE5" s="474">
        <f t="shared" si="4"/>
        <v>6.4054789001913637E-2</v>
      </c>
      <c r="AF5" s="474">
        <f t="shared" si="4"/>
        <v>5.8277109611811762E-2</v>
      </c>
      <c r="AG5" s="474">
        <f t="shared" si="4"/>
        <v>4.8198377875282583E-2</v>
      </c>
      <c r="AH5" s="474">
        <f t="shared" si="4"/>
        <v>3.3979933110367844E-2</v>
      </c>
      <c r="AI5" s="474">
        <f t="shared" si="4"/>
        <v>3.7917652626597187E-2</v>
      </c>
      <c r="AJ5" s="474">
        <f t="shared" si="4"/>
        <v>1.9495518802550071E-2</v>
      </c>
      <c r="AK5" s="474">
        <f t="shared" si="4"/>
        <v>9.1601808478829483E-3</v>
      </c>
      <c r="AL5" s="474">
        <f t="shared" si="4"/>
        <v>4.0164131379036405E-2</v>
      </c>
      <c r="AM5" s="474">
        <f t="shared" si="4"/>
        <v>4.3171372291529897E-2</v>
      </c>
      <c r="AN5" s="474">
        <f t="shared" ref="AN5:AV7" si="5">Q5/M5-1</f>
        <v>1.7853906108392215E-2</v>
      </c>
      <c r="AO5" s="474">
        <f t="shared" si="5"/>
        <v>-2.6306338660441186E-3</v>
      </c>
      <c r="AP5" s="474">
        <f t="shared" si="5"/>
        <v>-3.6534224180823194E-2</v>
      </c>
      <c r="AQ5" s="474">
        <f t="shared" si="5"/>
        <v>-4.9610979980767578E-2</v>
      </c>
      <c r="AR5" s="474">
        <f t="shared" si="5"/>
        <v>-5.1331137031430885E-2</v>
      </c>
      <c r="AS5" s="474">
        <f t="shared" si="5"/>
        <v>-4.2822292437458942E-2</v>
      </c>
      <c r="AT5" s="474">
        <f t="shared" si="5"/>
        <v>-2.9767613426779693E-2</v>
      </c>
      <c r="AU5" s="474">
        <f t="shared" si="5"/>
        <v>-3.0676539575955508E-2</v>
      </c>
      <c r="AV5" s="474">
        <f t="shared" si="5"/>
        <v>-6.9172650053967999E-3</v>
      </c>
      <c r="AW5" s="474">
        <v>-6.0000000000000001E-3</v>
      </c>
      <c r="AX5" s="474">
        <v>8.9999999999999993E-3</v>
      </c>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row>
    <row r="6" spans="1:78">
      <c r="A6" s="161"/>
      <c r="B6" s="855" t="s">
        <v>3301</v>
      </c>
      <c r="C6" s="904">
        <v>19044</v>
      </c>
      <c r="D6" s="904">
        <v>19066</v>
      </c>
      <c r="E6" s="904">
        <v>18613</v>
      </c>
      <c r="F6" s="904">
        <v>18912</v>
      </c>
      <c r="G6" s="904">
        <v>19039</v>
      </c>
      <c r="H6" s="904">
        <v>18984</v>
      </c>
      <c r="I6" s="904">
        <v>18973</v>
      </c>
      <c r="J6" s="904">
        <v>19163</v>
      </c>
      <c r="K6" s="904">
        <v>18435</v>
      </c>
      <c r="L6" s="904">
        <v>18500</v>
      </c>
      <c r="M6" s="904">
        <v>19023</v>
      </c>
      <c r="N6" s="904">
        <v>18919</v>
      </c>
      <c r="O6" s="904">
        <v>19193</v>
      </c>
      <c r="P6" s="904">
        <v>19534</v>
      </c>
      <c r="Q6" s="904">
        <v>19706</v>
      </c>
      <c r="R6" s="904">
        <v>20042</v>
      </c>
      <c r="S6" s="904">
        <v>21058</v>
      </c>
      <c r="T6" s="904">
        <v>20724</v>
      </c>
      <c r="U6" s="904">
        <v>20819</v>
      </c>
      <c r="V6" s="904">
        <v>20826</v>
      </c>
      <c r="W6" s="393">
        <v>21370</v>
      </c>
      <c r="X6" s="393">
        <v>21479</v>
      </c>
      <c r="Y6" s="393">
        <v>20525</v>
      </c>
      <c r="Z6" s="393">
        <v>21286</v>
      </c>
      <c r="AA6" s="393">
        <v>22406</v>
      </c>
      <c r="AB6" s="393"/>
      <c r="AC6" s="177"/>
      <c r="AD6" s="978">
        <f t="shared" si="4"/>
        <v>-2.6254988447804717E-4</v>
      </c>
      <c r="AE6" s="978">
        <f t="shared" si="4"/>
        <v>-4.300849680058727E-3</v>
      </c>
      <c r="AF6" s="978">
        <f t="shared" si="4"/>
        <v>1.9341320582388688E-2</v>
      </c>
      <c r="AG6" s="978">
        <f t="shared" si="4"/>
        <v>1.3271996615905168E-2</v>
      </c>
      <c r="AH6" s="978">
        <f t="shared" si="4"/>
        <v>-3.1724355270760007E-2</v>
      </c>
      <c r="AI6" s="978">
        <f t="shared" si="4"/>
        <v>-2.5495153813737903E-2</v>
      </c>
      <c r="AJ6" s="978">
        <f t="shared" si="4"/>
        <v>2.6353238813050517E-3</v>
      </c>
      <c r="AK6" s="978">
        <f t="shared" si="4"/>
        <v>-1.2732870636121718E-2</v>
      </c>
      <c r="AL6" s="978">
        <f t="shared" si="4"/>
        <v>4.1117439652834209E-2</v>
      </c>
      <c r="AM6" s="978">
        <f t="shared" si="4"/>
        <v>5.589189189189181E-2</v>
      </c>
      <c r="AN6" s="978">
        <f t="shared" si="5"/>
        <v>3.5903905798244207E-2</v>
      </c>
      <c r="AO6" s="978">
        <f t="shared" si="5"/>
        <v>5.9358317035784092E-2</v>
      </c>
      <c r="AP6" s="978">
        <f t="shared" si="5"/>
        <v>9.717084353670602E-2</v>
      </c>
      <c r="AQ6" s="978">
        <f t="shared" si="5"/>
        <v>6.0919422545305579E-2</v>
      </c>
      <c r="AR6" s="978">
        <f t="shared" si="5"/>
        <v>5.6480259819344347E-2</v>
      </c>
      <c r="AS6" s="978">
        <f t="shared" si="5"/>
        <v>3.9117852509729545E-2</v>
      </c>
      <c r="AT6" s="978">
        <f t="shared" si="5"/>
        <v>1.4816221863424905E-2</v>
      </c>
      <c r="AU6" s="978">
        <f t="shared" si="5"/>
        <v>3.6431190889789633E-2</v>
      </c>
      <c r="AV6" s="978">
        <f t="shared" si="5"/>
        <v>-1.4121715740429419E-2</v>
      </c>
      <c r="AW6" s="978">
        <f>Z6/V6-1</f>
        <v>2.2087774896763612E-2</v>
      </c>
      <c r="AX6" s="978">
        <f>AA6/W6-1</f>
        <v>4.8479176415535896E-2</v>
      </c>
      <c r="AY6" s="161"/>
      <c r="AZ6" s="161"/>
      <c r="BA6" s="161"/>
      <c r="BB6" s="161"/>
      <c r="BC6" s="161"/>
      <c r="BD6" s="161"/>
      <c r="BE6" s="161"/>
      <c r="BF6" s="161"/>
      <c r="BG6" s="161"/>
      <c r="BH6" s="161"/>
      <c r="BI6" s="161"/>
      <c r="BJ6" s="161"/>
      <c r="BK6" s="161"/>
      <c r="BL6" s="161"/>
      <c r="BM6" s="161"/>
      <c r="BN6" s="161"/>
      <c r="BO6" s="161"/>
      <c r="BP6" s="161"/>
      <c r="BQ6" s="161"/>
      <c r="BR6" s="161"/>
      <c r="BS6" s="161"/>
      <c r="BT6" s="161"/>
      <c r="BU6" s="161"/>
      <c r="BV6" s="161"/>
      <c r="BW6" s="161"/>
      <c r="BX6" s="161"/>
      <c r="BY6" s="161"/>
      <c r="BZ6" s="161"/>
    </row>
    <row r="7" spans="1:78">
      <c r="A7" s="161"/>
      <c r="B7" s="468" t="s">
        <v>39</v>
      </c>
      <c r="C7" s="469">
        <f t="shared" ref="C7:M7" si="6">SUM(C3:C6)</f>
        <v>36221.51</v>
      </c>
      <c r="D7" s="469">
        <f t="shared" si="6"/>
        <v>36750.222849999998</v>
      </c>
      <c r="E7" s="469">
        <f t="shared" si="6"/>
        <v>37189.219519999999</v>
      </c>
      <c r="F7" s="469">
        <f t="shared" si="6"/>
        <v>38513.222999999998</v>
      </c>
      <c r="G7" s="469">
        <f t="shared" si="6"/>
        <v>39253.9</v>
      </c>
      <c r="H7" s="469">
        <f t="shared" si="6"/>
        <v>39840</v>
      </c>
      <c r="I7" s="469">
        <f t="shared" si="6"/>
        <v>40507.372000000003</v>
      </c>
      <c r="J7" s="469">
        <f t="shared" si="6"/>
        <v>41646.142</v>
      </c>
      <c r="K7" s="469">
        <f t="shared" si="6"/>
        <v>41578.963000000003</v>
      </c>
      <c r="L7" s="469">
        <f t="shared" si="6"/>
        <v>42319.448000000004</v>
      </c>
      <c r="M7" s="469">
        <f t="shared" si="6"/>
        <v>43378.35</v>
      </c>
      <c r="N7" s="469">
        <f t="shared" ref="N7:T7" si="7">SUM(N3:N6)</f>
        <v>44076</v>
      </c>
      <c r="O7" s="469">
        <f t="shared" si="7"/>
        <v>44467.055999999997</v>
      </c>
      <c r="P7" s="469">
        <f t="shared" si="7"/>
        <v>45514.732000000004</v>
      </c>
      <c r="Q7" s="469">
        <f t="shared" si="7"/>
        <v>45974.493999999999</v>
      </c>
      <c r="R7" s="469">
        <f t="shared" si="7"/>
        <v>46533.173999999999</v>
      </c>
      <c r="S7" s="469">
        <f t="shared" si="7"/>
        <v>47583.611000000004</v>
      </c>
      <c r="T7" s="469">
        <f t="shared" si="7"/>
        <v>47476.701000000001</v>
      </c>
      <c r="U7" s="469">
        <f t="shared" ref="U7:Z7" si="8">SUM(U3:U6)</f>
        <v>47844.527000000002</v>
      </c>
      <c r="V7" s="469">
        <f t="shared" si="8"/>
        <v>48201.703999999998</v>
      </c>
      <c r="W7" s="471">
        <f t="shared" si="8"/>
        <v>48654.794000000002</v>
      </c>
      <c r="X7" s="471">
        <f t="shared" si="8"/>
        <v>49317.133000000002</v>
      </c>
      <c r="Y7" s="471">
        <f t="shared" si="8"/>
        <v>48527.525999999998</v>
      </c>
      <c r="Z7" s="471">
        <f t="shared" si="8"/>
        <v>49643.341999999997</v>
      </c>
      <c r="AA7" s="471">
        <f t="shared" ref="AA7" si="9">SUM(AA3:AA6)</f>
        <v>50874.911800000002</v>
      </c>
      <c r="AB7" s="485"/>
      <c r="AC7" s="464"/>
      <c r="AD7" s="475">
        <f t="shared" si="4"/>
        <v>8.3717934453864551E-2</v>
      </c>
      <c r="AE7" s="475">
        <f t="shared" si="4"/>
        <v>8.407505888090161E-2</v>
      </c>
      <c r="AF7" s="475">
        <f t="shared" si="4"/>
        <v>8.9223504091435313E-2</v>
      </c>
      <c r="AG7" s="475">
        <f t="shared" si="4"/>
        <v>8.1346580627645881E-2</v>
      </c>
      <c r="AH7" s="475">
        <f t="shared" si="4"/>
        <v>5.9231388473502067E-2</v>
      </c>
      <c r="AI7" s="475">
        <f t="shared" si="4"/>
        <v>6.2235140562248992E-2</v>
      </c>
      <c r="AJ7" s="475">
        <f t="shared" si="4"/>
        <v>7.0875444598084369E-2</v>
      </c>
      <c r="AK7" s="475">
        <f t="shared" si="4"/>
        <v>5.8345332443999309E-2</v>
      </c>
      <c r="AL7" s="475">
        <f t="shared" si="4"/>
        <v>6.9460438443353922E-2</v>
      </c>
      <c r="AM7" s="475">
        <f t="shared" si="4"/>
        <v>7.5503914890383328E-2</v>
      </c>
      <c r="AN7" s="475">
        <f t="shared" si="5"/>
        <v>5.9848841645659734E-2</v>
      </c>
      <c r="AO7" s="475">
        <f t="shared" si="5"/>
        <v>5.5748570650694163E-2</v>
      </c>
      <c r="AP7" s="475">
        <f t="shared" si="5"/>
        <v>7.0086830124306054E-2</v>
      </c>
      <c r="AQ7" s="475">
        <f t="shared" si="5"/>
        <v>4.3106240854060118E-2</v>
      </c>
      <c r="AR7" s="475">
        <f t="shared" si="5"/>
        <v>4.067544495432629E-2</v>
      </c>
      <c r="AS7" s="475">
        <f t="shared" si="5"/>
        <v>3.5856784667213981E-2</v>
      </c>
      <c r="AT7" s="475">
        <f t="shared" si="5"/>
        <v>2.2511595431460529E-2</v>
      </c>
      <c r="AU7" s="475">
        <f t="shared" si="5"/>
        <v>3.876495125472168E-2</v>
      </c>
      <c r="AV7" s="475">
        <f t="shared" si="5"/>
        <v>1.4275384099836419E-2</v>
      </c>
      <c r="AW7" s="475">
        <f>Z7/V7-1</f>
        <v>2.9908444730501582E-2</v>
      </c>
      <c r="AX7" s="475">
        <f>AA7/W7-1</f>
        <v>4.5629990746646643E-2</v>
      </c>
      <c r="AY7" s="161"/>
      <c r="AZ7" s="161"/>
      <c r="BA7" s="161"/>
      <c r="BB7" s="161"/>
      <c r="BC7" s="161"/>
      <c r="BD7" s="161"/>
      <c r="BE7" s="161"/>
      <c r="BF7" s="161"/>
      <c r="BG7" s="161"/>
      <c r="BH7" s="161"/>
      <c r="BI7" s="161"/>
      <c r="BJ7" s="161"/>
      <c r="BK7" s="161"/>
      <c r="BL7" s="161"/>
      <c r="BM7" s="161"/>
      <c r="BN7" s="161"/>
      <c r="BO7" s="161"/>
      <c r="BP7" s="161"/>
      <c r="BQ7" s="161"/>
      <c r="BR7" s="161"/>
      <c r="BS7" s="161"/>
      <c r="BT7" s="161"/>
      <c r="BU7" s="161"/>
      <c r="BV7" s="161"/>
      <c r="BW7" s="161"/>
      <c r="BX7" s="161"/>
      <c r="BY7" s="161"/>
      <c r="BZ7" s="161"/>
    </row>
    <row r="8" spans="1:78">
      <c r="A8" s="161"/>
      <c r="B8" s="161"/>
      <c r="C8" s="393"/>
      <c r="D8" s="393"/>
      <c r="E8" s="393"/>
      <c r="F8" s="393"/>
      <c r="G8" s="393"/>
      <c r="H8" s="393"/>
      <c r="I8" s="393"/>
      <c r="J8" s="393"/>
      <c r="K8" s="393"/>
      <c r="L8" s="393"/>
      <c r="M8" s="393"/>
      <c r="N8" s="393"/>
      <c r="O8" s="393"/>
      <c r="P8" s="393"/>
      <c r="Q8" s="393"/>
      <c r="R8" s="393"/>
      <c r="S8" s="393"/>
      <c r="T8" s="393"/>
      <c r="U8" s="393"/>
      <c r="V8" s="393"/>
      <c r="W8" s="393"/>
      <c r="X8" s="393"/>
      <c r="Y8" s="393"/>
      <c r="Z8" s="393"/>
      <c r="AA8" s="393"/>
      <c r="AB8" s="393"/>
      <c r="AC8" s="177"/>
      <c r="AD8" s="467"/>
      <c r="AE8" s="467"/>
      <c r="AF8" s="467"/>
      <c r="AG8" s="467"/>
      <c r="AH8" s="467"/>
      <c r="AI8" s="467"/>
      <c r="AJ8" s="467"/>
      <c r="AK8" s="467"/>
      <c r="AL8" s="467"/>
      <c r="AM8" s="467"/>
      <c r="AN8" s="467"/>
      <c r="AO8" s="467"/>
      <c r="AP8" s="467"/>
      <c r="AQ8" s="467"/>
      <c r="AR8" s="467"/>
      <c r="AS8" s="467"/>
      <c r="AT8" s="467"/>
      <c r="AU8" s="467"/>
      <c r="AV8" s="467"/>
      <c r="AW8" s="467"/>
      <c r="AX8" s="467"/>
      <c r="AY8" s="161"/>
      <c r="AZ8" s="161"/>
      <c r="BA8" s="161"/>
      <c r="BB8" s="161"/>
      <c r="BC8" s="161"/>
      <c r="BD8" s="161"/>
      <c r="BE8" s="161"/>
      <c r="BF8" s="161"/>
      <c r="BG8" s="161"/>
      <c r="BH8" s="161"/>
      <c r="BI8" s="161"/>
      <c r="BJ8" s="161"/>
      <c r="BK8" s="161"/>
      <c r="BL8" s="161"/>
      <c r="BM8" s="161"/>
      <c r="BN8" s="161"/>
      <c r="BO8" s="161"/>
      <c r="BP8" s="161"/>
      <c r="BQ8" s="161"/>
      <c r="BR8" s="161"/>
      <c r="BS8" s="161"/>
      <c r="BT8" s="161"/>
      <c r="BU8" s="161"/>
      <c r="BV8" s="161"/>
      <c r="BW8" s="161"/>
      <c r="BX8" s="161"/>
      <c r="BY8" s="161"/>
      <c r="BZ8" s="161"/>
    </row>
    <row r="9" spans="1:78">
      <c r="A9" s="161"/>
      <c r="B9" s="468" t="s">
        <v>295</v>
      </c>
      <c r="C9" s="396"/>
      <c r="D9" s="396"/>
      <c r="E9" s="396"/>
      <c r="F9" s="396"/>
      <c r="G9" s="396"/>
      <c r="H9" s="396"/>
      <c r="I9" s="396"/>
      <c r="J9" s="396"/>
      <c r="K9" s="396"/>
      <c r="L9" s="396"/>
      <c r="M9" s="396"/>
      <c r="N9" s="396"/>
      <c r="O9" s="396"/>
      <c r="P9" s="396"/>
      <c r="Q9" s="396"/>
      <c r="R9" s="396"/>
      <c r="S9" s="396"/>
      <c r="T9" s="396"/>
      <c r="U9" s="396"/>
      <c r="V9" s="396"/>
      <c r="W9" s="396"/>
      <c r="X9" s="396"/>
      <c r="Y9" s="396"/>
      <c r="Z9" s="396"/>
      <c r="AA9" s="396"/>
      <c r="AB9" s="393"/>
      <c r="AC9" s="177"/>
      <c r="AD9" s="465"/>
      <c r="AE9" s="465"/>
      <c r="AF9" s="465"/>
      <c r="AG9" s="465"/>
      <c r="AH9" s="465"/>
      <c r="AI9" s="465"/>
      <c r="AJ9" s="465"/>
      <c r="AK9" s="465"/>
      <c r="AL9" s="465"/>
      <c r="AM9" s="465"/>
      <c r="AN9" s="465"/>
      <c r="AO9" s="465"/>
      <c r="AP9" s="465"/>
      <c r="AQ9" s="465"/>
      <c r="AR9" s="465"/>
      <c r="AS9" s="465"/>
      <c r="AT9" s="465"/>
      <c r="AU9" s="465"/>
      <c r="AV9" s="465"/>
      <c r="AW9" s="465"/>
      <c r="AX9" s="465"/>
      <c r="AY9" s="161"/>
      <c r="AZ9" s="161"/>
      <c r="BA9" s="161"/>
      <c r="BB9" s="161"/>
      <c r="BC9" s="161"/>
      <c r="BD9" s="161"/>
      <c r="BE9" s="161"/>
      <c r="BF9" s="161"/>
      <c r="BG9" s="161"/>
      <c r="BH9" s="161"/>
      <c r="BI9" s="161"/>
      <c r="BJ9" s="161"/>
      <c r="BK9" s="161"/>
      <c r="BL9" s="161"/>
      <c r="BM9" s="161"/>
      <c r="BN9" s="161"/>
      <c r="BO9" s="161"/>
      <c r="BP9" s="161"/>
      <c r="BQ9" s="161"/>
      <c r="BR9" s="161"/>
      <c r="BS9" s="161"/>
      <c r="BT9" s="161"/>
      <c r="BU9" s="161"/>
      <c r="BV9" s="161"/>
      <c r="BW9" s="161"/>
      <c r="BX9" s="161"/>
      <c r="BY9" s="161"/>
      <c r="BZ9" s="161"/>
    </row>
    <row r="10" spans="1:78">
      <c r="A10" s="161"/>
      <c r="B10" s="161" t="s">
        <v>678</v>
      </c>
      <c r="C10" s="393">
        <v>1643</v>
      </c>
      <c r="D10" s="393">
        <f>3141-C10</f>
        <v>1498</v>
      </c>
      <c r="E10" s="393">
        <v>1779</v>
      </c>
      <c r="F10" s="393">
        <v>2469</v>
      </c>
      <c r="G10" s="393">
        <v>2676</v>
      </c>
      <c r="H10" s="393">
        <f>5633-G10</f>
        <v>2957</v>
      </c>
      <c r="I10" s="393">
        <v>3056</v>
      </c>
      <c r="J10" s="393">
        <v>3345</v>
      </c>
      <c r="K10" s="393">
        <v>3728</v>
      </c>
      <c r="L10" s="393">
        <v>3805</v>
      </c>
      <c r="M10" s="393">
        <v>4055</v>
      </c>
      <c r="N10" s="393">
        <v>4379</v>
      </c>
      <c r="O10" s="393">
        <v>4434</v>
      </c>
      <c r="P10" s="393">
        <v>4377</v>
      </c>
      <c r="Q10" s="393">
        <v>4814</v>
      </c>
      <c r="R10" s="393">
        <v>4736</v>
      </c>
      <c r="S10" s="393">
        <v>4988</v>
      </c>
      <c r="T10" s="393">
        <v>5096</v>
      </c>
      <c r="U10" s="393">
        <v>5390</v>
      </c>
      <c r="V10" s="393">
        <v>5483</v>
      </c>
      <c r="W10" s="393">
        <f>W73</f>
        <v>5083</v>
      </c>
      <c r="X10" s="393">
        <f>X73</f>
        <v>5399</v>
      </c>
      <c r="Y10" s="393">
        <f>Y73</f>
        <v>5099</v>
      </c>
      <c r="Z10" s="393">
        <f>Z73</f>
        <v>5029</v>
      </c>
      <c r="AA10" s="393">
        <f>AA73</f>
        <v>4849</v>
      </c>
      <c r="AB10" s="393"/>
      <c r="AC10" s="177"/>
      <c r="AD10" s="491">
        <f t="shared" ref="AD10:AM11" si="10">G10/C10-1</f>
        <v>0.62872793670115645</v>
      </c>
      <c r="AE10" s="491">
        <f t="shared" si="10"/>
        <v>0.97396528704939911</v>
      </c>
      <c r="AF10" s="491">
        <f t="shared" si="10"/>
        <v>0.71781899943788652</v>
      </c>
      <c r="AG10" s="491">
        <f t="shared" si="10"/>
        <v>0.35479951397326848</v>
      </c>
      <c r="AH10" s="491">
        <f t="shared" si="10"/>
        <v>0.39312406576980563</v>
      </c>
      <c r="AI10" s="491">
        <f t="shared" si="10"/>
        <v>0.28677713899222179</v>
      </c>
      <c r="AJ10" s="491">
        <f t="shared" si="10"/>
        <v>0.32689790575916233</v>
      </c>
      <c r="AK10" s="491">
        <f t="shared" si="10"/>
        <v>0.30911808669656193</v>
      </c>
      <c r="AL10" s="491">
        <f t="shared" si="10"/>
        <v>0.18937768240343344</v>
      </c>
      <c r="AM10" s="491">
        <f t="shared" si="10"/>
        <v>0.15032851511169509</v>
      </c>
      <c r="AN10" s="491">
        <f t="shared" ref="AN10:AW11" si="11">Q10/M10-1</f>
        <v>0.1871763255240444</v>
      </c>
      <c r="AO10" s="491">
        <f t="shared" si="11"/>
        <v>8.1525462434345775E-2</v>
      </c>
      <c r="AP10" s="491">
        <f t="shared" si="11"/>
        <v>0.12494361750112759</v>
      </c>
      <c r="AQ10" s="491">
        <f t="shared" si="11"/>
        <v>0.16426776330820192</v>
      </c>
      <c r="AR10" s="491">
        <f t="shared" si="11"/>
        <v>0.11965101786456178</v>
      </c>
      <c r="AS10" s="491">
        <f t="shared" si="11"/>
        <v>0.15772804054054057</v>
      </c>
      <c r="AT10" s="491">
        <f t="shared" si="11"/>
        <v>1.9045709703287894E-2</v>
      </c>
      <c r="AU10" s="491">
        <f t="shared" si="11"/>
        <v>5.9458398744113072E-2</v>
      </c>
      <c r="AV10" s="491">
        <f t="shared" si="11"/>
        <v>-5.3988868274582602E-2</v>
      </c>
      <c r="AW10" s="491">
        <f t="shared" si="11"/>
        <v>-8.2801386102498653E-2</v>
      </c>
      <c r="AX10" s="491">
        <f t="shared" ref="AX10:AX11" si="12">AA10/W10-1</f>
        <v>-4.6035805626598481E-2</v>
      </c>
      <c r="AY10" s="161"/>
      <c r="AZ10" s="161"/>
      <c r="BA10" s="161"/>
      <c r="BB10" s="161"/>
      <c r="BC10" s="161"/>
      <c r="BD10" s="161"/>
      <c r="BE10" s="161"/>
      <c r="BF10" s="161"/>
      <c r="BG10" s="161"/>
      <c r="BH10" s="161"/>
      <c r="BI10" s="161"/>
      <c r="BJ10" s="161"/>
      <c r="BK10" s="161"/>
      <c r="BL10" s="161"/>
      <c r="BM10" s="161"/>
      <c r="BN10" s="161"/>
      <c r="BO10" s="161"/>
      <c r="BP10" s="161"/>
      <c r="BQ10" s="161"/>
      <c r="BR10" s="161"/>
      <c r="BS10" s="161"/>
      <c r="BT10" s="161"/>
      <c r="BU10" s="161"/>
      <c r="BV10" s="161"/>
      <c r="BW10" s="161"/>
      <c r="BX10" s="161"/>
      <c r="BY10" s="161"/>
      <c r="BZ10" s="161"/>
    </row>
    <row r="11" spans="1:78">
      <c r="A11" s="161"/>
      <c r="B11" s="390" t="s">
        <v>122</v>
      </c>
      <c r="C11" s="396">
        <f>Quarts!AV140</f>
        <v>2766.6370000000002</v>
      </c>
      <c r="D11" s="396">
        <f>Quarts!AW140</f>
        <v>2720.0540000000001</v>
      </c>
      <c r="E11" s="396">
        <f>Quarts!AX140</f>
        <v>2783.3220000000001</v>
      </c>
      <c r="F11" s="396">
        <f>Quarts!AY140</f>
        <v>2767.2570000000001</v>
      </c>
      <c r="G11" s="396">
        <f>Quarts!AZ140</f>
        <v>3002.9789999999998</v>
      </c>
      <c r="H11" s="396">
        <f>Quarts!BA140</f>
        <v>3011</v>
      </c>
      <c r="I11" s="396">
        <f>Quarts!BB140</f>
        <v>3015.6239999999998</v>
      </c>
      <c r="J11" s="396">
        <f>Quarts!BC140</f>
        <v>3087.174</v>
      </c>
      <c r="K11" s="396">
        <f>Quarts!BD140</f>
        <v>3228.4879999999998</v>
      </c>
      <c r="L11" s="396">
        <f>Quarts!BE140</f>
        <v>3257.6019999999999</v>
      </c>
      <c r="M11" s="396">
        <f>Quarts!BF140</f>
        <v>3168.0259999999998</v>
      </c>
      <c r="N11" s="396">
        <f>Quarts!BG140</f>
        <v>3114.9029999999998</v>
      </c>
      <c r="O11" s="396">
        <f>Quarts!BH140</f>
        <v>3268.6950000000002</v>
      </c>
      <c r="P11" s="396">
        <f>Quarts!BI140</f>
        <v>3287.3739999999998</v>
      </c>
      <c r="Q11" s="396">
        <f>Quarts!BJ140</f>
        <v>3306.2489999999998</v>
      </c>
      <c r="R11" s="396">
        <f>Quarts!BK140</f>
        <v>3457.6759999999999</v>
      </c>
      <c r="S11" s="396">
        <f>Quarts!BL140</f>
        <v>3680.6039999999998</v>
      </c>
      <c r="T11" s="396">
        <f>Quarts!BM140</f>
        <v>3605.53</v>
      </c>
      <c r="U11" s="396">
        <f>Quarts!BN140</f>
        <v>3578.777</v>
      </c>
      <c r="V11" s="396">
        <f>Quarts!BO140</f>
        <v>3764.9409999999998</v>
      </c>
      <c r="W11" s="396">
        <f>Quarts!BP140</f>
        <v>3983.6610000000001</v>
      </c>
      <c r="X11" s="396">
        <f>Quarts!BQ140</f>
        <v>3953.5949999999998</v>
      </c>
      <c r="Y11" s="396">
        <f>Quarts!BR140</f>
        <v>3945.53</v>
      </c>
      <c r="Z11" s="396">
        <f>Quarts!BS140</f>
        <v>4053.248</v>
      </c>
      <c r="AA11" s="396">
        <f>Quarts!BT140</f>
        <v>4322.3559999999998</v>
      </c>
      <c r="AB11" s="393"/>
      <c r="AC11" s="177"/>
      <c r="AD11" s="474">
        <f t="shared" si="10"/>
        <v>8.5425735288004789E-2</v>
      </c>
      <c r="AE11" s="474">
        <f t="shared" si="10"/>
        <v>0.10696331764001732</v>
      </c>
      <c r="AF11" s="474">
        <f t="shared" si="10"/>
        <v>8.3462136253009689E-2</v>
      </c>
      <c r="AG11" s="474">
        <f t="shared" si="10"/>
        <v>0.11560798292316177</v>
      </c>
      <c r="AH11" s="474">
        <f t="shared" si="10"/>
        <v>7.5095097235112318E-2</v>
      </c>
      <c r="AI11" s="474">
        <f t="shared" si="10"/>
        <v>8.190036532713374E-2</v>
      </c>
      <c r="AJ11" s="474">
        <f t="shared" si="10"/>
        <v>5.0537467535740621E-2</v>
      </c>
      <c r="AK11" s="474">
        <f t="shared" si="10"/>
        <v>8.982001014520069E-3</v>
      </c>
      <c r="AL11" s="474">
        <f t="shared" si="10"/>
        <v>1.2453817390679633E-2</v>
      </c>
      <c r="AM11" s="474">
        <f t="shared" si="10"/>
        <v>9.1392380039059251E-3</v>
      </c>
      <c r="AN11" s="474">
        <f t="shared" si="11"/>
        <v>4.3630639395005E-2</v>
      </c>
      <c r="AO11" s="474">
        <f t="shared" si="11"/>
        <v>0.11004291305379343</v>
      </c>
      <c r="AP11" s="474">
        <f t="shared" si="11"/>
        <v>0.12601634597293399</v>
      </c>
      <c r="AQ11" s="474">
        <f t="shared" si="11"/>
        <v>9.6781199826974529E-2</v>
      </c>
      <c r="AR11" s="474">
        <f t="shared" si="11"/>
        <v>8.2428153475434085E-2</v>
      </c>
      <c r="AS11" s="474">
        <f t="shared" si="11"/>
        <v>8.8864601541613464E-2</v>
      </c>
      <c r="AT11" s="474">
        <f t="shared" si="11"/>
        <v>8.2338931327575748E-2</v>
      </c>
      <c r="AU11" s="474">
        <f t="shared" si="11"/>
        <v>9.6536431537110889E-2</v>
      </c>
      <c r="AV11" s="474">
        <f t="shared" si="11"/>
        <v>0.10247998128969771</v>
      </c>
      <c r="AW11" s="474">
        <f t="shared" si="11"/>
        <v>7.6576764416759868E-2</v>
      </c>
      <c r="AX11" s="474">
        <f t="shared" si="12"/>
        <v>8.502103969188135E-2</v>
      </c>
      <c r="AY11" s="161"/>
      <c r="AZ11" s="161"/>
      <c r="BA11" s="161"/>
      <c r="BB11" s="161"/>
      <c r="BC11" s="161"/>
      <c r="BD11" s="161"/>
      <c r="BE11" s="161"/>
      <c r="BF11" s="161"/>
      <c r="BG11" s="161"/>
      <c r="BH11" s="161"/>
      <c r="BI11" s="161"/>
      <c r="BJ11" s="161"/>
      <c r="BK11" s="161"/>
      <c r="BL11" s="161"/>
      <c r="BM11" s="161"/>
      <c r="BN11" s="161"/>
      <c r="BO11" s="161"/>
      <c r="BP11" s="161"/>
      <c r="BQ11" s="161"/>
      <c r="BR11" s="161"/>
      <c r="BS11" s="161"/>
      <c r="BT11" s="161"/>
      <c r="BU11" s="161"/>
      <c r="BV11" s="161"/>
      <c r="BW11" s="161"/>
      <c r="BX11" s="161"/>
      <c r="BY11" s="161"/>
      <c r="BZ11" s="161"/>
    </row>
    <row r="12" spans="1:78">
      <c r="A12" s="161"/>
      <c r="B12" s="855" t="s">
        <v>894</v>
      </c>
      <c r="C12" s="904">
        <v>8285.4000000000015</v>
      </c>
      <c r="D12" s="904">
        <v>8270.3000000000011</v>
      </c>
      <c r="E12" s="904">
        <v>10156.499999999998</v>
      </c>
      <c r="F12" s="904">
        <v>11916.299999999997</v>
      </c>
      <c r="G12" s="904">
        <v>8878.3000000000011</v>
      </c>
      <c r="H12" s="904">
        <v>9623.6</v>
      </c>
      <c r="I12" s="904">
        <v>10488.3</v>
      </c>
      <c r="J12" s="904">
        <v>12281.800000000001</v>
      </c>
      <c r="K12" s="904">
        <v>6883.4000000000005</v>
      </c>
      <c r="L12" s="904">
        <v>6760.5000000000009</v>
      </c>
      <c r="M12" s="904">
        <v>6823.5999999999995</v>
      </c>
      <c r="N12" s="904">
        <v>6004.4</v>
      </c>
      <c r="O12" s="904">
        <v>6727.4</v>
      </c>
      <c r="P12" s="904">
        <v>6575.6999999999989</v>
      </c>
      <c r="Q12" s="393">
        <v>6225.2</v>
      </c>
      <c r="R12" s="393">
        <v>5716.4000000000015</v>
      </c>
      <c r="S12" s="976">
        <v>5697.5999999999995</v>
      </c>
      <c r="T12" s="976">
        <v>5858.7000000000007</v>
      </c>
      <c r="U12" s="976">
        <v>5655.9000000000005</v>
      </c>
      <c r="V12" s="976">
        <v>5189.7</v>
      </c>
      <c r="W12" s="476">
        <v>5583.5</v>
      </c>
      <c r="X12" s="476">
        <v>5672.2</v>
      </c>
      <c r="Y12" s="476">
        <v>5619.7000000000007</v>
      </c>
      <c r="Z12" s="476">
        <v>5697.5999999999995</v>
      </c>
      <c r="AA12" s="476">
        <v>5927</v>
      </c>
      <c r="AB12" s="393"/>
      <c r="AC12" s="177"/>
      <c r="AD12" s="491">
        <f t="shared" ref="AD12:AG13" si="13">G12/C12-1</f>
        <v>7.1559610881791968E-2</v>
      </c>
      <c r="AE12" s="491">
        <f t="shared" si="13"/>
        <v>0.16363372549967936</v>
      </c>
      <c r="AF12" s="491">
        <f t="shared" si="13"/>
        <v>3.2668734308078706E-2</v>
      </c>
      <c r="AG12" s="491">
        <f t="shared" si="13"/>
        <v>3.0672272433557746E-2</v>
      </c>
      <c r="AH12" s="979">
        <v>5.8691439293733882E-2</v>
      </c>
      <c r="AI12" s="980">
        <v>-4.1661941483329468E-2</v>
      </c>
      <c r="AJ12" s="980">
        <v>-3.8753574598165752E-2</v>
      </c>
      <c r="AK12" s="980">
        <v>-0.12191983153215091</v>
      </c>
      <c r="AL12" s="978">
        <f t="shared" ref="AL12:AO13" si="14">O12/K12-1</f>
        <v>-2.266321875817201E-2</v>
      </c>
      <c r="AM12" s="978">
        <f t="shared" si="14"/>
        <v>-2.7335256268027797E-2</v>
      </c>
      <c r="AN12" s="978">
        <f t="shared" si="14"/>
        <v>-8.7695644527815197E-2</v>
      </c>
      <c r="AO12" s="978">
        <f t="shared" si="14"/>
        <v>-4.7964825794417076E-2</v>
      </c>
      <c r="AP12" s="980">
        <v>-9.8976770095691391E-2</v>
      </c>
      <c r="AQ12" s="980">
        <v>-3.1855502447219353E-2</v>
      </c>
      <c r="AR12" s="980">
        <v>-1.4498897161203672E-3</v>
      </c>
      <c r="AS12" s="980">
        <v>-1.2097669584792747E-2</v>
      </c>
      <c r="AT12" s="978">
        <f t="shared" ref="AT12:AX13" si="15">W12/S12-1</f>
        <v>-2.0025975849480404E-2</v>
      </c>
      <c r="AU12" s="978">
        <f t="shared" si="15"/>
        <v>-3.1833000494990493E-2</v>
      </c>
      <c r="AV12" s="978">
        <f t="shared" si="15"/>
        <v>-6.4003960466061383E-3</v>
      </c>
      <c r="AW12" s="978">
        <f t="shared" si="15"/>
        <v>9.786692872420355E-2</v>
      </c>
      <c r="AX12" s="978">
        <f t="shared" si="15"/>
        <v>6.1520551625324549E-2</v>
      </c>
      <c r="AY12" s="161"/>
      <c r="AZ12" s="161"/>
      <c r="BA12" s="161"/>
      <c r="BB12" s="161"/>
      <c r="BC12" s="161"/>
      <c r="BD12" s="161"/>
      <c r="BE12" s="161"/>
      <c r="BF12" s="161"/>
      <c r="BG12" s="161"/>
      <c r="BH12" s="161"/>
      <c r="BI12" s="161"/>
      <c r="BJ12" s="161"/>
      <c r="BK12" s="161"/>
      <c r="BL12" s="161"/>
      <c r="BM12" s="161"/>
      <c r="BN12" s="161"/>
      <c r="BO12" s="161"/>
      <c r="BP12" s="161"/>
      <c r="BQ12" s="161"/>
      <c r="BR12" s="161"/>
      <c r="BS12" s="161"/>
      <c r="BT12" s="161"/>
      <c r="BU12" s="161"/>
      <c r="BV12" s="161"/>
      <c r="BW12" s="161"/>
      <c r="BX12" s="161"/>
      <c r="BY12" s="161"/>
      <c r="BZ12" s="161"/>
    </row>
    <row r="13" spans="1:78">
      <c r="A13" s="161"/>
      <c r="B13" s="468" t="s">
        <v>679</v>
      </c>
      <c r="C13" s="469">
        <f>SUM(C10:C12)</f>
        <v>12695.037000000002</v>
      </c>
      <c r="D13" s="469">
        <f>SUM(D10:D12)</f>
        <v>12488.354000000001</v>
      </c>
      <c r="E13" s="469">
        <f>SUM(E10:E12)</f>
        <v>14718.821999999998</v>
      </c>
      <c r="F13" s="469">
        <f>SUM(F10:F12)</f>
        <v>17152.556999999997</v>
      </c>
      <c r="G13" s="469">
        <f>SUM(G10:G12)</f>
        <v>14557.279</v>
      </c>
      <c r="H13" s="469">
        <f t="shared" ref="H13:R13" si="16">SUM(H10:H12)</f>
        <v>15591.6</v>
      </c>
      <c r="I13" s="469">
        <f t="shared" si="16"/>
        <v>16559.923999999999</v>
      </c>
      <c r="J13" s="469">
        <f t="shared" si="16"/>
        <v>18713.974000000002</v>
      </c>
      <c r="K13" s="469">
        <f t="shared" si="16"/>
        <v>13839.887999999999</v>
      </c>
      <c r="L13" s="469">
        <f t="shared" si="16"/>
        <v>13823.102000000001</v>
      </c>
      <c r="M13" s="469">
        <f t="shared" si="16"/>
        <v>14046.626</v>
      </c>
      <c r="N13" s="469">
        <f t="shared" si="16"/>
        <v>13498.303</v>
      </c>
      <c r="O13" s="469">
        <f t="shared" si="16"/>
        <v>14430.094999999999</v>
      </c>
      <c r="P13" s="469">
        <f t="shared" si="16"/>
        <v>14240.073999999999</v>
      </c>
      <c r="Q13" s="471">
        <f t="shared" si="16"/>
        <v>14345.449000000001</v>
      </c>
      <c r="R13" s="471">
        <f t="shared" si="16"/>
        <v>13910.076000000001</v>
      </c>
      <c r="S13" s="471">
        <f>SUM(S10:S12)</f>
        <v>14366.203999999998</v>
      </c>
      <c r="T13" s="471">
        <f>SUM(T10:T12)</f>
        <v>14560.230000000001</v>
      </c>
      <c r="U13" s="471">
        <f t="shared" ref="U13:Z13" si="17">SUM(U10:U12)</f>
        <v>14624.677</v>
      </c>
      <c r="V13" s="471">
        <f t="shared" si="17"/>
        <v>14437.641</v>
      </c>
      <c r="W13" s="471">
        <f t="shared" si="17"/>
        <v>14650.161</v>
      </c>
      <c r="X13" s="471">
        <f t="shared" si="17"/>
        <v>15024.794999999998</v>
      </c>
      <c r="Y13" s="471">
        <f t="shared" si="17"/>
        <v>14664.230000000001</v>
      </c>
      <c r="Z13" s="471">
        <f t="shared" si="17"/>
        <v>14779.847999999998</v>
      </c>
      <c r="AA13" s="471">
        <f t="shared" ref="AA13" si="18">SUM(AA10:AA12)</f>
        <v>15098.356</v>
      </c>
      <c r="AB13" s="485"/>
      <c r="AC13" s="177"/>
      <c r="AD13" s="981">
        <f t="shared" si="13"/>
        <v>0.1466905531665641</v>
      </c>
      <c r="AE13" s="981">
        <f t="shared" si="13"/>
        <v>0.24849119427588295</v>
      </c>
      <c r="AF13" s="981">
        <f t="shared" si="13"/>
        <v>0.12508487431942594</v>
      </c>
      <c r="AG13" s="981">
        <f t="shared" si="13"/>
        <v>9.103115063252698E-2</v>
      </c>
      <c r="AH13" s="982">
        <f>K13/(G13-2377)-1</f>
        <v>0.13625377546770467</v>
      </c>
      <c r="AI13" s="982">
        <f>L13/(H13-2569)-1</f>
        <v>6.1470213321456635E-2</v>
      </c>
      <c r="AJ13" s="982">
        <f>M13/(I13-3390)-1</f>
        <v>6.6568493485611668E-2</v>
      </c>
      <c r="AK13" s="982">
        <f>N13/(J13-5444)-1</f>
        <v>1.7206439138463869E-2</v>
      </c>
      <c r="AL13" s="475">
        <f t="shared" si="14"/>
        <v>4.2645359557823115E-2</v>
      </c>
      <c r="AM13" s="475">
        <f t="shared" si="14"/>
        <v>3.0164864586834206E-2</v>
      </c>
      <c r="AN13" s="475">
        <f t="shared" si="14"/>
        <v>2.1273649629455438E-2</v>
      </c>
      <c r="AO13" s="475">
        <f t="shared" si="14"/>
        <v>3.0505538362859408E-2</v>
      </c>
      <c r="AP13" s="982">
        <f>S13/(O13-404)-1</f>
        <v>2.4248302895424567E-2</v>
      </c>
      <c r="AQ13" s="982">
        <f>T13/(P13-524)-1</f>
        <v>6.1545016452958956E-2</v>
      </c>
      <c r="AR13" s="982">
        <f>U13/(Q13-561)-1</f>
        <v>6.0954775921765014E-2</v>
      </c>
      <c r="AS13" s="982">
        <f>V13/(R13-463)-1</f>
        <v>7.3663969773056781E-2</v>
      </c>
      <c r="AT13" s="475">
        <f t="shared" si="15"/>
        <v>1.9765624934742876E-2</v>
      </c>
      <c r="AU13" s="475">
        <f t="shared" si="15"/>
        <v>3.1906432796734441E-2</v>
      </c>
      <c r="AV13" s="475">
        <f t="shared" si="15"/>
        <v>2.7045383634798359E-3</v>
      </c>
      <c r="AW13" s="475">
        <f t="shared" si="15"/>
        <v>2.3702417867295544E-2</v>
      </c>
      <c r="AX13" s="475">
        <f t="shared" si="15"/>
        <v>3.0593179146631844E-2</v>
      </c>
      <c r="AY13" s="161"/>
      <c r="AZ13" s="161"/>
      <c r="BA13" s="161"/>
      <c r="BB13" s="161"/>
      <c r="BC13" s="161"/>
      <c r="BD13" s="161"/>
      <c r="BE13" s="161"/>
      <c r="BF13" s="161"/>
      <c r="BG13" s="161"/>
      <c r="BH13" s="161"/>
      <c r="BI13" s="161"/>
      <c r="BJ13" s="161"/>
      <c r="BK13" s="161"/>
      <c r="BL13" s="161"/>
      <c r="BM13" s="161"/>
      <c r="BN13" s="161"/>
      <c r="BO13" s="161"/>
      <c r="BP13" s="161"/>
      <c r="BQ13" s="161"/>
      <c r="BR13" s="161"/>
      <c r="BS13" s="161"/>
      <c r="BT13" s="161"/>
      <c r="BU13" s="161"/>
      <c r="BV13" s="161"/>
      <c r="BW13" s="161"/>
      <c r="BX13" s="161"/>
      <c r="BY13" s="161"/>
      <c r="BZ13" s="161"/>
    </row>
    <row r="14" spans="1:78">
      <c r="A14" s="161"/>
      <c r="B14" s="457"/>
      <c r="C14" s="472"/>
      <c r="D14" s="472"/>
      <c r="E14" s="472"/>
      <c r="F14" s="472"/>
      <c r="G14" s="472"/>
      <c r="H14" s="472"/>
      <c r="I14" s="472"/>
      <c r="J14" s="472"/>
      <c r="K14" s="472"/>
      <c r="L14" s="472"/>
      <c r="M14" s="472"/>
      <c r="N14" s="472"/>
      <c r="O14" s="472"/>
      <c r="P14" s="472"/>
      <c r="Q14" s="472"/>
      <c r="R14" s="472"/>
      <c r="S14" s="472"/>
      <c r="T14" s="472"/>
      <c r="U14" s="472"/>
      <c r="V14" s="472"/>
      <c r="W14" s="472"/>
      <c r="X14" s="472"/>
      <c r="Y14" s="472"/>
      <c r="Z14" s="472"/>
      <c r="AA14" s="472"/>
      <c r="AB14" s="177"/>
      <c r="AC14" s="177"/>
      <c r="AD14" s="472"/>
      <c r="AE14" s="472"/>
      <c r="AF14" s="472"/>
      <c r="AG14" s="472"/>
      <c r="AH14" s="472"/>
      <c r="AI14" s="472"/>
      <c r="AJ14" s="472"/>
      <c r="AK14" s="472"/>
      <c r="AL14" s="472"/>
      <c r="AM14" s="472"/>
      <c r="AN14" s="472"/>
      <c r="AO14" s="472"/>
      <c r="AP14" s="472"/>
      <c r="AQ14" s="472"/>
      <c r="AR14" s="472"/>
      <c r="AS14" s="472"/>
      <c r="AT14" s="472"/>
      <c r="AU14" s="472"/>
      <c r="AV14" s="472"/>
      <c r="AW14" s="472"/>
      <c r="AX14" s="472"/>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161"/>
      <c r="BX14" s="161"/>
      <c r="BY14" s="161"/>
      <c r="BZ14" s="161"/>
    </row>
    <row r="15" spans="1:78">
      <c r="A15" s="161"/>
      <c r="B15" s="468" t="s">
        <v>680</v>
      </c>
      <c r="C15" s="465"/>
      <c r="D15" s="46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177"/>
      <c r="AC15" s="177"/>
      <c r="AD15" s="465"/>
      <c r="AE15" s="465"/>
      <c r="AF15" s="465"/>
      <c r="AG15" s="465"/>
      <c r="AH15" s="465"/>
      <c r="AI15" s="465"/>
      <c r="AJ15" s="465"/>
      <c r="AK15" s="465"/>
      <c r="AL15" s="465"/>
      <c r="AM15" s="465"/>
      <c r="AN15" s="465"/>
      <c r="AO15" s="465"/>
      <c r="AP15" s="465"/>
      <c r="AQ15" s="465"/>
      <c r="AR15" s="465"/>
      <c r="AS15" s="465"/>
      <c r="AT15" s="465"/>
      <c r="AU15" s="465"/>
      <c r="AV15" s="465"/>
      <c r="AW15" s="465"/>
      <c r="AX15" s="465"/>
      <c r="AY15" s="161"/>
      <c r="AZ15" s="161"/>
      <c r="BA15" s="161"/>
      <c r="BB15" s="161"/>
      <c r="BC15" s="161"/>
      <c r="BD15" s="161"/>
      <c r="BE15" s="161"/>
      <c r="BF15" s="161"/>
      <c r="BG15" s="161"/>
      <c r="BH15" s="161"/>
      <c r="BI15" s="161"/>
      <c r="BJ15" s="161"/>
      <c r="BK15" s="161"/>
      <c r="BL15" s="161"/>
      <c r="BM15" s="161"/>
      <c r="BN15" s="161"/>
      <c r="BO15" s="161"/>
      <c r="BP15" s="161"/>
      <c r="BQ15" s="161"/>
      <c r="BR15" s="161"/>
      <c r="BS15" s="161"/>
      <c r="BT15" s="161"/>
      <c r="BU15" s="161"/>
      <c r="BV15" s="161"/>
      <c r="BW15" s="161"/>
      <c r="BX15" s="161"/>
      <c r="BY15" s="161"/>
      <c r="BZ15" s="161"/>
    </row>
    <row r="16" spans="1:78">
      <c r="A16" s="161"/>
      <c r="B16" s="457" t="str">
        <f>B10</f>
        <v>Totalplay</v>
      </c>
      <c r="C16" s="473">
        <f t="shared" ref="C16:P16" si="19">C10/C68</f>
        <v>0.37323943661971831</v>
      </c>
      <c r="D16" s="473">
        <f t="shared" si="19"/>
        <v>0.33467381590705986</v>
      </c>
      <c r="E16" s="473">
        <f t="shared" si="19"/>
        <v>0.35558664801119327</v>
      </c>
      <c r="F16" s="473">
        <f t="shared" si="19"/>
        <v>0.43506607929515417</v>
      </c>
      <c r="G16" s="473">
        <f t="shared" si="19"/>
        <v>0.421019509125236</v>
      </c>
      <c r="H16" s="473">
        <f t="shared" si="19"/>
        <v>0.43294289897510979</v>
      </c>
      <c r="I16" s="473">
        <f t="shared" si="19"/>
        <v>0.42035763411279231</v>
      </c>
      <c r="J16" s="473">
        <f t="shared" si="19"/>
        <v>0.43874606505771246</v>
      </c>
      <c r="K16" s="473">
        <f t="shared" si="19"/>
        <v>0.44296577946768062</v>
      </c>
      <c r="L16" s="473">
        <f t="shared" si="19"/>
        <v>0.42767224907272117</v>
      </c>
      <c r="M16" s="473">
        <f t="shared" si="19"/>
        <v>0.43588089863484897</v>
      </c>
      <c r="N16" s="473">
        <f t="shared" si="19"/>
        <v>0.44977403451109282</v>
      </c>
      <c r="O16" s="473">
        <f t="shared" si="19"/>
        <v>0.45125178098921231</v>
      </c>
      <c r="P16" s="473">
        <f t="shared" si="19"/>
        <v>0.4435998783824871</v>
      </c>
      <c r="Q16" s="473">
        <f t="shared" ref="Q16:W16" si="20">Q10/Q68</f>
        <v>0.47494080505130226</v>
      </c>
      <c r="R16" s="473">
        <f t="shared" si="20"/>
        <v>0.44369495971519579</v>
      </c>
      <c r="S16" s="473">
        <f t="shared" si="20"/>
        <v>0.44989627491656897</v>
      </c>
      <c r="T16" s="473">
        <f t="shared" si="20"/>
        <v>0.45704035874439464</v>
      </c>
      <c r="U16" s="473">
        <f t="shared" si="20"/>
        <v>0.48484303319240801</v>
      </c>
      <c r="V16" s="473">
        <f t="shared" si="20"/>
        <v>0.49060486757337152</v>
      </c>
      <c r="W16" s="473">
        <f t="shared" si="20"/>
        <v>0.4687817024808632</v>
      </c>
      <c r="X16" s="473">
        <f>X10/X68</f>
        <v>0.46740541944420394</v>
      </c>
      <c r="Y16" s="473">
        <f>Y10/Y68</f>
        <v>0.45119900893726217</v>
      </c>
      <c r="Z16" s="473">
        <f>Z10/Z68</f>
        <v>0.42417341430499328</v>
      </c>
      <c r="AA16" s="473">
        <f>AA10/AA68</f>
        <v>0.43383734454683726</v>
      </c>
      <c r="AB16" s="177"/>
      <c r="AC16" s="177"/>
      <c r="AD16" s="472"/>
      <c r="AE16" s="472"/>
      <c r="AF16" s="472"/>
      <c r="AG16" s="472"/>
      <c r="AH16" s="472"/>
      <c r="AI16" s="472"/>
      <c r="AJ16" s="472"/>
      <c r="AK16" s="472"/>
      <c r="AL16" s="472"/>
      <c r="AM16" s="472"/>
      <c r="AN16" s="472"/>
      <c r="AO16" s="472"/>
      <c r="AP16" s="472"/>
      <c r="AQ16" s="472"/>
      <c r="AR16" s="472"/>
      <c r="AS16" s="472"/>
      <c r="AT16" s="472"/>
      <c r="AU16" s="472"/>
      <c r="AV16" s="472"/>
      <c r="AW16" s="472"/>
      <c r="AX16" s="472"/>
      <c r="AY16" s="161"/>
      <c r="AZ16" s="161"/>
      <c r="BA16" s="161"/>
      <c r="BB16" s="161"/>
      <c r="BC16" s="161"/>
      <c r="BD16" s="161"/>
      <c r="BE16" s="161"/>
      <c r="BF16" s="161"/>
      <c r="BG16" s="161"/>
      <c r="BH16" s="161"/>
      <c r="BI16" s="161"/>
      <c r="BJ16" s="161"/>
      <c r="BK16" s="161"/>
      <c r="BL16" s="161"/>
      <c r="BM16" s="161"/>
      <c r="BN16" s="161"/>
      <c r="BO16" s="161"/>
      <c r="BP16" s="161"/>
      <c r="BQ16" s="161"/>
      <c r="BR16" s="161"/>
      <c r="BS16" s="161"/>
      <c r="BT16" s="161"/>
      <c r="BU16" s="161"/>
      <c r="BV16" s="161"/>
      <c r="BW16" s="161"/>
      <c r="BX16" s="161"/>
      <c r="BY16" s="161"/>
      <c r="BZ16" s="161"/>
    </row>
    <row r="17" spans="1:78">
      <c r="A17" s="161"/>
      <c r="B17" s="390" t="str">
        <f>B11</f>
        <v>MEGA</v>
      </c>
      <c r="C17" s="474">
        <f>Quarts!AV141</f>
        <v>0.50119427422275264</v>
      </c>
      <c r="D17" s="474">
        <f>Quarts!AW141</f>
        <v>0.49813505235350403</v>
      </c>
      <c r="E17" s="474">
        <f>Quarts!AX141</f>
        <v>0.4951264240798216</v>
      </c>
      <c r="F17" s="474">
        <f>Quarts!AY141</f>
        <v>0.47869263141288226</v>
      </c>
      <c r="G17" s="474">
        <f>Quarts!AZ141</f>
        <v>0.50453454220856619</v>
      </c>
      <c r="H17" s="474">
        <f>Quarts!BA141</f>
        <v>0.49655331640225597</v>
      </c>
      <c r="I17" s="474">
        <f>Quarts!BB141</f>
        <v>0.4907502547630353</v>
      </c>
      <c r="J17" s="474">
        <f>Quarts!BC141</f>
        <v>0.47689779020460499</v>
      </c>
      <c r="K17" s="474">
        <f>Quarts!BD141</f>
        <v>0.49196562368855656</v>
      </c>
      <c r="L17" s="474">
        <f>Quarts!BE141</f>
        <v>0.48757840299611477</v>
      </c>
      <c r="M17" s="474">
        <f>Quarts!BF141</f>
        <v>0.47025086519956921</v>
      </c>
      <c r="N17" s="474">
        <f>Quarts!BG141</f>
        <v>0.4341293129616513</v>
      </c>
      <c r="O17" s="474">
        <f>Quarts!BH141</f>
        <v>0.45702028526095795</v>
      </c>
      <c r="P17" s="474">
        <f>Quarts!BI141</f>
        <v>0.44582457585031321</v>
      </c>
      <c r="Q17" s="474">
        <f>Quarts!BJ141</f>
        <v>0.44137868520442131</v>
      </c>
      <c r="R17" s="474">
        <f>Quarts!BK141</f>
        <v>0.44024804406763651</v>
      </c>
      <c r="S17" s="474">
        <f>Quarts!BL141</f>
        <v>0.46096268029856963</v>
      </c>
      <c r="T17" s="474">
        <f>Quarts!BM141</f>
        <v>0.44317325883708764</v>
      </c>
      <c r="U17" s="474">
        <f>Quarts!BN141</f>
        <v>0.43559281620209261</v>
      </c>
      <c r="V17" s="474">
        <f>Quarts!BO141</f>
        <v>0.44269174438096021</v>
      </c>
      <c r="W17" s="474">
        <f>Quarts!BP141</f>
        <v>0.46283455683944469</v>
      </c>
      <c r="X17" s="474">
        <f>Quarts!BQ141</f>
        <v>0.45446133286219614</v>
      </c>
      <c r="Y17" s="474">
        <f>Quarts!BR141</f>
        <v>0.44227351631842915</v>
      </c>
      <c r="Z17" s="474">
        <f>Quarts!BS141</f>
        <v>0.44047089793512967</v>
      </c>
      <c r="AA17" s="474">
        <f>Quarts!BT141</f>
        <v>0.46194849687798983</v>
      </c>
      <c r="AB17" s="491"/>
      <c r="AC17" s="177"/>
      <c r="AD17" s="465"/>
      <c r="AE17" s="465"/>
      <c r="AF17" s="465"/>
      <c r="AG17" s="465"/>
      <c r="AH17" s="465"/>
      <c r="AI17" s="465"/>
      <c r="AJ17" s="465"/>
      <c r="AK17" s="465"/>
      <c r="AL17" s="465"/>
      <c r="AM17" s="465"/>
      <c r="AN17" s="465"/>
      <c r="AO17" s="465"/>
      <c r="AP17" s="465"/>
      <c r="AQ17" s="465"/>
      <c r="AR17" s="465"/>
      <c r="AS17" s="465"/>
      <c r="AT17" s="465"/>
      <c r="AU17" s="465"/>
      <c r="AV17" s="465"/>
      <c r="AW17" s="465"/>
      <c r="AX17" s="465"/>
      <c r="AY17" s="161"/>
      <c r="AZ17" s="161"/>
      <c r="BA17" s="161"/>
      <c r="BE17" s="161"/>
      <c r="BF17" s="161"/>
      <c r="BG17" s="161"/>
      <c r="BH17" s="161"/>
      <c r="BI17" s="161"/>
      <c r="BJ17" s="161"/>
      <c r="BK17" s="161"/>
      <c r="BL17" s="161"/>
      <c r="BM17" s="161"/>
      <c r="BN17" s="161"/>
      <c r="BO17" s="161"/>
      <c r="BP17" s="161"/>
      <c r="BQ17" s="161"/>
      <c r="BR17" s="161"/>
      <c r="BS17" s="161"/>
      <c r="BT17" s="161"/>
      <c r="BU17" s="161"/>
      <c r="BV17" s="161"/>
      <c r="BW17" s="161"/>
      <c r="BX17" s="161"/>
      <c r="BY17" s="161"/>
      <c r="BZ17" s="161"/>
    </row>
    <row r="18" spans="1:78">
      <c r="A18" s="161"/>
      <c r="B18" s="905" t="str">
        <f>B12</f>
        <v>Televisa</v>
      </c>
      <c r="C18" s="906">
        <f>C12/C69</f>
        <v>0.35668652706984433</v>
      </c>
      <c r="D18" s="906">
        <f t="shared" ref="D18:W18" si="21">D12/D69</f>
        <v>0.3703439999283521</v>
      </c>
      <c r="E18" s="906">
        <f t="shared" si="21"/>
        <v>0.42419496303721338</v>
      </c>
      <c r="F18" s="906">
        <f t="shared" si="21"/>
        <v>0.43120162402162454</v>
      </c>
      <c r="G18" s="906">
        <f t="shared" si="21"/>
        <v>0.3725869536023636</v>
      </c>
      <c r="H18" s="906">
        <f t="shared" si="21"/>
        <v>0.38879462193565067</v>
      </c>
      <c r="I18" s="906">
        <f t="shared" si="21"/>
        <v>0.40142146900439757</v>
      </c>
      <c r="J18" s="906">
        <f t="shared" si="21"/>
        <v>0.42627673383821907</v>
      </c>
      <c r="K18" s="906">
        <f t="shared" si="21"/>
        <v>0.36989231132987987</v>
      </c>
      <c r="L18" s="906">
        <f t="shared" si="21"/>
        <v>0.36477189953327765</v>
      </c>
      <c r="M18" s="906">
        <f t="shared" si="21"/>
        <v>0.35444142595199379</v>
      </c>
      <c r="N18" s="906">
        <f t="shared" si="21"/>
        <v>0.31383576464931034</v>
      </c>
      <c r="O18" s="906">
        <f t="shared" si="21"/>
        <v>0.36325838571027447</v>
      </c>
      <c r="P18" s="906">
        <f t="shared" si="21"/>
        <v>0.3550555609550653</v>
      </c>
      <c r="Q18" s="906">
        <f t="shared" si="21"/>
        <v>0.33988326954470754</v>
      </c>
      <c r="R18" s="906">
        <f t="shared" si="21"/>
        <v>0.31046468684147649</v>
      </c>
      <c r="S18" s="906">
        <f t="shared" si="21"/>
        <v>0.35718494928344841</v>
      </c>
      <c r="T18" s="906">
        <f t="shared" si="21"/>
        <v>0.37268372740978234</v>
      </c>
      <c r="U18" s="906">
        <f t="shared" si="21"/>
        <v>0.36815554456218924</v>
      </c>
      <c r="V18" s="906">
        <f t="shared" si="21"/>
        <v>0.34083565386434089</v>
      </c>
      <c r="W18" s="906">
        <f t="shared" si="21"/>
        <v>0.37288961906288398</v>
      </c>
      <c r="X18" s="906">
        <f>X12/X69</f>
        <v>0.38509375806210705</v>
      </c>
      <c r="Y18" s="906">
        <f>Y12/Y69</f>
        <v>0.38420045122034596</v>
      </c>
      <c r="Z18" s="906">
        <f>Z12/Z69</f>
        <v>0.39163607869014716</v>
      </c>
      <c r="AA18" s="906">
        <f>AA12/AA69</f>
        <v>0.40839247571143111</v>
      </c>
      <c r="AB18" s="491"/>
      <c r="AC18" s="177"/>
      <c r="AD18" s="472"/>
      <c r="AE18" s="472"/>
      <c r="AF18" s="472"/>
      <c r="AG18" s="472"/>
      <c r="AH18" s="907"/>
      <c r="AI18" s="907"/>
      <c r="AJ18" s="907"/>
      <c r="AK18" s="907"/>
      <c r="AL18" s="907"/>
      <c r="AM18" s="907"/>
      <c r="AN18" s="907"/>
      <c r="AO18" s="907"/>
      <c r="AP18" s="907"/>
      <c r="AQ18" s="907"/>
      <c r="AR18" s="907"/>
      <c r="AS18" s="907"/>
      <c r="AT18" s="907"/>
      <c r="AU18" s="907"/>
      <c r="AV18" s="907"/>
      <c r="AW18" s="907"/>
      <c r="AX18" s="907"/>
      <c r="AY18" s="161"/>
      <c r="AZ18" s="161"/>
      <c r="BA18" s="161"/>
      <c r="BE18" s="161"/>
      <c r="BF18" s="161"/>
      <c r="BG18" s="161"/>
      <c r="BH18" s="161"/>
      <c r="BI18" s="161"/>
      <c r="BJ18" s="161"/>
      <c r="BK18" s="161"/>
      <c r="BL18" s="161"/>
      <c r="BM18" s="161"/>
      <c r="BN18" s="161"/>
      <c r="BO18" s="161"/>
      <c r="BP18" s="161"/>
      <c r="BQ18" s="161"/>
      <c r="BR18" s="161"/>
      <c r="BS18" s="161"/>
      <c r="BT18" s="161"/>
      <c r="BU18" s="161"/>
      <c r="BV18" s="161"/>
      <c r="BW18" s="161"/>
      <c r="BX18" s="161"/>
      <c r="BY18" s="161"/>
      <c r="BZ18" s="161"/>
    </row>
    <row r="19" spans="1:78">
      <c r="A19" s="161"/>
      <c r="B19" s="468" t="s">
        <v>681</v>
      </c>
      <c r="C19" s="475">
        <f t="shared" ref="C19:W19" si="22">C13/(C7-C6+(C68-C72))</f>
        <v>0.67821853692206679</v>
      </c>
      <c r="D19" s="475">
        <f t="shared" si="22"/>
        <v>0.66101187950975782</v>
      </c>
      <c r="E19" s="475">
        <f t="shared" si="22"/>
        <v>0.74052819079867382</v>
      </c>
      <c r="F19" s="475">
        <f t="shared" si="22"/>
        <v>0.81693536023121871</v>
      </c>
      <c r="G19" s="475">
        <f t="shared" si="22"/>
        <v>0.66831998126885162</v>
      </c>
      <c r="H19" s="475">
        <f t="shared" si="22"/>
        <v>0.69518459069020866</v>
      </c>
      <c r="I19" s="475">
        <f t="shared" si="22"/>
        <v>0.71396302516834675</v>
      </c>
      <c r="J19" s="475">
        <f t="shared" si="22"/>
        <v>0.77967933028643865</v>
      </c>
      <c r="K19" s="475">
        <f t="shared" si="22"/>
        <v>0.56122906591546784</v>
      </c>
      <c r="L19" s="475">
        <f t="shared" si="22"/>
        <v>0.54502238900598232</v>
      </c>
      <c r="M19" s="475">
        <f t="shared" si="22"/>
        <v>0.54511158067939935</v>
      </c>
      <c r="N19" s="475">
        <f t="shared" si="22"/>
        <v>0.50946605019815061</v>
      </c>
      <c r="O19" s="475">
        <f t="shared" si="22"/>
        <v>0.53643364162513274</v>
      </c>
      <c r="P19" s="475">
        <f t="shared" si="22"/>
        <v>0.52110417008517507</v>
      </c>
      <c r="Q19" s="475">
        <f t="shared" si="22"/>
        <v>0.52056435175128768</v>
      </c>
      <c r="R19" s="475">
        <f t="shared" si="22"/>
        <v>0.49291248168774582</v>
      </c>
      <c r="S19" s="475">
        <f t="shared" si="22"/>
        <v>0.50385438218898981</v>
      </c>
      <c r="T19" s="475">
        <f t="shared" si="22"/>
        <v>0.50720666230508349</v>
      </c>
      <c r="U19" s="475">
        <f t="shared" si="22"/>
        <v>0.51137868044742296</v>
      </c>
      <c r="V19" s="475">
        <f t="shared" si="22"/>
        <v>0.49962933488885103</v>
      </c>
      <c r="W19" s="475">
        <f t="shared" si="22"/>
        <v>0.51300044394185351</v>
      </c>
      <c r="X19" s="475">
        <f>X13/(X7-X6+(X68-X72))</f>
        <v>0.50960645871658206</v>
      </c>
      <c r="Y19" s="475">
        <f>Y13/(Y7-Y6+(Y68-Y72))</f>
        <v>0.49748840823372475</v>
      </c>
      <c r="Z19" s="475">
        <f>Z13/(Z7-Z6+(Z68-Z72))</f>
        <v>0.48864910672503803</v>
      </c>
      <c r="AA19" s="475">
        <f>AA13/(AA7-AA6+(AA68-AA72))</f>
        <v>0.50669174743983236</v>
      </c>
      <c r="AB19" s="177"/>
      <c r="AC19" s="177"/>
      <c r="AD19" s="699"/>
      <c r="AE19" s="699"/>
      <c r="AF19" s="699"/>
      <c r="AG19" s="699"/>
      <c r="AH19" s="465"/>
      <c r="AI19" s="465"/>
      <c r="AJ19" s="465"/>
      <c r="AK19" s="465"/>
      <c r="AL19" s="465"/>
      <c r="AM19" s="465"/>
      <c r="AN19" s="465"/>
      <c r="AO19" s="465"/>
      <c r="AP19" s="465"/>
      <c r="AQ19" s="465"/>
      <c r="AR19" s="465"/>
      <c r="AS19" s="465"/>
      <c r="AT19" s="465"/>
      <c r="AU19" s="465"/>
      <c r="AV19" s="465"/>
      <c r="AW19" s="465"/>
      <c r="AX19" s="465"/>
      <c r="AY19" s="161"/>
      <c r="AZ19" s="161"/>
      <c r="BA19" s="161"/>
      <c r="BE19" s="161"/>
      <c r="BF19" s="161"/>
      <c r="BG19" s="161"/>
      <c r="BH19" s="161"/>
      <c r="BI19" s="161"/>
      <c r="BJ19" s="161"/>
      <c r="BK19" s="161"/>
      <c r="BL19" s="161"/>
      <c r="BM19" s="161"/>
      <c r="BN19" s="161"/>
      <c r="BO19" s="161"/>
      <c r="BP19" s="161"/>
      <c r="BQ19" s="161"/>
      <c r="BR19" s="161"/>
      <c r="BS19" s="161"/>
      <c r="BT19" s="161"/>
      <c r="BU19" s="161"/>
      <c r="BV19" s="161"/>
      <c r="BW19" s="161"/>
      <c r="BX19" s="161"/>
      <c r="BY19" s="161"/>
      <c r="BZ19" s="161"/>
    </row>
    <row r="20" spans="1:78">
      <c r="A20" s="161"/>
      <c r="B20" s="855"/>
      <c r="C20" s="908"/>
      <c r="D20" s="908"/>
      <c r="E20" s="908"/>
      <c r="F20" s="908"/>
      <c r="G20" s="908"/>
      <c r="H20" s="908"/>
      <c r="I20" s="908"/>
      <c r="J20" s="908"/>
      <c r="K20" s="908"/>
      <c r="L20" s="908"/>
      <c r="M20" s="908"/>
      <c r="N20" s="908"/>
      <c r="O20" s="908"/>
      <c r="P20" s="908"/>
      <c r="Q20" s="908"/>
      <c r="R20" s="908"/>
      <c r="S20" s="908"/>
      <c r="T20" s="908"/>
      <c r="U20" s="908"/>
      <c r="V20" s="908"/>
      <c r="W20" s="908"/>
      <c r="X20" s="908"/>
      <c r="Y20" s="908"/>
      <c r="Z20" s="908"/>
      <c r="AA20" s="908"/>
      <c r="AB20" s="177"/>
      <c r="AC20" s="177"/>
      <c r="AD20" s="177"/>
      <c r="AE20" s="177"/>
      <c r="AF20" s="177"/>
      <c r="AG20" s="177"/>
      <c r="AH20" s="908"/>
      <c r="AI20" s="908"/>
      <c r="AJ20" s="908"/>
      <c r="AK20" s="908"/>
      <c r="AL20" s="908"/>
      <c r="AM20" s="908"/>
      <c r="AN20" s="908"/>
      <c r="AO20" s="908"/>
      <c r="AP20" s="908"/>
      <c r="AQ20" s="908"/>
      <c r="AR20" s="908"/>
      <c r="AS20" s="908"/>
      <c r="AT20" s="908"/>
      <c r="AU20" s="908"/>
      <c r="AV20" s="908"/>
      <c r="AW20" s="908"/>
      <c r="AX20" s="908"/>
      <c r="AY20" s="161"/>
      <c r="AZ20" s="161"/>
      <c r="BA20" s="161"/>
      <c r="BH20" s="161"/>
      <c r="BI20" s="161"/>
      <c r="BJ20" s="161"/>
      <c r="BK20" s="161"/>
      <c r="BL20" s="161"/>
      <c r="BM20" s="161"/>
      <c r="BN20" s="161"/>
      <c r="BO20" s="161"/>
      <c r="BP20" s="161"/>
      <c r="BQ20" s="161"/>
      <c r="BR20" s="161"/>
      <c r="BS20" s="161"/>
      <c r="BT20" s="161"/>
      <c r="BU20" s="161"/>
      <c r="BV20" s="161"/>
      <c r="BW20" s="161"/>
      <c r="BX20" s="161"/>
      <c r="BY20" s="161"/>
      <c r="BZ20" s="161"/>
    </row>
    <row r="21" spans="1:78">
      <c r="A21" s="161"/>
      <c r="B21" s="468" t="s">
        <v>682</v>
      </c>
      <c r="C21" s="465"/>
      <c r="D21" s="465"/>
      <c r="E21" s="465"/>
      <c r="F21" s="465"/>
      <c r="G21" s="465"/>
      <c r="H21" s="465"/>
      <c r="I21" s="396"/>
      <c r="J21" s="465"/>
      <c r="K21" s="465"/>
      <c r="L21" s="465"/>
      <c r="M21" s="465"/>
      <c r="N21" s="465"/>
      <c r="O21" s="396"/>
      <c r="P21" s="396"/>
      <c r="Q21" s="396"/>
      <c r="R21" s="396"/>
      <c r="S21" s="396"/>
      <c r="T21" s="396"/>
      <c r="U21" s="396"/>
      <c r="V21" s="396"/>
      <c r="W21" s="396"/>
      <c r="X21" s="396"/>
      <c r="Y21" s="396"/>
      <c r="Z21" s="396"/>
      <c r="AA21" s="396"/>
      <c r="AB21" s="393"/>
      <c r="AC21" s="177"/>
      <c r="AD21" s="699"/>
      <c r="AE21" s="699"/>
      <c r="AF21" s="699"/>
      <c r="AG21" s="699"/>
      <c r="AH21" s="465"/>
      <c r="AI21" s="465"/>
      <c r="AJ21" s="465"/>
      <c r="AK21" s="465"/>
      <c r="AL21" s="465"/>
      <c r="AM21" s="465"/>
      <c r="AN21" s="465"/>
      <c r="AO21" s="465"/>
      <c r="AP21" s="465"/>
      <c r="AQ21" s="465"/>
      <c r="AR21" s="465"/>
      <c r="AS21" s="465"/>
      <c r="AT21" s="465"/>
      <c r="AU21" s="465"/>
      <c r="AV21" s="465"/>
      <c r="AW21" s="465"/>
      <c r="AX21" s="465"/>
      <c r="BA21" s="161"/>
      <c r="BH21" s="161"/>
      <c r="BI21" s="161"/>
      <c r="BJ21" s="161"/>
      <c r="BK21" s="161"/>
      <c r="BL21" s="161"/>
      <c r="BM21" s="161"/>
      <c r="BN21" s="161"/>
      <c r="BO21" s="161"/>
      <c r="BP21" s="161"/>
      <c r="BQ21" s="161"/>
      <c r="BR21" s="161"/>
      <c r="BS21" s="161"/>
      <c r="BT21" s="161"/>
      <c r="BU21" s="161"/>
      <c r="BV21" s="161"/>
      <c r="BW21" s="161"/>
      <c r="BX21" s="161"/>
      <c r="BY21" s="161"/>
      <c r="BZ21" s="161"/>
    </row>
    <row r="22" spans="1:78">
      <c r="A22" s="161"/>
      <c r="B22" s="161" t="str">
        <f>B10</f>
        <v>Totalplay</v>
      </c>
      <c r="C22" s="393">
        <v>9787</v>
      </c>
      <c r="D22" s="393">
        <v>11800</v>
      </c>
      <c r="E22" s="393">
        <f>10400+1800</f>
        <v>12200</v>
      </c>
      <c r="F22" s="393">
        <f>10500+1800</f>
        <v>12300</v>
      </c>
      <c r="G22" s="476">
        <v>12600</v>
      </c>
      <c r="H22" s="476">
        <v>13100</v>
      </c>
      <c r="I22" s="476">
        <v>13400</v>
      </c>
      <c r="J22" s="476">
        <v>14700</v>
      </c>
      <c r="K22" s="476">
        <v>15500</v>
      </c>
      <c r="L22" s="476">
        <v>16600</v>
      </c>
      <c r="M22" s="476">
        <v>17100</v>
      </c>
      <c r="N22" s="476">
        <v>17300</v>
      </c>
      <c r="O22" s="476">
        <v>17500</v>
      </c>
      <c r="P22" s="476">
        <v>17500</v>
      </c>
      <c r="Q22" s="476">
        <v>17500</v>
      </c>
      <c r="R22" s="476">
        <v>17550</v>
      </c>
      <c r="S22" s="476">
        <v>17568.145</v>
      </c>
      <c r="T22" s="476">
        <v>17590</v>
      </c>
      <c r="U22" s="476">
        <v>17588.705999999998</v>
      </c>
      <c r="V22" s="476">
        <v>17599</v>
      </c>
      <c r="W22" s="476">
        <v>17625</v>
      </c>
      <c r="X22" s="476">
        <v>17626.554</v>
      </c>
      <c r="Y22" s="476">
        <v>17629.172000000002</v>
      </c>
      <c r="Z22" s="476">
        <v>19500</v>
      </c>
      <c r="AA22" s="476">
        <v>19500</v>
      </c>
      <c r="AB22" s="476"/>
      <c r="AC22" s="177"/>
      <c r="AD22" s="467">
        <f t="shared" ref="AD22:AM24" si="23">G22/C22-1</f>
        <v>0.28742209052825185</v>
      </c>
      <c r="AE22" s="467">
        <f t="shared" si="23"/>
        <v>0.11016949152542366</v>
      </c>
      <c r="AF22" s="467">
        <f t="shared" si="23"/>
        <v>9.8360655737705027E-2</v>
      </c>
      <c r="AG22" s="467">
        <f t="shared" si="23"/>
        <v>0.19512195121951215</v>
      </c>
      <c r="AH22" s="467">
        <f t="shared" si="23"/>
        <v>0.23015873015873023</v>
      </c>
      <c r="AI22" s="467">
        <f t="shared" si="23"/>
        <v>0.26717557251908386</v>
      </c>
      <c r="AJ22" s="467">
        <f t="shared" si="23"/>
        <v>0.27611940298507465</v>
      </c>
      <c r="AK22" s="467">
        <f t="shared" si="23"/>
        <v>0.1768707482993197</v>
      </c>
      <c r="AL22" s="467">
        <f t="shared" si="23"/>
        <v>0.12903225806451624</v>
      </c>
      <c r="AM22" s="467">
        <f t="shared" si="23"/>
        <v>5.4216867469879526E-2</v>
      </c>
      <c r="AN22" s="467">
        <f t="shared" ref="AN22:AW24" si="24">Q22/M22-1</f>
        <v>2.3391812865497075E-2</v>
      </c>
      <c r="AO22" s="467">
        <f t="shared" si="24"/>
        <v>1.4450867052023142E-2</v>
      </c>
      <c r="AP22" s="467">
        <f t="shared" si="24"/>
        <v>3.8940000000000641E-3</v>
      </c>
      <c r="AQ22" s="467">
        <f t="shared" si="24"/>
        <v>5.1428571428571157E-3</v>
      </c>
      <c r="AR22" s="467">
        <f t="shared" si="24"/>
        <v>5.068914285714099E-3</v>
      </c>
      <c r="AS22" s="467">
        <f t="shared" si="24"/>
        <v>2.7920227920228413E-3</v>
      </c>
      <c r="AT22" s="467">
        <f t="shared" si="24"/>
        <v>3.2362551652436178E-3</v>
      </c>
      <c r="AU22" s="467">
        <f t="shared" si="24"/>
        <v>2.0781125639568465E-3</v>
      </c>
      <c r="AV22" s="467">
        <f t="shared" si="24"/>
        <v>2.3006809028478514E-3</v>
      </c>
      <c r="AW22" s="467">
        <f t="shared" si="24"/>
        <v>0.10801750099437468</v>
      </c>
      <c r="AX22" s="467">
        <f t="shared" ref="AX22:AX24" si="25">AA22/W22-1</f>
        <v>0.1063829787234043</v>
      </c>
      <c r="BA22" s="161"/>
      <c r="BH22" s="161"/>
      <c r="BI22" s="161"/>
      <c r="BM22" s="161"/>
      <c r="BN22" s="161"/>
      <c r="BO22" s="161"/>
      <c r="BP22" s="161"/>
      <c r="BQ22" s="161"/>
      <c r="BR22" s="161"/>
      <c r="BS22" s="161"/>
      <c r="BT22" s="161"/>
      <c r="BU22" s="161"/>
      <c r="BV22" s="161"/>
      <c r="BW22" s="161"/>
      <c r="BX22" s="161"/>
      <c r="BY22" s="161"/>
      <c r="BZ22" s="161"/>
    </row>
    <row r="23" spans="1:78">
      <c r="A23" s="161"/>
      <c r="B23" s="390" t="str">
        <f>B11</f>
        <v>MEGA</v>
      </c>
      <c r="C23" s="396">
        <f>Quarts!AV8</f>
        <v>8853.7849999999999</v>
      </c>
      <c r="D23" s="396">
        <f>Quarts!AW8</f>
        <v>8876.2999999999993</v>
      </c>
      <c r="E23" s="396">
        <f>Quarts!AX8</f>
        <v>8901.7469999999994</v>
      </c>
      <c r="F23" s="396">
        <f>Quarts!AY8</f>
        <v>8955.4570000000003</v>
      </c>
      <c r="G23" s="396">
        <f>Quarts!AZ8</f>
        <v>9007.223</v>
      </c>
      <c r="H23" s="396">
        <f>Quarts!BA8</f>
        <v>9097</v>
      </c>
      <c r="I23" s="396">
        <f>Quarts!BB8</f>
        <v>9292.1260000000002</v>
      </c>
      <c r="J23" s="396">
        <f>Quarts!BC8</f>
        <v>9568.6</v>
      </c>
      <c r="K23" s="396">
        <f>Quarts!BD8</f>
        <v>9686.3050000000003</v>
      </c>
      <c r="L23" s="396">
        <f>Quarts!BE8</f>
        <v>10114.51</v>
      </c>
      <c r="M23" s="396">
        <f>Quarts!BF8</f>
        <v>10566.498</v>
      </c>
      <c r="N23" s="396">
        <f>Quarts!BG8</f>
        <v>11560.218000000001</v>
      </c>
      <c r="O23" s="396">
        <f>Quarts!BH8</f>
        <v>12487.578</v>
      </c>
      <c r="P23" s="396">
        <f>Quarts!BI8</f>
        <v>13450.7</v>
      </c>
      <c r="Q23" s="396">
        <f>Quarts!BJ8</f>
        <v>14552.598</v>
      </c>
      <c r="R23" s="396">
        <f>Quarts!BK8</f>
        <v>15437.906999999999</v>
      </c>
      <c r="S23" s="396">
        <f>Quarts!BL8</f>
        <v>15951.418</v>
      </c>
      <c r="T23" s="396">
        <f>Quarts!BM8</f>
        <v>16508.645</v>
      </c>
      <c r="U23" s="396">
        <f>Quarts!BN8</f>
        <v>16998.134999999998</v>
      </c>
      <c r="V23" s="396">
        <f>Quarts!BO8</f>
        <v>17429.384999999998</v>
      </c>
      <c r="W23" s="396">
        <f>Quarts!BP8</f>
        <v>17571.868999999999</v>
      </c>
      <c r="X23" s="396">
        <f>Quarts!BQ8</f>
        <v>18110.415000000001</v>
      </c>
      <c r="Y23" s="396">
        <f>Quarts!BR8</f>
        <v>18707.485000000001</v>
      </c>
      <c r="Z23" s="396">
        <f>Quarts!BS8</f>
        <v>19246.286</v>
      </c>
      <c r="AA23" s="396">
        <f>Quarts!BT8</f>
        <v>19525.855</v>
      </c>
      <c r="AB23" s="393"/>
      <c r="AC23" s="177"/>
      <c r="AD23" s="466">
        <f t="shared" si="23"/>
        <v>1.7330215269514726E-2</v>
      </c>
      <c r="AE23" s="466">
        <f t="shared" si="23"/>
        <v>2.4863963588432236E-2</v>
      </c>
      <c r="AF23" s="466">
        <f t="shared" si="23"/>
        <v>4.3854200754076755E-2</v>
      </c>
      <c r="AG23" s="466">
        <f t="shared" si="23"/>
        <v>6.8465852719743925E-2</v>
      </c>
      <c r="AH23" s="466">
        <f t="shared" si="23"/>
        <v>7.5393048445675293E-2</v>
      </c>
      <c r="AI23" s="466">
        <f t="shared" si="23"/>
        <v>0.11185115972298565</v>
      </c>
      <c r="AJ23" s="466">
        <f t="shared" si="23"/>
        <v>0.13714536371977726</v>
      </c>
      <c r="AK23" s="466">
        <f t="shared" si="23"/>
        <v>0.20814100286353288</v>
      </c>
      <c r="AL23" s="466">
        <f t="shared" si="23"/>
        <v>0.28919933865390357</v>
      </c>
      <c r="AM23" s="466">
        <f t="shared" si="23"/>
        <v>0.32984197949282756</v>
      </c>
      <c r="AN23" s="466">
        <f t="shared" si="24"/>
        <v>0.37723946003680697</v>
      </c>
      <c r="AO23" s="466">
        <f t="shared" si="24"/>
        <v>0.33543389925691702</v>
      </c>
      <c r="AP23" s="466">
        <f t="shared" si="24"/>
        <v>0.27738285198298662</v>
      </c>
      <c r="AQ23" s="466">
        <f t="shared" si="24"/>
        <v>0.22734467351141574</v>
      </c>
      <c r="AR23" s="466">
        <f t="shared" si="24"/>
        <v>0.16804813820872377</v>
      </c>
      <c r="AS23" s="466">
        <f t="shared" si="24"/>
        <v>0.12899922249823104</v>
      </c>
      <c r="AT23" s="466">
        <f t="shared" si="24"/>
        <v>0.10158664264205219</v>
      </c>
      <c r="AU23" s="466">
        <f t="shared" si="24"/>
        <v>9.7026133883186594E-2</v>
      </c>
      <c r="AV23" s="466">
        <f t="shared" si="24"/>
        <v>0.10056103213676093</v>
      </c>
      <c r="AW23" s="466">
        <f t="shared" si="24"/>
        <v>0.10424355190960566</v>
      </c>
      <c r="AX23" s="466">
        <f t="shared" si="25"/>
        <v>0.11119966806035264</v>
      </c>
      <c r="BA23" s="161"/>
      <c r="BH23" s="161"/>
      <c r="BI23" s="161"/>
      <c r="BJ23" s="161"/>
      <c r="BK23" s="161"/>
      <c r="BL23" s="161"/>
      <c r="BM23" s="161"/>
      <c r="BN23" s="161"/>
      <c r="BO23" s="161"/>
      <c r="BP23" s="161"/>
      <c r="BQ23" s="161"/>
      <c r="BR23" s="161"/>
      <c r="BS23" s="161"/>
      <c r="BT23" s="161"/>
      <c r="BU23" s="161"/>
      <c r="BV23" s="161"/>
      <c r="BW23" s="161"/>
      <c r="BX23" s="161"/>
      <c r="BY23" s="161"/>
      <c r="BZ23" s="161"/>
    </row>
    <row r="24" spans="1:78">
      <c r="A24" s="161"/>
      <c r="B24" s="161" t="str">
        <f>B12</f>
        <v>Televisa</v>
      </c>
      <c r="C24" s="393">
        <v>15300</v>
      </c>
      <c r="D24" s="393">
        <v>15300</v>
      </c>
      <c r="E24" s="393">
        <v>15500</v>
      </c>
      <c r="F24" s="393">
        <v>15800</v>
      </c>
      <c r="G24" s="393">
        <f>F24+500</f>
        <v>16300</v>
      </c>
      <c r="H24" s="393">
        <f>G24+500</f>
        <v>16800</v>
      </c>
      <c r="I24" s="393">
        <f>H24+500</f>
        <v>17300</v>
      </c>
      <c r="J24" s="393">
        <v>17900</v>
      </c>
      <c r="K24" s="477">
        <f>J24+250</f>
        <v>18150</v>
      </c>
      <c r="L24" s="477">
        <f>K24+250</f>
        <v>18400</v>
      </c>
      <c r="M24" s="477">
        <f>L24+250</f>
        <v>18650</v>
      </c>
      <c r="N24" s="477">
        <v>18900</v>
      </c>
      <c r="O24" s="476">
        <v>19100</v>
      </c>
      <c r="P24" s="476">
        <v>19400</v>
      </c>
      <c r="Q24" s="476">
        <v>19500</v>
      </c>
      <c r="R24" s="476">
        <v>19600</v>
      </c>
      <c r="S24" s="476">
        <v>19700</v>
      </c>
      <c r="T24" s="476">
        <v>19800</v>
      </c>
      <c r="U24" s="476">
        <v>19800</v>
      </c>
      <c r="V24" s="476">
        <v>19900</v>
      </c>
      <c r="W24" s="476">
        <v>19900</v>
      </c>
      <c r="X24" s="476">
        <v>20000</v>
      </c>
      <c r="Y24" s="476">
        <v>20000</v>
      </c>
      <c r="Z24" s="476">
        <v>20000</v>
      </c>
      <c r="AA24" s="476">
        <v>20000</v>
      </c>
      <c r="AB24" s="476"/>
      <c r="AC24" s="177"/>
      <c r="AD24" s="467">
        <f t="shared" si="23"/>
        <v>6.5359477124182996E-2</v>
      </c>
      <c r="AE24" s="467">
        <f t="shared" si="23"/>
        <v>9.8039215686274606E-2</v>
      </c>
      <c r="AF24" s="467">
        <f t="shared" si="23"/>
        <v>0.11612903225806459</v>
      </c>
      <c r="AG24" s="467">
        <f t="shared" si="23"/>
        <v>0.13291139240506333</v>
      </c>
      <c r="AH24" s="467">
        <f t="shared" si="23"/>
        <v>0.11349693251533743</v>
      </c>
      <c r="AI24" s="467">
        <f t="shared" si="23"/>
        <v>9.5238095238095344E-2</v>
      </c>
      <c r="AJ24" s="467">
        <f t="shared" si="23"/>
        <v>7.8034682080924789E-2</v>
      </c>
      <c r="AK24" s="467">
        <f t="shared" si="23"/>
        <v>5.5865921787709549E-2</v>
      </c>
      <c r="AL24" s="467">
        <f t="shared" si="23"/>
        <v>5.2341597796143224E-2</v>
      </c>
      <c r="AM24" s="467">
        <f t="shared" si="23"/>
        <v>5.4347826086956541E-2</v>
      </c>
      <c r="AN24" s="467">
        <f t="shared" si="24"/>
        <v>4.5576407506702443E-2</v>
      </c>
      <c r="AO24" s="467">
        <f t="shared" si="24"/>
        <v>3.7037037037036979E-2</v>
      </c>
      <c r="AP24" s="467">
        <f t="shared" si="24"/>
        <v>3.1413612565444948E-2</v>
      </c>
      <c r="AQ24" s="467">
        <f t="shared" si="24"/>
        <v>2.0618556701030855E-2</v>
      </c>
      <c r="AR24" s="467">
        <f t="shared" si="24"/>
        <v>1.538461538461533E-2</v>
      </c>
      <c r="AS24" s="467">
        <f t="shared" si="24"/>
        <v>1.5306122448979664E-2</v>
      </c>
      <c r="AT24" s="467">
        <f t="shared" si="24"/>
        <v>1.0152284263959421E-2</v>
      </c>
      <c r="AU24" s="467">
        <f t="shared" si="24"/>
        <v>1.0101010101010166E-2</v>
      </c>
      <c r="AV24" s="467">
        <f t="shared" si="24"/>
        <v>1.0101010101010166E-2</v>
      </c>
      <c r="AW24" s="467">
        <f t="shared" si="24"/>
        <v>5.0251256281406143E-3</v>
      </c>
      <c r="AX24" s="467">
        <f t="shared" si="25"/>
        <v>5.0251256281406143E-3</v>
      </c>
      <c r="BA24" s="161"/>
      <c r="BH24" s="161"/>
      <c r="BI24" s="161"/>
      <c r="BJ24" s="161"/>
      <c r="BK24" s="161"/>
      <c r="BL24" s="161"/>
      <c r="BM24" s="161"/>
      <c r="BN24" s="161"/>
      <c r="BO24" s="161"/>
      <c r="BP24" s="161"/>
      <c r="BQ24" s="161"/>
      <c r="BR24" s="161"/>
      <c r="BS24" s="161"/>
      <c r="BT24" s="161"/>
      <c r="BU24" s="161"/>
      <c r="BV24" s="161"/>
      <c r="BW24" s="161"/>
      <c r="BX24" s="161"/>
      <c r="BY24" s="161"/>
      <c r="BZ24" s="161"/>
    </row>
    <row r="25" spans="1:78">
      <c r="A25" s="161"/>
      <c r="B25" s="390" t="s">
        <v>683</v>
      </c>
      <c r="C25" s="396"/>
      <c r="D25" s="396"/>
      <c r="E25" s="396"/>
      <c r="F25" s="396"/>
      <c r="G25" s="396"/>
      <c r="H25" s="396">
        <v>28000</v>
      </c>
      <c r="I25" s="396"/>
      <c r="J25" s="396"/>
      <c r="K25" s="396"/>
      <c r="L25" s="396"/>
      <c r="M25" s="396"/>
      <c r="N25" s="396"/>
      <c r="O25" s="396"/>
      <c r="P25" s="396"/>
      <c r="Q25" s="396">
        <f t="shared" ref="Q25:W25" si="26">Q23-P23</f>
        <v>1101.8979999999992</v>
      </c>
      <c r="R25" s="396">
        <f t="shared" si="26"/>
        <v>885.30899999999929</v>
      </c>
      <c r="S25" s="396">
        <f t="shared" si="26"/>
        <v>513.51100000000042</v>
      </c>
      <c r="T25" s="396">
        <f t="shared" si="26"/>
        <v>557.22700000000077</v>
      </c>
      <c r="U25" s="396">
        <f t="shared" si="26"/>
        <v>489.48999999999796</v>
      </c>
      <c r="V25" s="396">
        <f t="shared" si="26"/>
        <v>431.25</v>
      </c>
      <c r="W25" s="396">
        <f t="shared" si="26"/>
        <v>142.48400000000038</v>
      </c>
      <c r="X25" s="396"/>
      <c r="Y25" s="396"/>
      <c r="Z25" s="396"/>
      <c r="AA25" s="396"/>
      <c r="AB25" s="393"/>
      <c r="AC25" s="177"/>
      <c r="AD25" s="466"/>
      <c r="AE25" s="466"/>
      <c r="AF25" s="466"/>
      <c r="AG25" s="466"/>
      <c r="AH25" s="466"/>
      <c r="AI25" s="466"/>
      <c r="AJ25" s="466"/>
      <c r="AK25" s="466"/>
      <c r="AL25" s="466"/>
      <c r="AM25" s="466"/>
      <c r="AN25" s="466"/>
      <c r="AO25" s="466"/>
      <c r="AP25" s="466"/>
      <c r="AQ25" s="466"/>
      <c r="AR25" s="466"/>
      <c r="AS25" s="466"/>
      <c r="AT25" s="466"/>
      <c r="AU25" s="466"/>
      <c r="AV25" s="466"/>
      <c r="AW25" s="466"/>
      <c r="AX25" s="466"/>
      <c r="BA25" s="161"/>
      <c r="BE25" s="161"/>
      <c r="BF25" s="161"/>
      <c r="BG25" s="161"/>
      <c r="BH25" s="161"/>
      <c r="BI25" s="161"/>
      <c r="BJ25" s="161"/>
      <c r="BK25" s="161"/>
      <c r="BL25" s="161"/>
      <c r="BM25" s="161"/>
      <c r="BN25" s="161"/>
      <c r="BO25" s="161"/>
      <c r="BP25" s="161"/>
      <c r="BQ25" s="161"/>
      <c r="BR25" s="161"/>
      <c r="BS25" s="161"/>
      <c r="BT25" s="161"/>
      <c r="BU25" s="161"/>
      <c r="BV25" s="161"/>
      <c r="BW25" s="161"/>
      <c r="BX25" s="161"/>
      <c r="BY25" s="161"/>
      <c r="BZ25" s="161"/>
    </row>
    <row r="26" spans="1:78" ht="15.75" thickBot="1">
      <c r="A26" s="161"/>
      <c r="B26" s="478" t="s">
        <v>684</v>
      </c>
      <c r="C26" s="479"/>
      <c r="D26" s="479"/>
      <c r="E26" s="479"/>
      <c r="F26" s="479"/>
      <c r="G26" s="479"/>
      <c r="H26" s="479" t="s">
        <v>685</v>
      </c>
      <c r="I26" s="479"/>
      <c r="J26" s="479"/>
      <c r="K26" s="479"/>
      <c r="L26" s="479"/>
      <c r="M26" s="479"/>
      <c r="N26" s="479"/>
      <c r="O26" s="479"/>
      <c r="P26" s="479"/>
      <c r="Q26" s="479"/>
      <c r="R26" s="479"/>
      <c r="S26" s="479"/>
      <c r="T26" s="479"/>
      <c r="U26" s="479"/>
      <c r="V26" s="479"/>
      <c r="W26" s="479"/>
      <c r="X26" s="479"/>
      <c r="Y26" s="479"/>
      <c r="Z26" s="479"/>
      <c r="AA26" s="479"/>
      <c r="AB26" s="393"/>
      <c r="AC26" s="177"/>
      <c r="AD26" s="480"/>
      <c r="AE26" s="480"/>
      <c r="AF26" s="480"/>
      <c r="AG26" s="480"/>
      <c r="AH26" s="480"/>
      <c r="AI26" s="480"/>
      <c r="AJ26" s="480"/>
      <c r="AK26" s="480"/>
      <c r="AL26" s="480"/>
      <c r="AM26" s="480"/>
      <c r="AN26" s="480"/>
      <c r="AO26" s="480"/>
      <c r="AP26" s="480"/>
      <c r="AQ26" s="480"/>
      <c r="AR26" s="480"/>
      <c r="AS26" s="480"/>
      <c r="AT26" s="480"/>
      <c r="AU26" s="480"/>
      <c r="AV26" s="480"/>
      <c r="AW26" s="480"/>
      <c r="AX26" s="480"/>
      <c r="AY26" s="161"/>
      <c r="AZ26" s="161"/>
      <c r="BA26" s="161"/>
      <c r="BB26" s="161"/>
      <c r="BC26" s="161"/>
      <c r="BD26" s="161"/>
      <c r="BE26" s="161"/>
      <c r="BF26" s="161"/>
      <c r="BG26" s="161"/>
      <c r="BH26" s="161"/>
      <c r="BI26" s="161"/>
      <c r="BJ26" s="161"/>
      <c r="BK26" s="161"/>
      <c r="BL26" s="161"/>
      <c r="BM26" s="161"/>
      <c r="BN26" s="161"/>
      <c r="BO26" s="161"/>
      <c r="BP26" s="161"/>
      <c r="BQ26" s="161"/>
      <c r="BR26" s="161"/>
      <c r="BS26" s="161"/>
      <c r="BT26" s="161"/>
      <c r="BU26" s="161"/>
      <c r="BV26" s="161"/>
      <c r="BW26" s="161"/>
      <c r="BX26" s="161"/>
      <c r="BY26" s="161"/>
      <c r="BZ26" s="161"/>
    </row>
    <row r="27" spans="1:78">
      <c r="A27" s="161"/>
      <c r="B27" s="457"/>
      <c r="C27" s="481"/>
      <c r="D27" s="481"/>
      <c r="E27" s="481"/>
      <c r="F27" s="481"/>
      <c r="G27" s="481"/>
      <c r="H27" s="481"/>
      <c r="I27" s="481"/>
      <c r="J27" s="481"/>
      <c r="K27" s="481"/>
      <c r="L27" s="481"/>
      <c r="M27" s="481"/>
      <c r="N27" s="481"/>
      <c r="O27" s="481"/>
      <c r="P27" s="481"/>
      <c r="Q27" s="481"/>
      <c r="R27" s="481">
        <f t="shared" ref="R27:X27" si="27">R23-Q23</f>
        <v>885.30899999999929</v>
      </c>
      <c r="S27" s="481">
        <f t="shared" si="27"/>
        <v>513.51100000000042</v>
      </c>
      <c r="T27" s="481">
        <f t="shared" si="27"/>
        <v>557.22700000000077</v>
      </c>
      <c r="U27" s="481">
        <f t="shared" si="27"/>
        <v>489.48999999999796</v>
      </c>
      <c r="V27" s="481">
        <f t="shared" si="27"/>
        <v>431.25</v>
      </c>
      <c r="W27" s="481">
        <f t="shared" si="27"/>
        <v>142.48400000000038</v>
      </c>
      <c r="X27" s="481">
        <f t="shared" si="27"/>
        <v>538.5460000000021</v>
      </c>
      <c r="Y27" s="481">
        <f>Y23-X23</f>
        <v>597.06999999999971</v>
      </c>
      <c r="Z27" s="481">
        <f>Z23-Y23</f>
        <v>538.80099999999948</v>
      </c>
      <c r="AA27" s="481">
        <f>AA23-Z23</f>
        <v>279.56899999999951</v>
      </c>
      <c r="AB27" s="393"/>
      <c r="AC27" s="177"/>
      <c r="AD27" s="472"/>
      <c r="AE27" s="472"/>
      <c r="AF27" s="472"/>
      <c r="AG27" s="472"/>
      <c r="AH27" s="472"/>
      <c r="AI27" s="472"/>
      <c r="AJ27" s="472"/>
      <c r="AK27" s="472"/>
      <c r="AL27" s="472"/>
      <c r="AM27" s="472"/>
      <c r="AN27" s="472"/>
      <c r="AO27" s="472"/>
      <c r="AP27" s="472"/>
      <c r="AQ27" s="472"/>
      <c r="AR27" s="472"/>
      <c r="AS27" s="472"/>
      <c r="AT27" s="472"/>
      <c r="AU27" s="472"/>
      <c r="AV27" s="472"/>
      <c r="AW27" s="472"/>
      <c r="AX27" s="472"/>
      <c r="AY27" s="161"/>
      <c r="AZ27" s="161"/>
      <c r="BA27" s="161"/>
      <c r="BB27" s="161"/>
      <c r="BC27" s="161"/>
      <c r="BD27" s="161"/>
      <c r="BE27" s="161"/>
      <c r="BF27" s="161"/>
      <c r="BG27" s="161"/>
      <c r="BH27" s="161"/>
      <c r="BI27" s="161"/>
      <c r="BJ27" s="161"/>
      <c r="BK27" s="161"/>
      <c r="BL27" s="161"/>
      <c r="BM27" s="161"/>
      <c r="BN27" s="161"/>
      <c r="BO27" s="161"/>
      <c r="BP27" s="161"/>
      <c r="BQ27" s="161"/>
      <c r="BR27" s="161"/>
      <c r="BS27" s="161"/>
      <c r="BT27" s="161"/>
      <c r="BU27" s="161"/>
      <c r="BV27" s="161"/>
      <c r="BW27" s="161"/>
      <c r="BX27" s="161"/>
      <c r="BY27" s="161"/>
      <c r="BZ27" s="161"/>
    </row>
    <row r="28" spans="1:78">
      <c r="A28" s="161"/>
      <c r="B28" s="468" t="s">
        <v>686</v>
      </c>
      <c r="C28" s="465"/>
      <c r="D28" s="465"/>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177"/>
      <c r="AC28" s="177"/>
      <c r="AD28" s="465"/>
      <c r="AE28" s="465"/>
      <c r="AF28" s="465"/>
      <c r="AG28" s="465"/>
      <c r="AH28" s="465"/>
      <c r="AI28" s="465"/>
      <c r="AJ28" s="465"/>
      <c r="AK28" s="465"/>
      <c r="AL28" s="465"/>
      <c r="AM28" s="465"/>
      <c r="AN28" s="465"/>
      <c r="AO28" s="465"/>
      <c r="AP28" s="465"/>
      <c r="AQ28" s="465"/>
      <c r="AR28" s="465"/>
      <c r="AS28" s="465"/>
      <c r="AT28" s="465"/>
      <c r="AU28" s="465"/>
      <c r="AV28" s="465"/>
      <c r="AW28" s="465"/>
      <c r="AX28" s="465"/>
      <c r="AY28" s="161"/>
      <c r="AZ28" s="161"/>
      <c r="BA28" s="161"/>
      <c r="BB28" s="161"/>
      <c r="BC28" s="161"/>
      <c r="BD28" s="161"/>
      <c r="BE28" s="161"/>
      <c r="BF28" s="161"/>
      <c r="BG28" s="161"/>
      <c r="BH28" s="161"/>
      <c r="BI28" s="161"/>
      <c r="BJ28" s="161"/>
      <c r="BK28" s="161"/>
      <c r="BL28" s="161"/>
      <c r="BM28" s="161"/>
      <c r="BN28" s="161"/>
      <c r="BO28" s="161"/>
      <c r="BP28" s="161"/>
      <c r="BQ28" s="161"/>
      <c r="BR28" s="161"/>
      <c r="BS28" s="161"/>
      <c r="BT28" s="161"/>
      <c r="BU28" s="161"/>
      <c r="BV28" s="161"/>
      <c r="BW28" s="161"/>
      <c r="BX28" s="161"/>
      <c r="BY28" s="161"/>
      <c r="BZ28" s="161"/>
    </row>
    <row r="29" spans="1:78">
      <c r="A29" s="161"/>
      <c r="B29" s="457" t="str">
        <f>B34</f>
        <v>Totalplay</v>
      </c>
      <c r="C29" s="482">
        <f t="shared" ref="C29:J31" si="28">C34/C22</f>
        <v>0.1658826990807821</v>
      </c>
      <c r="D29" s="482">
        <f t="shared" si="28"/>
        <v>0.15911560191221208</v>
      </c>
      <c r="E29" s="482">
        <f t="shared" si="28"/>
        <v>0.17663934426229508</v>
      </c>
      <c r="F29" s="482">
        <f t="shared" si="28"/>
        <v>0.19869918699186992</v>
      </c>
      <c r="G29" s="482">
        <f t="shared" si="28"/>
        <v>0.21388888888888888</v>
      </c>
      <c r="H29" s="482">
        <f t="shared" si="28"/>
        <v>0.22358778625954198</v>
      </c>
      <c r="I29" s="482">
        <f t="shared" si="28"/>
        <v>0.23940298507462687</v>
      </c>
      <c r="J29" s="482">
        <f t="shared" si="28"/>
        <v>0.23523809523809525</v>
      </c>
      <c r="K29" s="483">
        <v>0.25</v>
      </c>
      <c r="L29" s="482">
        <f t="shared" ref="L29:P31" si="29">L34/L22</f>
        <v>0.23951807228915661</v>
      </c>
      <c r="M29" s="482">
        <f t="shared" si="29"/>
        <v>0.24555555555555555</v>
      </c>
      <c r="N29" s="482">
        <f t="shared" si="29"/>
        <v>0.2483236994219653</v>
      </c>
      <c r="O29" s="482">
        <f t="shared" si="29"/>
        <v>0.251612</v>
      </c>
      <c r="P29" s="482">
        <f t="shared" ref="P29:Z29" si="30">P34/P22</f>
        <v>0.25818342857142856</v>
      </c>
      <c r="Q29" s="482">
        <f t="shared" si="30"/>
        <v>0.26422857142857142</v>
      </c>
      <c r="R29" s="482">
        <f t="shared" si="30"/>
        <v>0.27230769230769231</v>
      </c>
      <c r="S29" s="482">
        <f t="shared" si="30"/>
        <v>0.27932943404098726</v>
      </c>
      <c r="T29" s="482">
        <f t="shared" si="30"/>
        <v>0.28476407049459923</v>
      </c>
      <c r="U29" s="482">
        <f t="shared" si="30"/>
        <v>0.29132330712674376</v>
      </c>
      <c r="V29" s="482">
        <f t="shared" si="30"/>
        <v>0.2965509403943406</v>
      </c>
      <c r="W29" s="482">
        <f t="shared" si="30"/>
        <v>0.30229787234042554</v>
      </c>
      <c r="X29" s="482">
        <f t="shared" si="30"/>
        <v>0.30408666379145916</v>
      </c>
      <c r="Y29" s="482">
        <f t="shared" si="30"/>
        <v>0.30579995475680871</v>
      </c>
      <c r="Z29" s="482">
        <f t="shared" si="30"/>
        <v>0.27892307692307694</v>
      </c>
      <c r="AA29" s="482">
        <f t="shared" ref="AA29" si="31">AA34/AA22</f>
        <v>0.28482051282051279</v>
      </c>
      <c r="AB29" s="467"/>
      <c r="AC29" s="177"/>
      <c r="AD29" s="482"/>
      <c r="AE29" s="482"/>
      <c r="AF29" s="482"/>
      <c r="AG29" s="482"/>
      <c r="AH29" s="482"/>
      <c r="AI29" s="482"/>
      <c r="AJ29" s="482"/>
      <c r="AK29" s="482"/>
      <c r="AL29" s="482"/>
      <c r="AM29" s="482"/>
      <c r="AN29" s="482"/>
      <c r="AO29" s="482"/>
      <c r="AP29" s="482"/>
      <c r="AQ29" s="482"/>
      <c r="AR29" s="482"/>
      <c r="AS29" s="482"/>
      <c r="AT29" s="482"/>
      <c r="AU29" s="482"/>
      <c r="AV29" s="482"/>
      <c r="AW29" s="482"/>
      <c r="AX29" s="482"/>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1"/>
      <c r="BX29" s="161"/>
      <c r="BY29" s="161"/>
      <c r="BZ29" s="161"/>
    </row>
    <row r="30" spans="1:78">
      <c r="A30" s="161"/>
      <c r="B30" s="390" t="str">
        <f>B35</f>
        <v>MEGA</v>
      </c>
      <c r="C30" s="466">
        <f t="shared" si="28"/>
        <v>0.35537129035773962</v>
      </c>
      <c r="D30" s="466">
        <f t="shared" si="28"/>
        <v>0.36382276398950014</v>
      </c>
      <c r="E30" s="466">
        <f t="shared" si="28"/>
        <v>0.38351966192703524</v>
      </c>
      <c r="F30" s="466">
        <f t="shared" si="28"/>
        <v>0.39197597621204588</v>
      </c>
      <c r="G30" s="466">
        <f t="shared" si="28"/>
        <v>0.3985401493889959</v>
      </c>
      <c r="H30" s="466">
        <f t="shared" si="28"/>
        <v>0.40100032977904804</v>
      </c>
      <c r="I30" s="466">
        <f t="shared" si="28"/>
        <v>0.40388087720721821</v>
      </c>
      <c r="J30" s="466">
        <f t="shared" si="28"/>
        <v>0.40067439332817756</v>
      </c>
      <c r="K30" s="466">
        <f>K35/K23</f>
        <v>0.40193830361525884</v>
      </c>
      <c r="L30" s="466">
        <f t="shared" si="29"/>
        <v>0.38681804654896773</v>
      </c>
      <c r="M30" s="466">
        <f t="shared" si="29"/>
        <v>0.37979773431083791</v>
      </c>
      <c r="N30" s="466">
        <f t="shared" si="29"/>
        <v>0.35793961670965024</v>
      </c>
      <c r="O30" s="466">
        <f t="shared" si="29"/>
        <v>0.34315421293064197</v>
      </c>
      <c r="P30" s="466">
        <f t="shared" si="29"/>
        <v>0.33072457195536287</v>
      </c>
      <c r="Q30" s="466">
        <f t="shared" ref="Q30:Z30" si="32">Q35/Q23</f>
        <v>0.31373119768717589</v>
      </c>
      <c r="R30" s="466">
        <f t="shared" si="32"/>
        <v>0.30584145894906606</v>
      </c>
      <c r="S30" s="466">
        <f t="shared" si="32"/>
        <v>0.30548268498762932</v>
      </c>
      <c r="T30" s="466">
        <f t="shared" si="32"/>
        <v>0.30066955828294811</v>
      </c>
      <c r="U30" s="466">
        <f t="shared" si="32"/>
        <v>0.3027065616316143</v>
      </c>
      <c r="V30" s="466">
        <f t="shared" si="32"/>
        <v>0.30476978963973772</v>
      </c>
      <c r="W30" s="466">
        <f t="shared" si="32"/>
        <v>0.30799802798438802</v>
      </c>
      <c r="X30" s="466">
        <f t="shared" si="32"/>
        <v>0.30615234383088408</v>
      </c>
      <c r="Y30" s="466">
        <f t="shared" si="32"/>
        <v>0.30325230783293422</v>
      </c>
      <c r="Z30" s="466">
        <f t="shared" si="32"/>
        <v>0.30165399184029584</v>
      </c>
      <c r="AA30" s="466">
        <f t="shared" ref="AA30" si="33">AA35/AA23</f>
        <v>0.30252104197229779</v>
      </c>
      <c r="AB30" s="467"/>
      <c r="AC30" s="177"/>
      <c r="AD30" s="466"/>
      <c r="AE30" s="466"/>
      <c r="AF30" s="466"/>
      <c r="AG30" s="466"/>
      <c r="AH30" s="466"/>
      <c r="AI30" s="466"/>
      <c r="AJ30" s="466"/>
      <c r="AK30" s="466"/>
      <c r="AL30" s="466"/>
      <c r="AM30" s="466"/>
      <c r="AN30" s="466"/>
      <c r="AO30" s="466"/>
      <c r="AP30" s="466"/>
      <c r="AQ30" s="466"/>
      <c r="AR30" s="466"/>
      <c r="AS30" s="466"/>
      <c r="AT30" s="466"/>
      <c r="AU30" s="466"/>
      <c r="AV30" s="466"/>
      <c r="AW30" s="466"/>
      <c r="AX30" s="466"/>
      <c r="AY30" s="161"/>
      <c r="AZ30" s="161"/>
      <c r="BA30" s="161"/>
      <c r="BB30" s="161"/>
      <c r="BC30" s="161"/>
      <c r="BD30" s="161"/>
      <c r="BE30" s="161"/>
      <c r="BF30" s="161"/>
      <c r="BG30" s="161"/>
      <c r="BH30" s="161"/>
      <c r="BI30" s="161"/>
      <c r="BJ30" s="161"/>
      <c r="BK30" s="161"/>
      <c r="BL30" s="161"/>
      <c r="BM30" s="161"/>
      <c r="BN30" s="161"/>
      <c r="BO30" s="161"/>
      <c r="BP30" s="161"/>
      <c r="BQ30" s="161"/>
      <c r="BR30" s="161"/>
      <c r="BS30" s="161"/>
      <c r="BT30" s="161"/>
      <c r="BU30" s="161"/>
      <c r="BV30" s="161"/>
      <c r="BW30" s="161"/>
      <c r="BX30" s="161"/>
      <c r="BY30" s="161"/>
      <c r="BZ30" s="161"/>
    </row>
    <row r="31" spans="1:78">
      <c r="A31" s="161"/>
      <c r="B31" s="905" t="str">
        <f>B36</f>
        <v>Televisa</v>
      </c>
      <c r="C31" s="909">
        <f t="shared" si="28"/>
        <v>0.31483660130718955</v>
      </c>
      <c r="D31" s="909">
        <f t="shared" si="28"/>
        <v>0.33130718954248367</v>
      </c>
      <c r="E31" s="909">
        <f t="shared" si="28"/>
        <v>0.34212903225806451</v>
      </c>
      <c r="F31" s="909">
        <f t="shared" si="28"/>
        <v>0.34378484651947511</v>
      </c>
      <c r="G31" s="909">
        <f t="shared" si="28"/>
        <v>0.33957055214723925</v>
      </c>
      <c r="H31" s="909">
        <f t="shared" si="28"/>
        <v>0.33130952380952383</v>
      </c>
      <c r="I31" s="909">
        <f t="shared" si="28"/>
        <v>0.32317919075144508</v>
      </c>
      <c r="J31" s="909">
        <f t="shared" si="28"/>
        <v>0.3155922905027933</v>
      </c>
      <c r="K31" s="909">
        <f>K36/K24</f>
        <v>0.3158141046831956</v>
      </c>
      <c r="L31" s="909">
        <f t="shared" si="29"/>
        <v>0.31573858695652174</v>
      </c>
      <c r="M31" s="909">
        <f t="shared" si="29"/>
        <v>0.31666616621983912</v>
      </c>
      <c r="N31" s="909">
        <f t="shared" si="29"/>
        <v>0.31661375661375663</v>
      </c>
      <c r="O31" s="909">
        <f t="shared" si="29"/>
        <v>0.31774146596858638</v>
      </c>
      <c r="P31" s="909">
        <f>P36/P24</f>
        <v>0.31087628865979383</v>
      </c>
      <c r="Q31" s="909">
        <f t="shared" ref="Q31:Z31" si="34">Q36/Q24</f>
        <v>0.29117107692307692</v>
      </c>
      <c r="R31" s="909">
        <f t="shared" si="34"/>
        <v>0.28971586734693877</v>
      </c>
      <c r="S31" s="909">
        <f t="shared" si="34"/>
        <v>0.28878172588832485</v>
      </c>
      <c r="T31" s="909">
        <f t="shared" si="34"/>
        <v>0.2878787878787879</v>
      </c>
      <c r="U31" s="909">
        <f t="shared" si="34"/>
        <v>0.28844287878787878</v>
      </c>
      <c r="V31" s="909">
        <f t="shared" si="34"/>
        <v>0.28271356783919599</v>
      </c>
      <c r="W31" s="909">
        <f t="shared" si="34"/>
        <v>0.28243437185929648</v>
      </c>
      <c r="X31" s="909">
        <f t="shared" si="34"/>
        <v>0.28134124999999999</v>
      </c>
      <c r="Y31" s="909">
        <f t="shared" si="34"/>
        <v>0.28242040000000002</v>
      </c>
      <c r="Z31" s="909">
        <f t="shared" si="34"/>
        <v>0.28365000000000001</v>
      </c>
      <c r="AA31" s="909">
        <f t="shared" ref="AA31" si="35">AA36/AA24</f>
        <v>0.28489999999999999</v>
      </c>
      <c r="AB31" s="467"/>
      <c r="AC31" s="177"/>
      <c r="AD31" s="909"/>
      <c r="AE31" s="909"/>
      <c r="AF31" s="909"/>
      <c r="AG31" s="909"/>
      <c r="AH31" s="909"/>
      <c r="AI31" s="909"/>
      <c r="AJ31" s="909"/>
      <c r="AK31" s="909"/>
      <c r="AL31" s="909"/>
      <c r="AM31" s="909"/>
      <c r="AN31" s="909"/>
      <c r="AO31" s="909"/>
      <c r="AP31" s="909"/>
      <c r="AQ31" s="909"/>
      <c r="AR31" s="909"/>
      <c r="AS31" s="909"/>
      <c r="AT31" s="909"/>
      <c r="AU31" s="909"/>
      <c r="AV31" s="909"/>
      <c r="AW31" s="909"/>
      <c r="AX31" s="909"/>
      <c r="AY31" s="161"/>
      <c r="AZ31" s="161"/>
      <c r="BA31" s="161"/>
      <c r="BB31" s="161"/>
      <c r="BC31" s="161"/>
      <c r="BD31" s="161"/>
      <c r="BE31" s="161"/>
      <c r="BF31" s="161"/>
      <c r="BG31" s="161"/>
      <c r="BH31" s="161"/>
      <c r="BI31" s="161"/>
      <c r="BJ31" s="161"/>
      <c r="BK31" s="161"/>
      <c r="BL31" s="161"/>
      <c r="BM31" s="161"/>
      <c r="BN31" s="161"/>
      <c r="BO31" s="161"/>
      <c r="BP31" s="161"/>
      <c r="BQ31" s="161"/>
      <c r="BR31" s="161"/>
      <c r="BS31" s="161"/>
      <c r="BT31" s="161"/>
      <c r="BU31" s="161"/>
      <c r="BV31" s="161"/>
      <c r="BW31" s="161"/>
      <c r="BX31" s="161"/>
      <c r="BY31" s="161"/>
      <c r="BZ31" s="161"/>
    </row>
    <row r="32" spans="1:78">
      <c r="A32" s="161"/>
      <c r="B32" s="161"/>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c r="BJ32" s="161"/>
      <c r="BK32" s="161"/>
      <c r="BL32" s="161"/>
      <c r="BM32" s="161"/>
      <c r="BN32" s="161"/>
      <c r="BO32" s="161"/>
      <c r="BP32" s="161"/>
      <c r="BQ32" s="161"/>
      <c r="BR32" s="161"/>
      <c r="BS32" s="161"/>
      <c r="BT32" s="161"/>
      <c r="BU32" s="161"/>
      <c r="BV32" s="161"/>
      <c r="BW32" s="161"/>
      <c r="BX32" s="161"/>
      <c r="BY32" s="161"/>
      <c r="BZ32" s="161"/>
    </row>
    <row r="33" spans="1:78">
      <c r="A33" s="161"/>
      <c r="B33" s="872" t="s">
        <v>687</v>
      </c>
      <c r="C33" s="903" t="str">
        <f>C2</f>
        <v>Q1 20</v>
      </c>
      <c r="D33" s="903" t="str">
        <f>D2</f>
        <v>Q2 20</v>
      </c>
      <c r="E33" s="903" t="str">
        <f>E2</f>
        <v>Q3 20</v>
      </c>
      <c r="F33" s="903" t="str">
        <f>F2</f>
        <v>Q4 20</v>
      </c>
      <c r="G33" s="903" t="str">
        <f t="shared" ref="G33:R33" si="36">G2</f>
        <v>Q1 21</v>
      </c>
      <c r="H33" s="903" t="str">
        <f t="shared" si="36"/>
        <v>Q2 21</v>
      </c>
      <c r="I33" s="903" t="str">
        <f t="shared" si="36"/>
        <v>Q3 21</v>
      </c>
      <c r="J33" s="903" t="str">
        <f t="shared" si="36"/>
        <v>Q4 21</v>
      </c>
      <c r="K33" s="903" t="str">
        <f t="shared" si="36"/>
        <v>Q1 22</v>
      </c>
      <c r="L33" s="903" t="str">
        <f t="shared" si="36"/>
        <v>Q2 22</v>
      </c>
      <c r="M33" s="903" t="str">
        <f t="shared" si="36"/>
        <v>Q3 22</v>
      </c>
      <c r="N33" s="903" t="str">
        <f t="shared" si="36"/>
        <v>Q4 22</v>
      </c>
      <c r="O33" s="903" t="str">
        <f t="shared" si="36"/>
        <v>Q1 23</v>
      </c>
      <c r="P33" s="903" t="str">
        <f t="shared" si="36"/>
        <v>Q2 23</v>
      </c>
      <c r="Q33" s="903" t="str">
        <f t="shared" si="36"/>
        <v>Q3 23</v>
      </c>
      <c r="R33" s="903" t="str">
        <f t="shared" si="36"/>
        <v>Q4 23</v>
      </c>
      <c r="S33" s="903" t="str">
        <f t="shared" ref="S33:Z33" si="37">S2</f>
        <v>Q1 24</v>
      </c>
      <c r="T33" s="903" t="str">
        <f t="shared" si="37"/>
        <v>Q2 24</v>
      </c>
      <c r="U33" s="903" t="str">
        <f t="shared" si="37"/>
        <v>Q3 24</v>
      </c>
      <c r="V33" s="903" t="str">
        <f t="shared" si="37"/>
        <v>Q4 24</v>
      </c>
      <c r="W33" s="903" t="str">
        <f t="shared" si="37"/>
        <v>Q1 25</v>
      </c>
      <c r="X33" s="903" t="str">
        <f t="shared" si="37"/>
        <v>Q2 25</v>
      </c>
      <c r="Y33" s="903" t="str">
        <f t="shared" si="37"/>
        <v>Q3 25</v>
      </c>
      <c r="Z33" s="903" t="str">
        <f t="shared" si="37"/>
        <v>Q4 25</v>
      </c>
      <c r="AA33" s="903" t="str">
        <f t="shared" ref="AA33" si="38">AA2</f>
        <v>Q1 26</v>
      </c>
      <c r="AB33" s="464"/>
      <c r="AC33" s="177"/>
      <c r="AD33" s="903" t="str">
        <f t="shared" ref="AD33:AL33" si="39">AD2</f>
        <v>Q1 21</v>
      </c>
      <c r="AE33" s="903" t="str">
        <f t="shared" si="39"/>
        <v>Q2 21</v>
      </c>
      <c r="AF33" s="903" t="str">
        <f t="shared" si="39"/>
        <v>Q3 21</v>
      </c>
      <c r="AG33" s="903" t="str">
        <f t="shared" si="39"/>
        <v>Q4 21</v>
      </c>
      <c r="AH33" s="903" t="str">
        <f t="shared" si="39"/>
        <v>Q1 22</v>
      </c>
      <c r="AI33" s="903" t="str">
        <f t="shared" si="39"/>
        <v>Q2 22</v>
      </c>
      <c r="AJ33" s="903" t="str">
        <f t="shared" si="39"/>
        <v>Q3 22</v>
      </c>
      <c r="AK33" s="903" t="str">
        <f t="shared" si="39"/>
        <v>Q4 22</v>
      </c>
      <c r="AL33" s="903" t="str">
        <f t="shared" si="39"/>
        <v>Q1 23</v>
      </c>
      <c r="AM33" s="903" t="str">
        <f t="shared" ref="AM33:AV33" si="40">AM2</f>
        <v>Q2 23</v>
      </c>
      <c r="AN33" s="903" t="str">
        <f t="shared" si="40"/>
        <v>Q3 23</v>
      </c>
      <c r="AO33" s="903" t="str">
        <f t="shared" si="40"/>
        <v>Q4 23</v>
      </c>
      <c r="AP33" s="903" t="str">
        <f t="shared" si="40"/>
        <v>Q1 24</v>
      </c>
      <c r="AQ33" s="903" t="str">
        <f t="shared" si="40"/>
        <v>Q2 24</v>
      </c>
      <c r="AR33" s="903" t="str">
        <f t="shared" si="40"/>
        <v>Q3 24</v>
      </c>
      <c r="AS33" s="903" t="str">
        <f t="shared" si="40"/>
        <v>Q4 24</v>
      </c>
      <c r="AT33" s="903" t="str">
        <f t="shared" si="40"/>
        <v>Q1 25</v>
      </c>
      <c r="AU33" s="903" t="str">
        <f t="shared" si="40"/>
        <v>Q2 25</v>
      </c>
      <c r="AV33" s="903" t="str">
        <f t="shared" si="40"/>
        <v>Q3 25</v>
      </c>
      <c r="AW33" s="903" t="str">
        <f t="shared" ref="AW33:AX33" si="41">AW2</f>
        <v>Q4 25</v>
      </c>
      <c r="AX33" s="903" t="str">
        <f t="shared" si="41"/>
        <v>Q1 26</v>
      </c>
      <c r="AY33" s="161"/>
      <c r="AZ33" s="161"/>
      <c r="BA33" s="161"/>
      <c r="BB33" s="161"/>
      <c r="BC33" s="161"/>
      <c r="BD33" s="161"/>
      <c r="BE33" s="161"/>
      <c r="BF33" s="161"/>
      <c r="BG33" s="161"/>
      <c r="BH33" s="161"/>
      <c r="BI33" s="161"/>
      <c r="BJ33" s="161"/>
      <c r="BK33" s="161"/>
      <c r="BL33" s="161"/>
      <c r="BM33" s="161"/>
      <c r="BN33" s="161"/>
      <c r="BO33" s="161"/>
      <c r="BP33" s="161"/>
      <c r="BQ33" s="161"/>
      <c r="BR33" s="161"/>
      <c r="BS33" s="161"/>
      <c r="BT33" s="161"/>
      <c r="BU33" s="161"/>
      <c r="BV33" s="161"/>
      <c r="BW33" s="161"/>
      <c r="BX33" s="161"/>
      <c r="BY33" s="161"/>
      <c r="BZ33" s="161"/>
    </row>
    <row r="34" spans="1:78">
      <c r="A34" s="161"/>
      <c r="B34" s="390" t="str">
        <f>B22</f>
        <v>Totalplay</v>
      </c>
      <c r="C34" s="396">
        <f>G34/1.66</f>
        <v>1623.4939759036145</v>
      </c>
      <c r="D34" s="396">
        <f>H34/1.56</f>
        <v>1877.5641025641025</v>
      </c>
      <c r="E34" s="396">
        <v>2155</v>
      </c>
      <c r="F34" s="396">
        <v>2444</v>
      </c>
      <c r="G34" s="396">
        <v>2695</v>
      </c>
      <c r="H34" s="396">
        <v>2929</v>
      </c>
      <c r="I34" s="484">
        <v>3208</v>
      </c>
      <c r="J34" s="484">
        <v>3458</v>
      </c>
      <c r="K34" s="484">
        <f>J34+397-123</f>
        <v>3732</v>
      </c>
      <c r="L34" s="484">
        <f>K34+384-140</f>
        <v>3976</v>
      </c>
      <c r="M34" s="484">
        <f>L34+379-156</f>
        <v>4199</v>
      </c>
      <c r="N34" s="484">
        <f>M34+288-191</f>
        <v>4296</v>
      </c>
      <c r="O34" s="484">
        <v>4403.21</v>
      </c>
      <c r="P34" s="484">
        <f>O34+115</f>
        <v>4518.21</v>
      </c>
      <c r="Q34" s="484">
        <v>4624</v>
      </c>
      <c r="R34" s="484">
        <v>4779</v>
      </c>
      <c r="S34" s="484">
        <v>4907.3</v>
      </c>
      <c r="T34" s="484">
        <v>5009</v>
      </c>
      <c r="U34" s="484">
        <v>5124</v>
      </c>
      <c r="V34" s="484">
        <v>5219</v>
      </c>
      <c r="W34" s="484">
        <v>5328</v>
      </c>
      <c r="X34" s="484">
        <v>5360</v>
      </c>
      <c r="Y34" s="484">
        <v>5391</v>
      </c>
      <c r="Z34" s="484">
        <v>5439</v>
      </c>
      <c r="AA34" s="484">
        <v>5554</v>
      </c>
      <c r="AB34" s="476"/>
      <c r="AC34" s="177"/>
      <c r="AD34" s="466">
        <f t="shared" ref="AD34:AX37" si="42">G34/C34-1</f>
        <v>0.65999999999999992</v>
      </c>
      <c r="AE34" s="466">
        <f t="shared" si="42"/>
        <v>0.56000000000000005</v>
      </c>
      <c r="AF34" s="466">
        <f t="shared" si="42"/>
        <v>0.48863109048723907</v>
      </c>
      <c r="AG34" s="466">
        <f t="shared" si="42"/>
        <v>0.41489361702127669</v>
      </c>
      <c r="AH34" s="466">
        <f t="shared" si="42"/>
        <v>0.38478664192949896</v>
      </c>
      <c r="AI34" s="466">
        <f t="shared" si="42"/>
        <v>0.35745988391942651</v>
      </c>
      <c r="AJ34" s="466">
        <f t="shared" si="42"/>
        <v>0.30891521197007488</v>
      </c>
      <c r="AK34" s="466">
        <f t="shared" si="42"/>
        <v>0.24233661075766344</v>
      </c>
      <c r="AL34" s="466">
        <f t="shared" si="42"/>
        <v>0.17985262593783502</v>
      </c>
      <c r="AM34" s="466">
        <f t="shared" si="42"/>
        <v>0.13637072434607656</v>
      </c>
      <c r="AN34" s="466">
        <f t="shared" si="42"/>
        <v>0.10121457489878538</v>
      </c>
      <c r="AO34" s="466">
        <f t="shared" si="42"/>
        <v>0.11243016759776547</v>
      </c>
      <c r="AP34" s="466">
        <f t="shared" si="42"/>
        <v>0.1144823889844</v>
      </c>
      <c r="AQ34" s="466">
        <f t="shared" si="42"/>
        <v>0.10862487578045288</v>
      </c>
      <c r="AR34" s="466">
        <f t="shared" si="42"/>
        <v>0.1081314878892734</v>
      </c>
      <c r="AS34" s="466">
        <f t="shared" si="42"/>
        <v>9.2069470600544046E-2</v>
      </c>
      <c r="AT34" s="466">
        <f t="shared" si="42"/>
        <v>8.5729423511910818E-2</v>
      </c>
      <c r="AU34" s="466">
        <f t="shared" si="42"/>
        <v>7.0073867039329274E-2</v>
      </c>
      <c r="AV34" s="466">
        <f t="shared" si="42"/>
        <v>5.2107728337236425E-2</v>
      </c>
      <c r="AW34" s="466">
        <f t="shared" si="42"/>
        <v>4.215366928530373E-2</v>
      </c>
      <c r="AX34" s="466">
        <f t="shared" si="42"/>
        <v>4.2417417417417447E-2</v>
      </c>
      <c r="AY34" s="161"/>
      <c r="AZ34" s="161"/>
      <c r="BA34" s="161"/>
      <c r="BB34" s="161"/>
      <c r="BC34" s="161"/>
      <c r="BD34" s="161"/>
      <c r="BE34" s="161"/>
      <c r="BF34" s="161"/>
      <c r="BG34" s="161"/>
      <c r="BH34" s="161"/>
      <c r="BI34" s="161"/>
      <c r="BJ34" s="161"/>
      <c r="BK34" s="161"/>
      <c r="BL34" s="161"/>
      <c r="BM34" s="161"/>
      <c r="BN34" s="161"/>
      <c r="BO34" s="161"/>
      <c r="BP34" s="161"/>
      <c r="BQ34" s="161"/>
      <c r="BR34" s="161"/>
      <c r="BS34" s="161"/>
      <c r="BT34" s="161"/>
      <c r="BU34" s="161"/>
      <c r="BV34" s="161"/>
      <c r="BW34" s="161"/>
      <c r="BX34" s="161"/>
      <c r="BY34" s="161"/>
      <c r="BZ34" s="161"/>
    </row>
    <row r="35" spans="1:78">
      <c r="A35" s="161"/>
      <c r="B35" s="161" t="str">
        <f>B23</f>
        <v>MEGA</v>
      </c>
      <c r="C35" s="393">
        <f>Quarts!AV19</f>
        <v>3146.3809999999999</v>
      </c>
      <c r="D35" s="393">
        <f>Quarts!AW19</f>
        <v>3229.4</v>
      </c>
      <c r="E35" s="393">
        <f>Quarts!AX19</f>
        <v>3413.9949999999999</v>
      </c>
      <c r="F35" s="393">
        <f>Quarts!AY19</f>
        <v>3510.3240000000001</v>
      </c>
      <c r="G35" s="393">
        <f>Quarts!AZ19</f>
        <v>3589.74</v>
      </c>
      <c r="H35" s="393">
        <f>Quarts!BA19</f>
        <v>3647.9</v>
      </c>
      <c r="I35" s="393">
        <f>Quarts!BB19</f>
        <v>3752.9119999999998</v>
      </c>
      <c r="J35" s="393">
        <f>Quarts!BC19</f>
        <v>3833.893</v>
      </c>
      <c r="K35" s="393">
        <f>Quarts!BD19</f>
        <v>3893.297</v>
      </c>
      <c r="L35" s="393">
        <f>Quarts!BE19</f>
        <v>3912.4749999999999</v>
      </c>
      <c r="M35" s="393">
        <f>Quarts!BF19</f>
        <v>4013.1320000000001</v>
      </c>
      <c r="N35" s="393">
        <f>Quarts!BG19</f>
        <v>4137.8599999999997</v>
      </c>
      <c r="O35" s="393">
        <f>Quarts!BH19</f>
        <v>4285.165</v>
      </c>
      <c r="P35" s="393">
        <f>Quarts!BI19</f>
        <v>4448.4769999999999</v>
      </c>
      <c r="Q35" s="393">
        <f>Quarts!BJ19</f>
        <v>4565.6040000000003</v>
      </c>
      <c r="R35" s="393">
        <f>Quarts!BK19</f>
        <v>4721.5519999999997</v>
      </c>
      <c r="S35" s="393">
        <f>Quarts!BL19</f>
        <v>4872.8819999999996</v>
      </c>
      <c r="T35" s="393">
        <f>Quarts!BM19</f>
        <v>4963.6469999999999</v>
      </c>
      <c r="U35" s="393">
        <f>Quarts!BN19</f>
        <v>5145.4470000000001</v>
      </c>
      <c r="V35" s="393">
        <f>Quarts!BO19</f>
        <v>5311.95</v>
      </c>
      <c r="W35" s="393">
        <f>Quarts!BP19</f>
        <v>5412.1009999999997</v>
      </c>
      <c r="X35" s="393">
        <f>Quarts!BQ19</f>
        <v>5544.5460000000003</v>
      </c>
      <c r="Y35" s="393">
        <f>Quarts!BR19</f>
        <v>5673.0879999999997</v>
      </c>
      <c r="Z35" s="393">
        <f>Quarts!BS19</f>
        <v>5805.7190000000001</v>
      </c>
      <c r="AA35" s="393">
        <f>Quarts!BT19</f>
        <v>5906.982</v>
      </c>
      <c r="AB35" s="393"/>
      <c r="AC35" s="177"/>
      <c r="AD35" s="467">
        <f t="shared" si="42"/>
        <v>0.14091077971803156</v>
      </c>
      <c r="AE35" s="467">
        <f t="shared" si="42"/>
        <v>0.12959063603146093</v>
      </c>
      <c r="AF35" s="467">
        <f t="shared" si="42"/>
        <v>9.92728460352168E-2</v>
      </c>
      <c r="AG35" s="467">
        <f t="shared" si="42"/>
        <v>9.2176391694897664E-2</v>
      </c>
      <c r="AH35" s="467">
        <f t="shared" si="42"/>
        <v>8.4562391705248929E-2</v>
      </c>
      <c r="AI35" s="467">
        <f t="shared" si="42"/>
        <v>7.2528029825378981E-2</v>
      </c>
      <c r="AJ35" s="467">
        <f t="shared" si="42"/>
        <v>6.9338156610120327E-2</v>
      </c>
      <c r="AK35" s="467">
        <f t="shared" si="42"/>
        <v>7.9284163642542982E-2</v>
      </c>
      <c r="AL35" s="467">
        <f t="shared" si="42"/>
        <v>0.10065196670071663</v>
      </c>
      <c r="AM35" s="467">
        <f t="shared" si="42"/>
        <v>0.13699819168173599</v>
      </c>
      <c r="AN35" s="467">
        <f t="shared" si="42"/>
        <v>0.13766604238285707</v>
      </c>
      <c r="AO35" s="467">
        <f t="shared" si="42"/>
        <v>0.14106132155268658</v>
      </c>
      <c r="AP35" s="467">
        <f t="shared" si="42"/>
        <v>0.13715154492300763</v>
      </c>
      <c r="AQ35" s="467">
        <f t="shared" si="42"/>
        <v>0.11580817434820956</v>
      </c>
      <c r="AR35" s="467">
        <f t="shared" si="42"/>
        <v>0.12700247327626313</v>
      </c>
      <c r="AS35" s="467">
        <f t="shared" si="42"/>
        <v>0.12504320613222086</v>
      </c>
      <c r="AT35" s="467">
        <f t="shared" si="42"/>
        <v>0.11065710189575695</v>
      </c>
      <c r="AU35" s="467">
        <f t="shared" si="42"/>
        <v>0.1170306832858985</v>
      </c>
      <c r="AV35" s="467">
        <f t="shared" si="42"/>
        <v>0.10254522104687891</v>
      </c>
      <c r="AW35" s="467">
        <f t="shared" si="42"/>
        <v>9.2954376453091569E-2</v>
      </c>
      <c r="AX35" s="467">
        <f t="shared" si="42"/>
        <v>9.1439719990443757E-2</v>
      </c>
      <c r="AY35" s="161"/>
      <c r="AZ35" s="161"/>
      <c r="BA35" s="161"/>
      <c r="BB35" s="161"/>
      <c r="BC35" s="161"/>
      <c r="BD35" s="161"/>
      <c r="BE35" s="161"/>
      <c r="BF35" s="161"/>
      <c r="BG35" s="161"/>
      <c r="BH35" s="161"/>
      <c r="BI35" s="161"/>
      <c r="BJ35" s="161"/>
      <c r="BK35" s="161"/>
      <c r="BL35" s="161"/>
      <c r="BM35" s="161"/>
      <c r="BN35" s="161"/>
      <c r="BO35" s="161"/>
      <c r="BP35" s="161"/>
      <c r="BQ35" s="161"/>
      <c r="BR35" s="161"/>
      <c r="BS35" s="161"/>
      <c r="BT35" s="161"/>
      <c r="BU35" s="161"/>
      <c r="BV35" s="161"/>
      <c r="BW35" s="161"/>
      <c r="BX35" s="161"/>
      <c r="BY35" s="161"/>
      <c r="BZ35" s="161"/>
    </row>
    <row r="36" spans="1:78">
      <c r="A36" s="161"/>
      <c r="B36" s="390" t="str">
        <f>B24</f>
        <v>Televisa</v>
      </c>
      <c r="C36" s="396">
        <v>4817</v>
      </c>
      <c r="D36" s="396">
        <v>5069</v>
      </c>
      <c r="E36" s="396">
        <v>5303</v>
      </c>
      <c r="F36" s="396">
        <v>5431.8005750077064</v>
      </c>
      <c r="G36" s="396">
        <v>5535</v>
      </c>
      <c r="H36" s="396">
        <v>5566</v>
      </c>
      <c r="I36" s="396">
        <v>5591</v>
      </c>
      <c r="J36" s="396">
        <v>5649.1019999999999</v>
      </c>
      <c r="K36" s="396">
        <v>5732.0259999999998</v>
      </c>
      <c r="L36" s="396">
        <v>5809.59</v>
      </c>
      <c r="M36" s="396">
        <v>5905.8239999999996</v>
      </c>
      <c r="N36" s="396">
        <v>5984</v>
      </c>
      <c r="O36" s="396">
        <v>6068.8620000000001</v>
      </c>
      <c r="P36" s="396">
        <v>6031</v>
      </c>
      <c r="Q36" s="396">
        <v>5677.8360000000002</v>
      </c>
      <c r="R36" s="396">
        <v>5678.4309999999996</v>
      </c>
      <c r="S36" s="396">
        <v>5689</v>
      </c>
      <c r="T36" s="396">
        <v>5700</v>
      </c>
      <c r="U36" s="396">
        <v>5711.1689999999999</v>
      </c>
      <c r="V36" s="396">
        <v>5626</v>
      </c>
      <c r="W36" s="396">
        <v>5620.4440000000004</v>
      </c>
      <c r="X36" s="396">
        <v>5626.8249999999998</v>
      </c>
      <c r="Y36" s="396">
        <v>5648.4080000000004</v>
      </c>
      <c r="Z36" s="396">
        <v>5673</v>
      </c>
      <c r="AA36" s="396">
        <v>5698</v>
      </c>
      <c r="AB36" s="393"/>
      <c r="AC36" s="177"/>
      <c r="AD36" s="466">
        <f t="shared" si="42"/>
        <v>0.14905542869005606</v>
      </c>
      <c r="AE36" s="466">
        <f t="shared" si="42"/>
        <v>9.8046952061550563E-2</v>
      </c>
      <c r="AF36" s="466">
        <f t="shared" si="42"/>
        <v>5.4308881765038564E-2</v>
      </c>
      <c r="AG36" s="466">
        <f t="shared" si="42"/>
        <v>4.0005412936572116E-2</v>
      </c>
      <c r="AH36" s="466">
        <f t="shared" si="42"/>
        <v>3.5596386630532884E-2</v>
      </c>
      <c r="AI36" s="466">
        <f t="shared" si="42"/>
        <v>4.376392382321237E-2</v>
      </c>
      <c r="AJ36" s="466">
        <f t="shared" si="42"/>
        <v>5.6309068145233399E-2</v>
      </c>
      <c r="AK36" s="466">
        <f t="shared" si="42"/>
        <v>5.9283404689807417E-2</v>
      </c>
      <c r="AL36" s="466">
        <f t="shared" si="42"/>
        <v>5.8763864644019392E-2</v>
      </c>
      <c r="AM36" s="466">
        <f t="shared" si="42"/>
        <v>3.8111123160154081E-2</v>
      </c>
      <c r="AN36" s="466">
        <f t="shared" si="42"/>
        <v>-3.8603927241990132E-2</v>
      </c>
      <c r="AO36" s="466">
        <f t="shared" si="42"/>
        <v>-5.1064338235294215E-2</v>
      </c>
      <c r="AP36" s="466">
        <f t="shared" si="42"/>
        <v>-6.2591965347045253E-2</v>
      </c>
      <c r="AQ36" s="466">
        <f t="shared" si="42"/>
        <v>-5.4883103962858559E-2</v>
      </c>
      <c r="AR36" s="466">
        <f t="shared" si="42"/>
        <v>5.8707225781089445E-3</v>
      </c>
      <c r="AS36" s="466">
        <f t="shared" si="42"/>
        <v>-9.2333604124096302E-3</v>
      </c>
      <c r="AT36" s="466">
        <f t="shared" si="42"/>
        <v>-1.2050624011249678E-2</v>
      </c>
      <c r="AU36" s="466">
        <f t="shared" si="42"/>
        <v>-1.283771929824562E-2</v>
      </c>
      <c r="AV36" s="466">
        <f t="shared" si="42"/>
        <v>-1.0989168767374879E-2</v>
      </c>
      <c r="AW36" s="466">
        <f t="shared" si="42"/>
        <v>8.3540703874867006E-3</v>
      </c>
      <c r="AX36" s="466">
        <f t="shared" si="42"/>
        <v>1.3798909837016371E-2</v>
      </c>
      <c r="AY36" s="161"/>
      <c r="AZ36" s="161"/>
      <c r="BA36" s="161"/>
      <c r="BB36" s="161"/>
      <c r="BC36" s="161"/>
      <c r="BD36" s="161"/>
      <c r="BE36" s="161"/>
      <c r="BF36" s="161"/>
      <c r="BG36" s="161"/>
      <c r="BH36" s="161"/>
      <c r="BI36" s="161"/>
      <c r="BJ36" s="161"/>
      <c r="BK36" s="161"/>
      <c r="BL36" s="161"/>
      <c r="BM36" s="161"/>
      <c r="BN36" s="161"/>
      <c r="BO36" s="161"/>
      <c r="BP36" s="161"/>
      <c r="BQ36" s="161"/>
      <c r="BR36" s="161"/>
      <c r="BS36" s="161"/>
      <c r="BT36" s="161"/>
      <c r="BU36" s="161"/>
      <c r="BV36" s="161"/>
      <c r="BW36" s="161"/>
      <c r="BX36" s="161"/>
      <c r="BY36" s="161"/>
      <c r="BZ36" s="161"/>
    </row>
    <row r="37" spans="1:78">
      <c r="A37" s="161"/>
      <c r="B37" s="161" t="s">
        <v>688</v>
      </c>
      <c r="C37" s="393">
        <v>9798</v>
      </c>
      <c r="D37" s="393">
        <v>9861</v>
      </c>
      <c r="E37" s="393">
        <v>9978</v>
      </c>
      <c r="F37" s="393">
        <v>10011</v>
      </c>
      <c r="G37" s="393">
        <v>9992</v>
      </c>
      <c r="H37" s="393">
        <v>9954</v>
      </c>
      <c r="I37" s="393">
        <v>10048</v>
      </c>
      <c r="J37" s="393">
        <v>10037</v>
      </c>
      <c r="K37" s="393">
        <v>10100</v>
      </c>
      <c r="L37" s="393">
        <v>10120</v>
      </c>
      <c r="M37" s="393">
        <v>10121</v>
      </c>
      <c r="N37" s="393">
        <v>10025</v>
      </c>
      <c r="O37" s="393">
        <v>10164</v>
      </c>
      <c r="P37" s="393">
        <v>10304</v>
      </c>
      <c r="Q37" s="393">
        <v>10324</v>
      </c>
      <c r="R37" s="393">
        <v>10489</v>
      </c>
      <c r="S37" s="393">
        <v>10814</v>
      </c>
      <c r="T37" s="393">
        <v>10962</v>
      </c>
      <c r="U37" s="393">
        <v>11077</v>
      </c>
      <c r="V37" s="393">
        <v>11209</v>
      </c>
      <c r="W37" s="393">
        <v>11374</v>
      </c>
      <c r="X37" s="393">
        <v>11605</v>
      </c>
      <c r="Y37" s="393">
        <v>11816</v>
      </c>
      <c r="Z37" s="393">
        <v>12001</v>
      </c>
      <c r="AA37" s="393">
        <v>12175</v>
      </c>
      <c r="AB37" s="393"/>
      <c r="AC37" s="177"/>
      <c r="AD37" s="467">
        <f t="shared" si="42"/>
        <v>1.9799959175341941E-2</v>
      </c>
      <c r="AE37" s="467">
        <f t="shared" si="42"/>
        <v>9.4310921813203219E-3</v>
      </c>
      <c r="AF37" s="467">
        <f t="shared" si="42"/>
        <v>7.0154339547003897E-3</v>
      </c>
      <c r="AG37" s="467">
        <f t="shared" si="42"/>
        <v>2.5971431425431124E-3</v>
      </c>
      <c r="AH37" s="467">
        <f t="shared" si="42"/>
        <v>1.0808646917534137E-2</v>
      </c>
      <c r="AI37" s="467">
        <f t="shared" si="42"/>
        <v>1.6676712879244437E-2</v>
      </c>
      <c r="AJ37" s="467">
        <f t="shared" si="42"/>
        <v>7.2651273885351308E-3</v>
      </c>
      <c r="AK37" s="467">
        <f t="shared" si="42"/>
        <v>-1.1955763674404984E-3</v>
      </c>
      <c r="AL37" s="467">
        <f t="shared" si="42"/>
        <v>6.3366336633663423E-3</v>
      </c>
      <c r="AM37" s="467">
        <f t="shared" si="42"/>
        <v>1.8181818181818077E-2</v>
      </c>
      <c r="AN37" s="467">
        <f t="shared" si="42"/>
        <v>2.005730659025784E-2</v>
      </c>
      <c r="AO37" s="467">
        <f t="shared" si="42"/>
        <v>4.6284289276808055E-2</v>
      </c>
      <c r="AP37" s="467">
        <f t="shared" si="42"/>
        <v>6.3951200314836587E-2</v>
      </c>
      <c r="AQ37" s="467">
        <f t="shared" si="42"/>
        <v>6.3858695652173836E-2</v>
      </c>
      <c r="AR37" s="467">
        <f t="shared" si="42"/>
        <v>7.2936846183649706E-2</v>
      </c>
      <c r="AS37" s="467">
        <f t="shared" si="42"/>
        <v>6.8643340642577932E-2</v>
      </c>
      <c r="AT37" s="467">
        <f t="shared" si="42"/>
        <v>5.17847235065656E-2</v>
      </c>
      <c r="AU37" s="467">
        <f t="shared" si="42"/>
        <v>5.8657179346834454E-2</v>
      </c>
      <c r="AV37" s="467">
        <f t="shared" si="42"/>
        <v>6.671481448045502E-2</v>
      </c>
      <c r="AW37" s="467">
        <f t="shared" si="42"/>
        <v>7.0657507360156968E-2</v>
      </c>
      <c r="AX37" s="467">
        <f t="shared" si="42"/>
        <v>7.0423773518551114E-2</v>
      </c>
      <c r="AY37" s="161"/>
      <c r="AZ37" s="161"/>
      <c r="BA37" s="161"/>
      <c r="BB37" s="161"/>
      <c r="BC37" s="161"/>
      <c r="BD37" s="161"/>
      <c r="BE37" s="161"/>
      <c r="BF37" s="161"/>
      <c r="BG37" s="161"/>
      <c r="BH37" s="161"/>
      <c r="BI37" s="161"/>
      <c r="BJ37" s="161"/>
      <c r="BK37" s="161"/>
      <c r="BL37" s="161"/>
      <c r="BM37" s="161"/>
      <c r="BN37" s="161"/>
      <c r="BO37" s="161"/>
      <c r="BP37" s="161"/>
      <c r="BQ37" s="161"/>
      <c r="BR37" s="161"/>
      <c r="BS37" s="161"/>
      <c r="BT37" s="161"/>
      <c r="BU37" s="161"/>
      <c r="BV37" s="161"/>
      <c r="BW37" s="161"/>
      <c r="BX37" s="161"/>
      <c r="BY37" s="161"/>
      <c r="BZ37" s="161"/>
    </row>
    <row r="38" spans="1:78">
      <c r="A38" s="161"/>
      <c r="B38" s="910" t="s">
        <v>684</v>
      </c>
      <c r="C38" s="911"/>
      <c r="D38" s="912">
        <v>3317</v>
      </c>
      <c r="E38" s="911"/>
      <c r="F38" s="911"/>
      <c r="G38" s="911"/>
      <c r="H38" s="912">
        <v>4281</v>
      </c>
      <c r="I38" s="913"/>
      <c r="J38" s="911"/>
      <c r="K38" s="911"/>
      <c r="L38" s="911"/>
      <c r="M38" s="911"/>
      <c r="N38" s="911"/>
      <c r="O38" s="911"/>
      <c r="P38" s="911"/>
      <c r="Q38" s="911"/>
      <c r="R38" s="911"/>
      <c r="S38" s="911"/>
      <c r="T38" s="911"/>
      <c r="U38" s="911"/>
      <c r="V38" s="911"/>
      <c r="W38" s="911"/>
      <c r="X38" s="911"/>
      <c r="Y38" s="911"/>
      <c r="Z38" s="911"/>
      <c r="AA38" s="911"/>
      <c r="AB38" s="177"/>
      <c r="AC38" s="177"/>
      <c r="AD38" s="911"/>
      <c r="AE38" s="911"/>
      <c r="AF38" s="911"/>
      <c r="AG38" s="911"/>
      <c r="AH38" s="911"/>
      <c r="AI38" s="911"/>
      <c r="AJ38" s="911"/>
      <c r="AK38" s="911"/>
      <c r="AL38" s="911"/>
      <c r="AM38" s="911"/>
      <c r="AN38" s="911"/>
      <c r="AO38" s="911"/>
      <c r="AP38" s="911"/>
      <c r="AQ38" s="911"/>
      <c r="AR38" s="911"/>
      <c r="AS38" s="911"/>
      <c r="AT38" s="911"/>
      <c r="AU38" s="911"/>
      <c r="AV38" s="911"/>
      <c r="AW38" s="911"/>
      <c r="AX38" s="911"/>
      <c r="AY38" s="161"/>
      <c r="AZ38" s="161"/>
      <c r="BA38" s="161"/>
      <c r="BB38" s="161"/>
      <c r="BC38" s="161"/>
      <c r="BD38" s="161"/>
      <c r="BE38" s="161"/>
      <c r="BF38" s="161"/>
      <c r="BG38" s="161"/>
      <c r="BH38" s="161"/>
      <c r="BI38" s="161"/>
      <c r="BM38" s="161"/>
      <c r="BN38" s="161"/>
      <c r="BO38" s="161"/>
      <c r="BP38" s="161"/>
      <c r="BQ38" s="161"/>
      <c r="BR38" s="161"/>
      <c r="BS38" s="161"/>
      <c r="BT38" s="161"/>
      <c r="BU38" s="161"/>
      <c r="BV38" s="161"/>
      <c r="BW38" s="161"/>
      <c r="BX38" s="161"/>
      <c r="BY38" s="161"/>
      <c r="BZ38" s="161"/>
    </row>
    <row r="39" spans="1:78">
      <c r="A39" s="161"/>
      <c r="B39" s="326" t="s">
        <v>689</v>
      </c>
      <c r="C39" s="485">
        <f t="shared" ref="C39:M39" si="43">SUM(C34:C37)</f>
        <v>19384.874975903615</v>
      </c>
      <c r="D39" s="485">
        <f t="shared" si="43"/>
        <v>20036.964102564103</v>
      </c>
      <c r="E39" s="485">
        <f t="shared" si="43"/>
        <v>20849.994999999999</v>
      </c>
      <c r="F39" s="485">
        <f t="shared" si="43"/>
        <v>21397.124575007707</v>
      </c>
      <c r="G39" s="485">
        <f t="shared" si="43"/>
        <v>21811.739999999998</v>
      </c>
      <c r="H39" s="485">
        <f t="shared" si="43"/>
        <v>22096.9</v>
      </c>
      <c r="I39" s="485">
        <f t="shared" si="43"/>
        <v>22599.912</v>
      </c>
      <c r="J39" s="485">
        <f t="shared" si="43"/>
        <v>22977.994999999999</v>
      </c>
      <c r="K39" s="485">
        <f t="shared" si="43"/>
        <v>23457.323</v>
      </c>
      <c r="L39" s="485">
        <f t="shared" si="43"/>
        <v>23818.065000000002</v>
      </c>
      <c r="M39" s="485">
        <f t="shared" si="43"/>
        <v>24238.955999999998</v>
      </c>
      <c r="N39" s="485">
        <f t="shared" ref="N39:Z39" si="44">SUM(N34:N37)</f>
        <v>24442.86</v>
      </c>
      <c r="O39" s="485">
        <f t="shared" si="44"/>
        <v>24921.237000000001</v>
      </c>
      <c r="P39" s="485">
        <f t="shared" si="44"/>
        <v>25301.686999999998</v>
      </c>
      <c r="Q39" s="485">
        <f t="shared" si="44"/>
        <v>25191.439999999999</v>
      </c>
      <c r="R39" s="485">
        <f t="shared" si="44"/>
        <v>25667.983</v>
      </c>
      <c r="S39" s="485">
        <f t="shared" si="44"/>
        <v>26283.182000000001</v>
      </c>
      <c r="T39" s="485">
        <f t="shared" si="44"/>
        <v>26634.647000000001</v>
      </c>
      <c r="U39" s="485">
        <f t="shared" si="44"/>
        <v>27057.616000000002</v>
      </c>
      <c r="V39" s="485">
        <f t="shared" si="44"/>
        <v>27365.95</v>
      </c>
      <c r="W39" s="485">
        <f t="shared" si="44"/>
        <v>27734.544999999998</v>
      </c>
      <c r="X39" s="485">
        <f t="shared" si="44"/>
        <v>28136.370999999999</v>
      </c>
      <c r="Y39" s="485">
        <f t="shared" si="44"/>
        <v>28528.495999999999</v>
      </c>
      <c r="Z39" s="485">
        <f t="shared" si="44"/>
        <v>28918.719000000001</v>
      </c>
      <c r="AA39" s="485">
        <f t="shared" ref="AA39" si="45">SUM(AA34:AA37)</f>
        <v>29333.982</v>
      </c>
      <c r="AB39" s="485"/>
      <c r="AC39" s="177"/>
      <c r="AD39" s="486">
        <f t="shared" ref="AD39:AX39" si="46">G39/C39-1</f>
        <v>0.12519374136346517</v>
      </c>
      <c r="AE39" s="486">
        <f t="shared" si="46"/>
        <v>0.10280678684114086</v>
      </c>
      <c r="AF39" s="486">
        <f t="shared" si="46"/>
        <v>8.3928893028511586E-2</v>
      </c>
      <c r="AG39" s="486">
        <f t="shared" si="46"/>
        <v>7.3882377019890866E-2</v>
      </c>
      <c r="AH39" s="486">
        <f t="shared" si="46"/>
        <v>7.544482925250362E-2</v>
      </c>
      <c r="AI39" s="486">
        <f t="shared" si="46"/>
        <v>7.7891695215166035E-2</v>
      </c>
      <c r="AJ39" s="486">
        <f t="shared" si="46"/>
        <v>7.2524353192171542E-2</v>
      </c>
      <c r="AK39" s="486">
        <f t="shared" si="46"/>
        <v>6.3750775470183596E-2</v>
      </c>
      <c r="AL39" s="486">
        <f t="shared" si="46"/>
        <v>6.2407547527908447E-2</v>
      </c>
      <c r="AM39" s="486">
        <f t="shared" si="46"/>
        <v>6.2289778787655292E-2</v>
      </c>
      <c r="AN39" s="486">
        <f t="shared" si="46"/>
        <v>3.9295586823128836E-2</v>
      </c>
      <c r="AO39" s="486">
        <f t="shared" si="46"/>
        <v>5.0121916993346893E-2</v>
      </c>
      <c r="AP39" s="486">
        <f t="shared" si="46"/>
        <v>5.4649975841889464E-2</v>
      </c>
      <c r="AQ39" s="486">
        <f t="shared" si="46"/>
        <v>5.268265313692333E-2</v>
      </c>
      <c r="AR39" s="486">
        <f t="shared" si="46"/>
        <v>7.4079766777921607E-2</v>
      </c>
      <c r="AS39" s="486">
        <f t="shared" si="46"/>
        <v>6.6151165831767944E-2</v>
      </c>
      <c r="AT39" s="486">
        <f t="shared" si="46"/>
        <v>5.5220216486725038E-2</v>
      </c>
      <c r="AU39" s="486">
        <f t="shared" si="46"/>
        <v>5.6382350402466308E-2</v>
      </c>
      <c r="AV39" s="486">
        <f t="shared" si="46"/>
        <v>5.4361034615909798E-2</v>
      </c>
      <c r="AW39" s="486">
        <f t="shared" si="46"/>
        <v>5.674091343439569E-2</v>
      </c>
      <c r="AX39" s="486">
        <f t="shared" si="46"/>
        <v>5.7669487637168837E-2</v>
      </c>
      <c r="AY39" s="161"/>
      <c r="AZ39" s="161"/>
      <c r="BA39" s="161"/>
      <c r="BB39" s="161"/>
      <c r="BC39" s="161"/>
      <c r="BD39" s="161"/>
      <c r="BE39" s="161"/>
      <c r="BF39" s="161"/>
      <c r="BG39" s="161"/>
      <c r="BH39" s="161"/>
      <c r="BI39" s="161"/>
      <c r="BJ39" s="161"/>
      <c r="BK39" s="161"/>
      <c r="BL39" s="161"/>
      <c r="BM39" s="161"/>
      <c r="BN39" s="161"/>
      <c r="BO39" s="161"/>
      <c r="BP39" s="161"/>
      <c r="BQ39" s="161"/>
      <c r="BR39" s="161"/>
      <c r="BS39" s="161"/>
      <c r="BT39" s="161"/>
      <c r="BU39" s="161"/>
      <c r="BV39" s="161"/>
      <c r="BW39" s="161"/>
      <c r="BX39" s="161"/>
      <c r="BY39" s="161"/>
      <c r="BZ39" s="161"/>
    </row>
    <row r="40" spans="1:78">
      <c r="A40" s="161"/>
      <c r="B40" s="487" t="s">
        <v>690</v>
      </c>
      <c r="C40" s="469"/>
      <c r="D40" s="469"/>
      <c r="E40" s="469"/>
      <c r="F40" s="488">
        <f>G40*1.05</f>
        <v>1432.8519557428122</v>
      </c>
      <c r="G40" s="488">
        <f>H40*1.05</f>
        <v>1364.6209102312496</v>
      </c>
      <c r="H40" s="488">
        <f>I40*1.05</f>
        <v>1299.6389621249996</v>
      </c>
      <c r="I40" s="488">
        <f>J40*1.05</f>
        <v>1237.7513924999996</v>
      </c>
      <c r="J40" s="488">
        <f>K40*1.05</f>
        <v>1178.8108499999996</v>
      </c>
      <c r="K40" s="396">
        <f>K42-K39</f>
        <v>1122.6769999999997</v>
      </c>
      <c r="L40" s="488">
        <f t="shared" ref="L40:W40" si="47">K40*0.95</f>
        <v>1066.5431499999997</v>
      </c>
      <c r="M40" s="488">
        <f t="shared" si="47"/>
        <v>1013.2159924999997</v>
      </c>
      <c r="N40" s="728">
        <f t="shared" si="47"/>
        <v>962.55519287499976</v>
      </c>
      <c r="O40" s="728">
        <f t="shared" si="47"/>
        <v>914.42743323124978</v>
      </c>
      <c r="P40" s="728">
        <f t="shared" si="47"/>
        <v>868.70606156968722</v>
      </c>
      <c r="Q40" s="484">
        <f t="shared" si="47"/>
        <v>825.27075849120286</v>
      </c>
      <c r="R40" s="484">
        <f t="shared" si="47"/>
        <v>784.00722056664267</v>
      </c>
      <c r="S40" s="484">
        <f t="shared" si="47"/>
        <v>744.8068595383105</v>
      </c>
      <c r="T40" s="484">
        <f t="shared" si="47"/>
        <v>707.56651656139491</v>
      </c>
      <c r="U40" s="484">
        <f t="shared" si="47"/>
        <v>672.18819073332509</v>
      </c>
      <c r="V40" s="484">
        <f t="shared" si="47"/>
        <v>638.57878119665884</v>
      </c>
      <c r="W40" s="484">
        <f t="shared" si="47"/>
        <v>606.6498421368259</v>
      </c>
      <c r="X40" s="484">
        <f>W40*0.95</f>
        <v>576.3173500299846</v>
      </c>
      <c r="Y40" s="484">
        <f>X40*0.95</f>
        <v>547.50148252848533</v>
      </c>
      <c r="Z40" s="484">
        <f>Y40*0.95</f>
        <v>520.12640840206109</v>
      </c>
      <c r="AA40" s="484">
        <f>Z40*0.95</f>
        <v>494.12008798195802</v>
      </c>
      <c r="AB40" s="489"/>
      <c r="AC40" s="177"/>
      <c r="AD40" s="470"/>
      <c r="AE40" s="470"/>
      <c r="AF40" s="470"/>
      <c r="AG40" s="470"/>
      <c r="AH40" s="470"/>
      <c r="AI40" s="470"/>
      <c r="AJ40" s="470"/>
      <c r="AK40" s="470"/>
      <c r="AL40" s="470"/>
      <c r="AM40" s="470"/>
      <c r="AN40" s="470"/>
      <c r="AO40" s="470"/>
      <c r="AP40" s="470"/>
      <c r="AQ40" s="470"/>
      <c r="AR40" s="470"/>
      <c r="AS40" s="470"/>
      <c r="AT40" s="470"/>
      <c r="AU40" s="470"/>
      <c r="AV40" s="470"/>
      <c r="AW40" s="470"/>
      <c r="AX40" s="470"/>
      <c r="AY40" s="161"/>
      <c r="AZ40" s="161"/>
      <c r="BA40" s="161"/>
      <c r="BB40" s="161"/>
      <c r="BC40" s="161"/>
      <c r="BD40" s="161"/>
      <c r="BE40" s="161"/>
      <c r="BF40" s="161"/>
      <c r="BG40" s="161"/>
      <c r="BH40" s="161"/>
      <c r="BI40" s="161"/>
      <c r="BJ40" s="161"/>
      <c r="BK40" s="161"/>
      <c r="BL40" s="161"/>
      <c r="BM40" s="161"/>
      <c r="BN40" s="161"/>
      <c r="BO40" s="161"/>
      <c r="BP40" s="161"/>
      <c r="BQ40" s="161"/>
      <c r="BR40" s="161"/>
      <c r="BS40" s="161"/>
      <c r="BT40" s="161"/>
      <c r="BU40" s="161"/>
      <c r="BV40" s="161"/>
      <c r="BW40" s="161"/>
      <c r="BX40" s="161"/>
      <c r="BY40" s="161"/>
      <c r="BZ40" s="161"/>
    </row>
    <row r="41" spans="1:78">
      <c r="A41" s="161"/>
      <c r="B41" s="722"/>
      <c r="C41" s="723"/>
      <c r="D41" s="723"/>
      <c r="E41" s="723"/>
      <c r="F41" s="725"/>
      <c r="G41" s="725"/>
      <c r="H41" s="725"/>
      <c r="I41" s="725"/>
      <c r="J41" s="725"/>
      <c r="K41" s="481"/>
      <c r="L41" s="725"/>
      <c r="M41" s="725"/>
      <c r="N41" s="725"/>
      <c r="O41" s="725"/>
      <c r="P41" s="725"/>
      <c r="Q41" s="725"/>
      <c r="R41" s="725"/>
      <c r="S41" s="725"/>
      <c r="T41" s="725"/>
      <c r="U41" s="725"/>
      <c r="V41" s="725"/>
      <c r="W41" s="725"/>
      <c r="X41" s="725"/>
      <c r="Y41" s="725"/>
      <c r="Z41" s="725"/>
      <c r="AA41" s="725"/>
      <c r="AB41" s="725"/>
      <c r="AC41" s="472"/>
      <c r="AD41" s="726"/>
      <c r="AE41" s="726"/>
      <c r="AF41" s="726"/>
      <c r="AG41" s="726"/>
      <c r="AH41" s="726"/>
      <c r="AI41" s="726"/>
      <c r="AJ41" s="726"/>
      <c r="AK41" s="726"/>
      <c r="AL41" s="726"/>
      <c r="AM41" s="726"/>
      <c r="AN41" s="726"/>
      <c r="AO41" s="726"/>
      <c r="AP41" s="726"/>
      <c r="AQ41" s="726"/>
      <c r="AR41" s="726"/>
      <c r="AS41" s="726"/>
      <c r="AT41" s="726"/>
      <c r="AU41" s="726"/>
      <c r="AV41" s="726"/>
      <c r="AW41" s="726"/>
      <c r="AX41" s="726"/>
      <c r="AY41" s="161"/>
      <c r="AZ41" s="161"/>
      <c r="BA41" s="161"/>
      <c r="BB41" s="161"/>
      <c r="BC41" s="161"/>
      <c r="BD41" s="161"/>
      <c r="BE41" s="161"/>
      <c r="BF41" s="161"/>
      <c r="BG41" s="161"/>
      <c r="BH41" s="161"/>
      <c r="BI41" s="161"/>
      <c r="BJ41" s="161"/>
      <c r="BK41" s="161"/>
      <c r="BL41" s="161"/>
      <c r="BM41" s="161"/>
      <c r="BN41" s="161"/>
      <c r="BO41" s="161"/>
      <c r="BP41" s="161"/>
      <c r="BQ41" s="161"/>
      <c r="BR41" s="161"/>
      <c r="BS41" s="161"/>
      <c r="BT41" s="161"/>
      <c r="BU41" s="161"/>
      <c r="BV41" s="161"/>
      <c r="BW41" s="161"/>
      <c r="BX41" s="161"/>
      <c r="BY41" s="161"/>
      <c r="BZ41" s="161"/>
    </row>
    <row r="42" spans="1:78">
      <c r="A42" s="161"/>
      <c r="B42" s="490" t="s">
        <v>691</v>
      </c>
      <c r="C42" s="469"/>
      <c r="D42" s="469"/>
      <c r="E42" s="469"/>
      <c r="F42" s="469">
        <f>F39+F40</f>
        <v>22829.976530750519</v>
      </c>
      <c r="G42" s="469">
        <f>G39+G40</f>
        <v>23176.360910231248</v>
      </c>
      <c r="H42" s="469">
        <f>H39+H40</f>
        <v>23396.538962125</v>
      </c>
      <c r="I42" s="469">
        <f>I39+I40</f>
        <v>23837.663392499999</v>
      </c>
      <c r="J42" s="469">
        <f>J39+J40</f>
        <v>24156.805849999997</v>
      </c>
      <c r="K42" s="469">
        <v>24580</v>
      </c>
      <c r="L42" s="469">
        <f t="shared" ref="L42:Z42" si="48">L39+L40</f>
        <v>24884.608150000004</v>
      </c>
      <c r="M42" s="469">
        <f t="shared" si="48"/>
        <v>25252.1719925</v>
      </c>
      <c r="N42" s="469">
        <f t="shared" si="48"/>
        <v>25405.415192875</v>
      </c>
      <c r="O42" s="469">
        <f t="shared" si="48"/>
        <v>25835.66443323125</v>
      </c>
      <c r="P42" s="469">
        <f t="shared" si="48"/>
        <v>26170.393061569685</v>
      </c>
      <c r="Q42" s="469">
        <f t="shared" si="48"/>
        <v>26016.710758491201</v>
      </c>
      <c r="R42" s="469">
        <f t="shared" si="48"/>
        <v>26451.990220566644</v>
      </c>
      <c r="S42" s="469">
        <f t="shared" si="48"/>
        <v>27027.988859538313</v>
      </c>
      <c r="T42" s="469">
        <f t="shared" si="48"/>
        <v>27342.213516561394</v>
      </c>
      <c r="U42" s="469">
        <f t="shared" si="48"/>
        <v>27729.804190733328</v>
      </c>
      <c r="V42" s="469">
        <f t="shared" si="48"/>
        <v>28004.528781196659</v>
      </c>
      <c r="W42" s="469">
        <f t="shared" si="48"/>
        <v>28341.194842136825</v>
      </c>
      <c r="X42" s="469">
        <f t="shared" si="48"/>
        <v>28712.688350029985</v>
      </c>
      <c r="Y42" s="469">
        <f t="shared" si="48"/>
        <v>29075.997482528484</v>
      </c>
      <c r="Z42" s="469">
        <f t="shared" si="48"/>
        <v>29438.845408402063</v>
      </c>
      <c r="AA42" s="469">
        <f t="shared" ref="AA42" si="49">AA39+AA40</f>
        <v>29828.102087981959</v>
      </c>
      <c r="AB42" s="725"/>
      <c r="AC42" s="472"/>
      <c r="AD42" s="470"/>
      <c r="AE42" s="470"/>
      <c r="AF42" s="470"/>
      <c r="AG42" s="470"/>
      <c r="AH42" s="470">
        <f t="shared" ref="AH42:AX44" si="50">K42/G42-1</f>
        <v>6.0563394538316606E-2</v>
      </c>
      <c r="AI42" s="470">
        <f t="shared" si="50"/>
        <v>6.360210757171969E-2</v>
      </c>
      <c r="AJ42" s="470">
        <f t="shared" si="50"/>
        <v>5.9339230389713782E-2</v>
      </c>
      <c r="AK42" s="470">
        <f t="shared" si="50"/>
        <v>5.1687683819961805E-2</v>
      </c>
      <c r="AL42" s="470">
        <f t="shared" si="50"/>
        <v>5.1084802002898666E-2</v>
      </c>
      <c r="AM42" s="470">
        <f t="shared" si="50"/>
        <v>5.1669887820583682E-2</v>
      </c>
      <c r="AN42" s="470">
        <f t="shared" si="50"/>
        <v>3.0276158669372055E-2</v>
      </c>
      <c r="AO42" s="470">
        <f t="shared" si="50"/>
        <v>4.1194958623827604E-2</v>
      </c>
      <c r="AP42" s="470">
        <f t="shared" si="50"/>
        <v>4.6150329494659026E-2</v>
      </c>
      <c r="AQ42" s="470">
        <f t="shared" si="50"/>
        <v>4.4776570693257467E-2</v>
      </c>
      <c r="AR42" s="470">
        <f t="shared" si="50"/>
        <v>6.5845888365538841E-2</v>
      </c>
      <c r="AS42" s="470">
        <f t="shared" si="50"/>
        <v>5.8692693732470103E-2</v>
      </c>
      <c r="AT42" s="470">
        <f t="shared" si="50"/>
        <v>4.8586892255398917E-2</v>
      </c>
      <c r="AU42" s="470">
        <f t="shared" si="50"/>
        <v>5.0123038964584365E-2</v>
      </c>
      <c r="AV42" s="470">
        <f t="shared" si="50"/>
        <v>4.8546801215604063E-2</v>
      </c>
      <c r="AW42" s="470">
        <f t="shared" si="50"/>
        <v>5.1217309829132418E-2</v>
      </c>
      <c r="AX42" s="470">
        <f t="shared" si="50"/>
        <v>5.2464522195600827E-2</v>
      </c>
      <c r="AY42" s="161"/>
      <c r="AZ42" s="161"/>
      <c r="BA42" s="161"/>
      <c r="BB42" s="161"/>
      <c r="BC42" s="161"/>
      <c r="BD42" s="161"/>
      <c r="BE42" s="161"/>
      <c r="BF42" s="161"/>
      <c r="BG42" s="161"/>
      <c r="BH42" s="161"/>
      <c r="BI42" s="161"/>
      <c r="BJ42" s="161"/>
      <c r="BK42" s="161"/>
      <c r="BL42" s="161"/>
      <c r="BM42" s="161"/>
      <c r="BN42" s="161"/>
      <c r="BO42" s="161"/>
      <c r="BP42" s="161"/>
      <c r="BQ42" s="161"/>
      <c r="BR42" s="161"/>
      <c r="BS42" s="161"/>
      <c r="BT42" s="161"/>
      <c r="BU42" s="161"/>
      <c r="BV42" s="161"/>
      <c r="BW42" s="161"/>
      <c r="BX42" s="161"/>
      <c r="BY42" s="161"/>
      <c r="BZ42" s="161"/>
    </row>
    <row r="43" spans="1:78">
      <c r="A43" s="161"/>
      <c r="B43" s="722" t="s">
        <v>692</v>
      </c>
      <c r="C43" s="723"/>
      <c r="D43" s="723"/>
      <c r="E43" s="723"/>
      <c r="F43" s="481">
        <f>F42-F44</f>
        <v>20384.438361284851</v>
      </c>
      <c r="G43" s="481">
        <f>G42-G44</f>
        <v>20693.718181319982</v>
      </c>
      <c r="H43" s="481">
        <f>H42-H44</f>
        <v>20890.310846287932</v>
      </c>
      <c r="I43" s="481">
        <f>I42-I44</f>
        <v>21284.182199967352</v>
      </c>
      <c r="J43" s="481">
        <f>J42-J44</f>
        <v>21569.138242064684</v>
      </c>
      <c r="K43" s="481">
        <v>21947</v>
      </c>
      <c r="L43" s="481">
        <f>K43/K42*L42</f>
        <v>22218.978643940198</v>
      </c>
      <c r="M43" s="481">
        <f t="shared" ref="M43:AA43" si="51">L43/L42*M42</f>
        <v>22547.169191187855</v>
      </c>
      <c r="N43" s="481">
        <f t="shared" si="51"/>
        <v>22683.997039789567</v>
      </c>
      <c r="O43" s="481">
        <f t="shared" si="51"/>
        <v>23068.158149557614</v>
      </c>
      <c r="P43" s="481">
        <f t="shared" si="51"/>
        <v>23367.030777960528</v>
      </c>
      <c r="Q43" s="481">
        <f t="shared" si="51"/>
        <v>23229.810863165432</v>
      </c>
      <c r="R43" s="481">
        <f t="shared" si="51"/>
        <v>23618.463359266723</v>
      </c>
      <c r="S43" s="481">
        <f t="shared" si="51"/>
        <v>24132.7612489946</v>
      </c>
      <c r="T43" s="481">
        <f t="shared" si="51"/>
        <v>24413.326283481401</v>
      </c>
      <c r="U43" s="481">
        <f t="shared" si="51"/>
        <v>24759.398396014007</v>
      </c>
      <c r="V43" s="481">
        <f t="shared" si="51"/>
        <v>25004.694595643734</v>
      </c>
      <c r="W43" s="481">
        <f t="shared" si="51"/>
        <v>25305.297119624767</v>
      </c>
      <c r="X43" s="481">
        <f t="shared" si="51"/>
        <v>25636.996388043448</v>
      </c>
      <c r="Y43" s="481">
        <f t="shared" si="51"/>
        <v>25961.387988163242</v>
      </c>
      <c r="Z43" s="481">
        <f t="shared" si="51"/>
        <v>26285.367785931649</v>
      </c>
      <c r="AA43" s="481">
        <f t="shared" si="51"/>
        <v>26632.927442023592</v>
      </c>
      <c r="AB43" s="725"/>
      <c r="AC43" s="472"/>
      <c r="AD43" s="726"/>
      <c r="AE43" s="726"/>
      <c r="AF43" s="726"/>
      <c r="AG43" s="726"/>
      <c r="AH43" s="482">
        <f t="shared" si="50"/>
        <v>6.0563394538316606E-2</v>
      </c>
      <c r="AI43" s="482">
        <f t="shared" si="50"/>
        <v>6.360210757171969E-2</v>
      </c>
      <c r="AJ43" s="482">
        <f t="shared" si="50"/>
        <v>5.933923038971356E-2</v>
      </c>
      <c r="AK43" s="482">
        <f t="shared" si="50"/>
        <v>5.1687683819961583E-2</v>
      </c>
      <c r="AL43" s="482">
        <f t="shared" si="50"/>
        <v>5.1084802002898444E-2</v>
      </c>
      <c r="AM43" s="482">
        <f t="shared" si="50"/>
        <v>5.166988782058346E-2</v>
      </c>
      <c r="AN43" s="482">
        <f t="shared" si="50"/>
        <v>3.0276158669371833E-2</v>
      </c>
      <c r="AO43" s="482">
        <f t="shared" si="50"/>
        <v>4.1194958623827382E-2</v>
      </c>
      <c r="AP43" s="482">
        <f t="shared" si="50"/>
        <v>4.6150329494659026E-2</v>
      </c>
      <c r="AQ43" s="482">
        <f t="shared" si="50"/>
        <v>4.4776570693257467E-2</v>
      </c>
      <c r="AR43" s="482">
        <f t="shared" si="50"/>
        <v>6.5845888365538841E-2</v>
      </c>
      <c r="AS43" s="482">
        <f t="shared" si="50"/>
        <v>5.8692693732470103E-2</v>
      </c>
      <c r="AT43" s="482">
        <f t="shared" si="50"/>
        <v>4.8586892255398917E-2</v>
      </c>
      <c r="AU43" s="482">
        <f t="shared" si="50"/>
        <v>5.0123038964584143E-2</v>
      </c>
      <c r="AV43" s="482">
        <f t="shared" si="50"/>
        <v>4.8546801215603841E-2</v>
      </c>
      <c r="AW43" s="482">
        <f t="shared" si="50"/>
        <v>5.1217309829132196E-2</v>
      </c>
      <c r="AX43" s="482">
        <f t="shared" si="50"/>
        <v>5.2464522195600827E-2</v>
      </c>
      <c r="AY43" s="161"/>
      <c r="AZ43" s="161"/>
      <c r="BA43" s="161"/>
      <c r="BB43" s="161"/>
      <c r="BC43" s="161"/>
      <c r="BD43" s="161"/>
      <c r="BE43" s="161"/>
      <c r="BF43" s="161"/>
      <c r="BG43" s="161"/>
      <c r="BH43" s="161"/>
      <c r="BI43" s="161"/>
      <c r="BJ43" s="161"/>
      <c r="BK43" s="161"/>
      <c r="BL43" s="161"/>
      <c r="BM43" s="161"/>
      <c r="BN43" s="161"/>
      <c r="BO43" s="161"/>
      <c r="BP43" s="161"/>
      <c r="BQ43" s="161"/>
      <c r="BR43" s="161"/>
      <c r="BS43" s="161"/>
      <c r="BT43" s="161"/>
      <c r="BU43" s="161"/>
      <c r="BV43" s="161"/>
      <c r="BW43" s="161"/>
      <c r="BX43" s="161"/>
      <c r="BY43" s="161"/>
      <c r="BZ43" s="161"/>
    </row>
    <row r="44" spans="1:78">
      <c r="A44" s="161"/>
      <c r="B44" s="487" t="s">
        <v>693</v>
      </c>
      <c r="C44" s="469"/>
      <c r="D44" s="469"/>
      <c r="E44" s="469"/>
      <c r="F44" s="488">
        <f>G44/G42*F42</f>
        <v>2445.5381694656676</v>
      </c>
      <c r="G44" s="488">
        <f>H44/H42*G42</f>
        <v>2482.6427289112639</v>
      </c>
      <c r="H44" s="488">
        <f>I44/I42*H42</f>
        <v>2506.2281158370674</v>
      </c>
      <c r="I44" s="488">
        <f>J44/J42*I42</f>
        <v>2553.481192532648</v>
      </c>
      <c r="J44" s="488">
        <f>K44/K42*J42</f>
        <v>2587.6676079353128</v>
      </c>
      <c r="K44" s="396">
        <f t="shared" ref="K44:Z44" si="52">K42-K43</f>
        <v>2633</v>
      </c>
      <c r="L44" s="396">
        <f t="shared" si="52"/>
        <v>2665.6295060598059</v>
      </c>
      <c r="M44" s="396">
        <f t="shared" si="52"/>
        <v>2705.0028013121446</v>
      </c>
      <c r="N44" s="396">
        <f t="shared" si="52"/>
        <v>2721.418153085433</v>
      </c>
      <c r="O44" s="396">
        <f t="shared" si="52"/>
        <v>2767.5062836736361</v>
      </c>
      <c r="P44" s="396">
        <f t="shared" si="52"/>
        <v>2803.3622836091563</v>
      </c>
      <c r="Q44" s="396">
        <f t="shared" si="52"/>
        <v>2786.8998953257687</v>
      </c>
      <c r="R44" s="396">
        <f t="shared" si="52"/>
        <v>2833.5268612999207</v>
      </c>
      <c r="S44" s="396">
        <f t="shared" si="52"/>
        <v>2895.2276105437122</v>
      </c>
      <c r="T44" s="396">
        <f t="shared" si="52"/>
        <v>2928.8872330799932</v>
      </c>
      <c r="U44" s="396">
        <f t="shared" si="52"/>
        <v>2970.4057947193214</v>
      </c>
      <c r="V44" s="396">
        <f t="shared" si="52"/>
        <v>2999.8341855529252</v>
      </c>
      <c r="W44" s="396">
        <f t="shared" si="52"/>
        <v>3035.897722512058</v>
      </c>
      <c r="X44" s="396">
        <f t="shared" si="52"/>
        <v>3075.6919619865366</v>
      </c>
      <c r="Y44" s="396">
        <f t="shared" si="52"/>
        <v>3114.6094943652424</v>
      </c>
      <c r="Z44" s="396">
        <f t="shared" si="52"/>
        <v>3153.4776224704146</v>
      </c>
      <c r="AA44" s="396">
        <f t="shared" ref="AA44" si="53">AA42-AA43</f>
        <v>3195.1746459583665</v>
      </c>
      <c r="AB44" s="725"/>
      <c r="AC44" s="472"/>
      <c r="AD44" s="470"/>
      <c r="AE44" s="470"/>
      <c r="AF44" s="470"/>
      <c r="AG44" s="470"/>
      <c r="AH44" s="466">
        <f t="shared" si="50"/>
        <v>6.0563394538316606E-2</v>
      </c>
      <c r="AI44" s="466">
        <f t="shared" si="50"/>
        <v>6.3602107571720135E-2</v>
      </c>
      <c r="AJ44" s="466">
        <f t="shared" si="50"/>
        <v>5.9339230389714004E-2</v>
      </c>
      <c r="AK44" s="466">
        <f t="shared" si="50"/>
        <v>5.1687683819962915E-2</v>
      </c>
      <c r="AL44" s="466">
        <f t="shared" si="50"/>
        <v>5.108480200290022E-2</v>
      </c>
      <c r="AM44" s="466">
        <f t="shared" si="50"/>
        <v>5.166988782058457E-2</v>
      </c>
      <c r="AN44" s="466">
        <f t="shared" si="50"/>
        <v>3.0276158669372721E-2</v>
      </c>
      <c r="AO44" s="466">
        <f t="shared" si="50"/>
        <v>4.1194958623827604E-2</v>
      </c>
      <c r="AP44" s="466">
        <f t="shared" si="50"/>
        <v>4.6150329494658582E-2</v>
      </c>
      <c r="AQ44" s="466">
        <f t="shared" si="50"/>
        <v>4.4776570693257467E-2</v>
      </c>
      <c r="AR44" s="466">
        <f t="shared" si="50"/>
        <v>6.5845888365538841E-2</v>
      </c>
      <c r="AS44" s="466">
        <f t="shared" si="50"/>
        <v>5.8692693732470325E-2</v>
      </c>
      <c r="AT44" s="466">
        <f t="shared" si="50"/>
        <v>4.8586892255399805E-2</v>
      </c>
      <c r="AU44" s="466">
        <f t="shared" si="50"/>
        <v>5.012303896458481E-2</v>
      </c>
      <c r="AV44" s="466">
        <f t="shared" si="50"/>
        <v>4.8546801215605395E-2</v>
      </c>
      <c r="AW44" s="466">
        <f t="shared" si="50"/>
        <v>5.1217309829133084E-2</v>
      </c>
      <c r="AX44" s="466">
        <f t="shared" si="50"/>
        <v>5.2464522195601049E-2</v>
      </c>
      <c r="AY44" s="161"/>
      <c r="AZ44" s="161"/>
      <c r="BA44" s="161"/>
      <c r="BB44" s="161"/>
      <c r="BC44" s="161"/>
      <c r="BD44" s="161"/>
      <c r="BE44" s="161"/>
      <c r="BF44" s="161"/>
      <c r="BG44" s="161"/>
      <c r="BH44" s="161"/>
      <c r="BI44" s="161"/>
      <c r="BJ44" s="161"/>
      <c r="BK44" s="161"/>
      <c r="BL44" s="161"/>
      <c r="BM44" s="161"/>
      <c r="BN44" s="161"/>
      <c r="BO44" s="161"/>
      <c r="BP44" s="161"/>
      <c r="BQ44" s="161"/>
      <c r="BR44" s="161"/>
      <c r="BS44" s="161"/>
      <c r="BT44" s="161"/>
      <c r="BU44" s="161"/>
      <c r="BV44" s="161"/>
      <c r="BW44" s="161"/>
      <c r="BX44" s="161"/>
      <c r="BY44" s="161"/>
      <c r="BZ44" s="161"/>
    </row>
    <row r="45" spans="1:78">
      <c r="A45" s="161"/>
      <c r="B45" s="914" t="s">
        <v>694</v>
      </c>
      <c r="C45" s="915"/>
      <c r="D45" s="915"/>
      <c r="E45" s="915"/>
      <c r="F45" s="916">
        <f>F64</f>
        <v>33300</v>
      </c>
      <c r="G45" s="916">
        <f t="shared" ref="G45:Z45" si="54">G64</f>
        <v>33800</v>
      </c>
      <c r="H45" s="916">
        <f t="shared" si="54"/>
        <v>33800</v>
      </c>
      <c r="I45" s="916">
        <f t="shared" si="54"/>
        <v>33800</v>
      </c>
      <c r="J45" s="916">
        <f t="shared" si="54"/>
        <v>33800</v>
      </c>
      <c r="K45" s="916">
        <f t="shared" si="54"/>
        <v>34200</v>
      </c>
      <c r="L45" s="916">
        <f t="shared" si="54"/>
        <v>34200</v>
      </c>
      <c r="M45" s="916">
        <f t="shared" si="54"/>
        <v>34200</v>
      </c>
      <c r="N45" s="916">
        <f t="shared" si="54"/>
        <v>34200</v>
      </c>
      <c r="O45" s="916">
        <f t="shared" si="54"/>
        <v>35900</v>
      </c>
      <c r="P45" s="916">
        <f t="shared" si="54"/>
        <v>35900</v>
      </c>
      <c r="Q45" s="916">
        <f t="shared" si="54"/>
        <v>35900</v>
      </c>
      <c r="R45" s="916">
        <f t="shared" si="54"/>
        <v>35900</v>
      </c>
      <c r="S45" s="916">
        <f t="shared" si="54"/>
        <v>36500</v>
      </c>
      <c r="T45" s="916">
        <f t="shared" si="54"/>
        <v>36500</v>
      </c>
      <c r="U45" s="916">
        <f t="shared" si="54"/>
        <v>36500</v>
      </c>
      <c r="V45" s="916">
        <f t="shared" si="54"/>
        <v>36500</v>
      </c>
      <c r="W45" s="916">
        <f t="shared" si="54"/>
        <v>37000</v>
      </c>
      <c r="X45" s="916">
        <f t="shared" si="54"/>
        <v>37000</v>
      </c>
      <c r="Y45" s="916">
        <f t="shared" si="54"/>
        <v>37000</v>
      </c>
      <c r="Z45" s="916">
        <f t="shared" si="54"/>
        <v>37000</v>
      </c>
      <c r="AA45" s="916">
        <f t="shared" ref="AA45" si="55">AA64</f>
        <v>37000</v>
      </c>
      <c r="AB45" s="725"/>
      <c r="AC45" s="472"/>
      <c r="AD45" s="726"/>
      <c r="AE45" s="726"/>
      <c r="AF45" s="726"/>
      <c r="AG45" s="726"/>
      <c r="AH45" s="917"/>
      <c r="AI45" s="917"/>
      <c r="AJ45" s="917"/>
      <c r="AK45" s="917"/>
      <c r="AL45" s="917"/>
      <c r="AM45" s="917"/>
      <c r="AN45" s="917"/>
      <c r="AO45" s="917"/>
      <c r="AP45" s="917"/>
      <c r="AQ45" s="917"/>
      <c r="AR45" s="917"/>
      <c r="AS45" s="917"/>
      <c r="AT45" s="917"/>
      <c r="AU45" s="917"/>
      <c r="AV45" s="917"/>
      <c r="AW45" s="917"/>
      <c r="AX45" s="917"/>
      <c r="AY45" s="161"/>
      <c r="AZ45" s="161"/>
      <c r="BA45" s="161"/>
      <c r="BB45" s="161"/>
      <c r="BC45" s="161"/>
      <c r="BD45" s="161"/>
      <c r="BE45" s="161"/>
      <c r="BF45" s="161"/>
      <c r="BG45" s="161"/>
      <c r="BH45" s="161"/>
      <c r="BI45" s="161"/>
      <c r="BJ45" s="161"/>
      <c r="BK45" s="161"/>
      <c r="BL45" s="161"/>
      <c r="BM45" s="161"/>
      <c r="BN45" s="161"/>
      <c r="BO45" s="161"/>
      <c r="BP45" s="161"/>
      <c r="BQ45" s="161"/>
      <c r="BR45" s="161"/>
      <c r="BS45" s="161"/>
      <c r="BT45" s="161"/>
      <c r="BU45" s="161"/>
      <c r="BV45" s="161"/>
      <c r="BW45" s="161"/>
      <c r="BX45" s="161"/>
      <c r="BY45" s="161"/>
      <c r="BZ45" s="161"/>
    </row>
    <row r="46" spans="1:78">
      <c r="A46" s="161"/>
      <c r="B46" s="490" t="s">
        <v>695</v>
      </c>
      <c r="C46" s="469"/>
      <c r="D46" s="469"/>
      <c r="E46" s="469"/>
      <c r="F46" s="475">
        <f>F43/F45</f>
        <v>0.61214529613468016</v>
      </c>
      <c r="G46" s="475">
        <f>G43/G45</f>
        <v>0.61224018287928939</v>
      </c>
      <c r="H46" s="475">
        <f t="shared" ref="H46:O46" si="56">H43/H45</f>
        <v>0.61805653391384419</v>
      </c>
      <c r="I46" s="475">
        <f t="shared" si="56"/>
        <v>0.62970953254341278</v>
      </c>
      <c r="J46" s="475">
        <f t="shared" si="56"/>
        <v>0.63814018467646993</v>
      </c>
      <c r="K46" s="475">
        <f t="shared" si="56"/>
        <v>0.64172514619883037</v>
      </c>
      <c r="L46" s="475">
        <f t="shared" si="56"/>
        <v>0.64967773812690632</v>
      </c>
      <c r="M46" s="475">
        <f t="shared" si="56"/>
        <v>0.65927395295870916</v>
      </c>
      <c r="N46" s="475">
        <f t="shared" si="56"/>
        <v>0.66327476724530898</v>
      </c>
      <c r="O46" s="475">
        <f t="shared" si="56"/>
        <v>0.6425670793748639</v>
      </c>
      <c r="P46" s="475">
        <f t="shared" ref="P46:Z46" si="57">P43/P45</f>
        <v>0.6508922222273128</v>
      </c>
      <c r="Q46" s="475">
        <f t="shared" si="57"/>
        <v>0.6470699404781457</v>
      </c>
      <c r="R46" s="475">
        <f t="shared" si="57"/>
        <v>0.65789591529990876</v>
      </c>
      <c r="S46" s="475">
        <f t="shared" si="57"/>
        <v>0.66117154106834519</v>
      </c>
      <c r="T46" s="475">
        <f t="shared" si="57"/>
        <v>0.66885825434195623</v>
      </c>
      <c r="U46" s="475">
        <f t="shared" si="57"/>
        <v>0.67833968208257556</v>
      </c>
      <c r="V46" s="475">
        <f t="shared" si="57"/>
        <v>0.68506012590804755</v>
      </c>
      <c r="W46" s="475">
        <f t="shared" si="57"/>
        <v>0.68392694917904773</v>
      </c>
      <c r="X46" s="475">
        <f t="shared" si="57"/>
        <v>0.69289179427144454</v>
      </c>
      <c r="Y46" s="475">
        <f t="shared" si="57"/>
        <v>0.7016591348152228</v>
      </c>
      <c r="Z46" s="475">
        <f t="shared" si="57"/>
        <v>0.71041534556572028</v>
      </c>
      <c r="AA46" s="475">
        <f t="shared" ref="AA46" si="58">AA43/AA45</f>
        <v>0.71980884978442139</v>
      </c>
      <c r="AB46" s="725"/>
      <c r="AC46" s="472"/>
      <c r="AD46" s="698"/>
      <c r="AE46" s="698"/>
      <c r="AF46" s="698"/>
      <c r="AG46" s="698"/>
      <c r="AH46" s="698"/>
      <c r="AI46" s="698"/>
      <c r="AJ46" s="698"/>
      <c r="AK46" s="698"/>
      <c r="AL46" s="698"/>
      <c r="AM46" s="698"/>
      <c r="AN46" s="698"/>
      <c r="AO46" s="698"/>
      <c r="AP46" s="698"/>
      <c r="AQ46" s="698"/>
      <c r="AR46" s="698"/>
      <c r="AS46" s="698"/>
      <c r="AT46" s="698"/>
      <c r="AU46" s="698"/>
      <c r="AV46" s="698"/>
      <c r="AW46" s="698"/>
      <c r="AX46" s="698"/>
      <c r="AY46" s="161"/>
      <c r="AZ46" s="161"/>
      <c r="BA46" s="161"/>
      <c r="BB46" s="161"/>
      <c r="BC46" s="161"/>
      <c r="BD46" s="161"/>
      <c r="BE46" s="161"/>
      <c r="BF46" s="161"/>
      <c r="BG46" s="161"/>
      <c r="BH46" s="161"/>
      <c r="BI46" s="161"/>
      <c r="BJ46" s="161"/>
      <c r="BK46" s="161"/>
      <c r="BL46" s="161"/>
      <c r="BM46" s="161"/>
      <c r="BN46" s="161"/>
      <c r="BO46" s="161"/>
      <c r="BP46" s="161"/>
      <c r="BQ46" s="161"/>
      <c r="BR46" s="161"/>
      <c r="BS46" s="161"/>
      <c r="BT46" s="161"/>
      <c r="BU46" s="161"/>
      <c r="BV46" s="161"/>
      <c r="BW46" s="161"/>
      <c r="BX46" s="161"/>
      <c r="BY46" s="161"/>
      <c r="BZ46" s="161"/>
    </row>
    <row r="47" spans="1:78">
      <c r="A47" s="161"/>
      <c r="B47" s="722" t="s">
        <v>341</v>
      </c>
      <c r="C47" s="723"/>
      <c r="D47" s="723"/>
      <c r="E47" s="723"/>
      <c r="F47" s="723"/>
      <c r="G47" s="473">
        <f t="shared" ref="G47:N47" si="59">G46-F46</f>
        <v>9.4886744609223861E-5</v>
      </c>
      <c r="H47" s="473">
        <f t="shared" si="59"/>
        <v>5.8163510345548008E-3</v>
      </c>
      <c r="I47" s="473">
        <f t="shared" si="59"/>
        <v>1.1652998629568589E-2</v>
      </c>
      <c r="J47" s="473">
        <f t="shared" si="59"/>
        <v>8.4306521330571593E-3</v>
      </c>
      <c r="K47" s="473">
        <f t="shared" si="59"/>
        <v>3.5849615223604303E-3</v>
      </c>
      <c r="L47" s="473">
        <f t="shared" si="59"/>
        <v>7.9525919280759583E-3</v>
      </c>
      <c r="M47" s="473">
        <f t="shared" si="59"/>
        <v>9.5962148318028406E-3</v>
      </c>
      <c r="N47" s="473">
        <f t="shared" si="59"/>
        <v>4.0008142865998186E-3</v>
      </c>
      <c r="O47" s="473">
        <f t="shared" ref="O47:AA47" si="60">O46-N46</f>
        <v>-2.070768787044508E-2</v>
      </c>
      <c r="P47" s="473">
        <f t="shared" si="60"/>
        <v>8.3251428524488968E-3</v>
      </c>
      <c r="Q47" s="473">
        <f t="shared" si="60"/>
        <v>-3.8222817491671002E-3</v>
      </c>
      <c r="R47" s="473">
        <f t="shared" si="60"/>
        <v>1.0825974821763062E-2</v>
      </c>
      <c r="S47" s="473">
        <f t="shared" si="60"/>
        <v>3.2756257684364298E-3</v>
      </c>
      <c r="T47" s="473">
        <f t="shared" si="60"/>
        <v>7.6867132736110344E-3</v>
      </c>
      <c r="U47" s="473">
        <f t="shared" si="60"/>
        <v>9.4814277406193304E-3</v>
      </c>
      <c r="V47" s="473">
        <f t="shared" si="60"/>
        <v>6.7204438254719889E-3</v>
      </c>
      <c r="W47" s="473">
        <f t="shared" si="60"/>
        <v>-1.1331767289998185E-3</v>
      </c>
      <c r="X47" s="473">
        <f t="shared" si="60"/>
        <v>8.9648450923968115E-3</v>
      </c>
      <c r="Y47" s="473">
        <f t="shared" si="60"/>
        <v>8.767340543778257E-3</v>
      </c>
      <c r="Z47" s="473">
        <f t="shared" si="60"/>
        <v>8.756210750497484E-3</v>
      </c>
      <c r="AA47" s="473">
        <f t="shared" si="60"/>
        <v>9.3935042187011097E-3</v>
      </c>
      <c r="AB47" s="725"/>
      <c r="AC47" s="472"/>
      <c r="AD47" s="726"/>
      <c r="AE47" s="726"/>
      <c r="AF47" s="726"/>
      <c r="AG47" s="726"/>
      <c r="AH47" s="726"/>
      <c r="AI47" s="726"/>
      <c r="AJ47" s="726"/>
      <c r="AK47" s="726"/>
      <c r="AL47" s="726"/>
      <c r="AM47" s="726"/>
      <c r="AN47" s="726"/>
      <c r="AO47" s="726"/>
      <c r="AP47" s="726"/>
      <c r="AQ47" s="726"/>
      <c r="AR47" s="726"/>
      <c r="AS47" s="726"/>
      <c r="AT47" s="726"/>
      <c r="AU47" s="726"/>
      <c r="AV47" s="726"/>
      <c r="AW47" s="726"/>
      <c r="AX47" s="726"/>
      <c r="AY47" s="161"/>
      <c r="AZ47" s="161"/>
      <c r="BA47" s="161"/>
      <c r="BB47" s="161"/>
      <c r="BC47" s="161"/>
      <c r="BD47" s="161"/>
      <c r="BE47" s="161"/>
      <c r="BF47" s="161"/>
      <c r="BG47" s="161"/>
      <c r="BH47" s="161"/>
      <c r="BI47" s="161"/>
      <c r="BJ47" s="161"/>
      <c r="BK47" s="161"/>
      <c r="BL47" s="161"/>
      <c r="BM47" s="161"/>
      <c r="BN47" s="161"/>
      <c r="BO47" s="161"/>
      <c r="BP47" s="161"/>
      <c r="BQ47" s="161"/>
      <c r="BR47" s="161"/>
      <c r="BS47" s="161"/>
      <c r="BT47" s="161"/>
      <c r="BU47" s="161"/>
      <c r="BV47" s="161"/>
      <c r="BW47" s="161"/>
      <c r="BX47" s="161"/>
      <c r="BY47" s="161"/>
      <c r="BZ47" s="161"/>
    </row>
    <row r="48" spans="1:78">
      <c r="A48" s="161"/>
      <c r="B48" s="487"/>
      <c r="C48" s="469"/>
      <c r="D48" s="469"/>
      <c r="E48" s="469"/>
      <c r="F48" s="469"/>
      <c r="G48" s="474"/>
      <c r="H48" s="474"/>
      <c r="I48" s="474"/>
      <c r="J48" s="474"/>
      <c r="K48" s="474"/>
      <c r="L48" s="474"/>
      <c r="M48" s="474"/>
      <c r="N48" s="474"/>
      <c r="O48" s="474"/>
      <c r="P48" s="474"/>
      <c r="Q48" s="474"/>
      <c r="R48" s="474"/>
      <c r="S48" s="474"/>
      <c r="T48" s="474"/>
      <c r="U48" s="474"/>
      <c r="V48" s="474"/>
      <c r="W48" s="474"/>
      <c r="X48" s="474"/>
      <c r="Y48" s="474"/>
      <c r="Z48" s="474"/>
      <c r="AA48" s="474"/>
      <c r="AB48" s="725"/>
      <c r="AC48" s="472"/>
      <c r="AD48" s="470"/>
      <c r="AE48" s="470"/>
      <c r="AF48" s="470"/>
      <c r="AG48" s="470"/>
      <c r="AH48" s="470"/>
      <c r="AI48" s="470"/>
      <c r="AJ48" s="470"/>
      <c r="AK48" s="470"/>
      <c r="AL48" s="470"/>
      <c r="AM48" s="470"/>
      <c r="AN48" s="470"/>
      <c r="AO48" s="470"/>
      <c r="AP48" s="470"/>
      <c r="AQ48" s="470"/>
      <c r="AR48" s="470"/>
      <c r="AS48" s="470"/>
      <c r="AT48" s="470"/>
      <c r="AU48" s="470"/>
      <c r="AV48" s="470"/>
      <c r="AW48" s="470"/>
      <c r="AX48" s="470"/>
      <c r="AY48" s="161"/>
      <c r="AZ48" s="161"/>
      <c r="BA48" s="161"/>
      <c r="BB48" s="161"/>
      <c r="BC48" s="161"/>
      <c r="BD48" s="161"/>
      <c r="BE48" s="161"/>
      <c r="BF48" s="161"/>
      <c r="BG48" s="161"/>
      <c r="BH48" s="161"/>
      <c r="BI48" s="161"/>
      <c r="BJ48" s="161"/>
      <c r="BK48" s="161"/>
      <c r="BL48" s="161"/>
      <c r="BM48" s="161"/>
      <c r="BN48" s="161"/>
      <c r="BO48" s="161"/>
      <c r="BP48" s="161"/>
      <c r="BQ48" s="161"/>
      <c r="BR48" s="161"/>
      <c r="BS48" s="161"/>
      <c r="BT48" s="161"/>
      <c r="BU48" s="161"/>
      <c r="BV48" s="161"/>
      <c r="BW48" s="161"/>
      <c r="BX48" s="161"/>
      <c r="BY48" s="161"/>
      <c r="BZ48" s="161"/>
    </row>
    <row r="49" spans="1:78">
      <c r="A49" s="161"/>
      <c r="B49" s="724" t="s">
        <v>696</v>
      </c>
      <c r="C49" s="472"/>
      <c r="D49" s="472"/>
      <c r="E49" s="472"/>
      <c r="F49" s="472"/>
      <c r="G49" s="472"/>
      <c r="H49" s="481"/>
      <c r="I49" s="472"/>
      <c r="J49" s="472"/>
      <c r="K49" s="472"/>
      <c r="L49" s="472"/>
      <c r="M49" s="472"/>
      <c r="N49" s="472"/>
      <c r="O49" s="472"/>
      <c r="P49" s="472"/>
      <c r="Q49" s="472"/>
      <c r="R49" s="472"/>
      <c r="S49" s="472"/>
      <c r="T49" s="472"/>
      <c r="U49" s="472"/>
      <c r="V49" s="472"/>
      <c r="W49" s="472"/>
      <c r="X49" s="472"/>
      <c r="Y49" s="472"/>
      <c r="Z49" s="472"/>
      <c r="AA49" s="472"/>
      <c r="AB49" s="725"/>
      <c r="AC49" s="472"/>
      <c r="AD49" s="472"/>
      <c r="AE49" s="472"/>
      <c r="AF49" s="472"/>
      <c r="AG49" s="472"/>
      <c r="AH49" s="472"/>
      <c r="AI49" s="472"/>
      <c r="AJ49" s="472"/>
      <c r="AK49" s="472"/>
      <c r="AL49" s="472"/>
      <c r="AM49" s="472"/>
      <c r="AN49" s="472"/>
      <c r="AO49" s="472"/>
      <c r="AP49" s="472"/>
      <c r="AQ49" s="472"/>
      <c r="AR49" s="472"/>
      <c r="AS49" s="472"/>
      <c r="AT49" s="472"/>
      <c r="AU49" s="472"/>
      <c r="AV49" s="472"/>
      <c r="AW49" s="472"/>
      <c r="AX49" s="472"/>
      <c r="AY49" s="161"/>
      <c r="AZ49" s="161"/>
      <c r="BA49" s="161"/>
      <c r="BB49" s="161"/>
      <c r="BC49" s="161"/>
      <c r="BD49" s="161"/>
      <c r="BE49" s="161"/>
      <c r="BF49" s="161"/>
      <c r="BG49" s="161"/>
      <c r="BH49" s="161"/>
      <c r="BI49" s="161"/>
      <c r="BJ49" s="161"/>
      <c r="BK49" s="161"/>
      <c r="BL49" s="161"/>
      <c r="BM49" s="161"/>
      <c r="BN49" s="161"/>
      <c r="BO49" s="161"/>
      <c r="BP49" s="161"/>
      <c r="BQ49" s="161"/>
      <c r="BR49" s="161"/>
      <c r="BS49" s="161"/>
      <c r="BT49" s="161"/>
      <c r="BU49" s="161"/>
      <c r="BV49" s="161"/>
      <c r="BW49" s="161"/>
      <c r="BX49" s="161"/>
      <c r="BY49" s="161"/>
      <c r="BZ49" s="161"/>
    </row>
    <row r="50" spans="1:78">
      <c r="A50" s="161"/>
      <c r="B50" s="390" t="str">
        <f>B22</f>
        <v>Totalplay</v>
      </c>
      <c r="C50" s="474">
        <f>C34/C$39</f>
        <v>8.3750551805038723E-2</v>
      </c>
      <c r="D50" s="474">
        <f t="shared" ref="D50:O50" si="61">D34/D$39</f>
        <v>9.3705019031492559E-2</v>
      </c>
      <c r="E50" s="474">
        <f t="shared" si="61"/>
        <v>0.10335733893461366</v>
      </c>
      <c r="F50" s="474">
        <f t="shared" si="61"/>
        <v>0.11422095484991678</v>
      </c>
      <c r="G50" s="474">
        <f t="shared" si="61"/>
        <v>0.12355731363018266</v>
      </c>
      <c r="H50" s="474">
        <f t="shared" si="61"/>
        <v>0.13255252999289494</v>
      </c>
      <c r="I50" s="474">
        <f t="shared" si="61"/>
        <v>0.14194745537062267</v>
      </c>
      <c r="J50" s="474">
        <f t="shared" si="61"/>
        <v>0.15049180748799015</v>
      </c>
      <c r="K50" s="474">
        <f t="shared" si="61"/>
        <v>0.15909743835645695</v>
      </c>
      <c r="L50" s="474">
        <f t="shared" si="61"/>
        <v>0.16693211644186878</v>
      </c>
      <c r="M50" s="474">
        <f t="shared" si="61"/>
        <v>0.17323353365549243</v>
      </c>
      <c r="N50" s="474">
        <f t="shared" si="61"/>
        <v>0.17575684678470521</v>
      </c>
      <c r="O50" s="474">
        <f t="shared" si="61"/>
        <v>0.17668504978304247</v>
      </c>
      <c r="P50" s="474">
        <f t="shared" ref="P50:Z50" si="62">P34/P$39</f>
        <v>0.17857346824344164</v>
      </c>
      <c r="Q50" s="474">
        <f t="shared" si="62"/>
        <v>0.18355441372148634</v>
      </c>
      <c r="R50" s="474">
        <f t="shared" si="62"/>
        <v>0.18618525655093351</v>
      </c>
      <c r="S50" s="474">
        <f t="shared" si="62"/>
        <v>0.18670874782208638</v>
      </c>
      <c r="T50" s="474">
        <f t="shared" si="62"/>
        <v>0.18806331467430373</v>
      </c>
      <c r="U50" s="474">
        <f t="shared" si="62"/>
        <v>0.18937366839709749</v>
      </c>
      <c r="V50" s="474">
        <f t="shared" si="62"/>
        <v>0.19071144981263211</v>
      </c>
      <c r="W50" s="474">
        <f t="shared" si="62"/>
        <v>0.19210699147939872</v>
      </c>
      <c r="X50" s="474">
        <f t="shared" si="62"/>
        <v>0.19050075789802459</v>
      </c>
      <c r="Y50" s="474">
        <f t="shared" si="62"/>
        <v>0.18896895230649383</v>
      </c>
      <c r="Z50" s="474">
        <f t="shared" si="62"/>
        <v>0.18807887029850803</v>
      </c>
      <c r="AA50" s="474">
        <f t="shared" ref="AA50" si="63">AA34/AA$39</f>
        <v>0.18933672216748479</v>
      </c>
      <c r="AB50" s="725"/>
      <c r="AC50" s="472"/>
      <c r="AD50" s="465"/>
      <c r="AE50" s="465"/>
      <c r="AF50" s="465"/>
      <c r="AG50" s="465"/>
      <c r="AH50" s="465"/>
      <c r="AI50" s="465"/>
      <c r="AJ50" s="465"/>
      <c r="AK50" s="465"/>
      <c r="AL50" s="465"/>
      <c r="AM50" s="465"/>
      <c r="AN50" s="465"/>
      <c r="AO50" s="465"/>
      <c r="AP50" s="465"/>
      <c r="AQ50" s="465"/>
      <c r="AR50" s="465"/>
      <c r="AS50" s="465"/>
      <c r="AT50" s="465"/>
      <c r="AU50" s="465"/>
      <c r="AV50" s="465"/>
      <c r="AW50" s="465"/>
      <c r="AX50" s="465"/>
      <c r="AY50" s="161"/>
      <c r="AZ50" s="161"/>
      <c r="BA50" s="161"/>
      <c r="BB50" s="161"/>
      <c r="BC50" s="161"/>
      <c r="BD50" s="161"/>
      <c r="BE50" s="161"/>
      <c r="BF50" s="161"/>
      <c r="BG50" s="161"/>
      <c r="BH50" s="161"/>
      <c r="BI50" s="161"/>
      <c r="BJ50" s="161"/>
      <c r="BK50" s="161"/>
      <c r="BL50" s="161"/>
      <c r="BM50" s="161"/>
      <c r="BN50" s="161"/>
      <c r="BO50" s="161"/>
      <c r="BP50" s="161"/>
      <c r="BQ50" s="161"/>
      <c r="BR50" s="161"/>
      <c r="BS50" s="161"/>
      <c r="BT50" s="161"/>
      <c r="BU50" s="161"/>
      <c r="BV50" s="161"/>
      <c r="BW50" s="161"/>
      <c r="BX50" s="161"/>
      <c r="BY50" s="161"/>
      <c r="BZ50" s="161"/>
    </row>
    <row r="51" spans="1:78">
      <c r="A51" s="161"/>
      <c r="B51" s="457" t="str">
        <f>B23</f>
        <v>MEGA</v>
      </c>
      <c r="C51" s="473">
        <f t="shared" ref="C51:O51" si="64">C35/C$39</f>
        <v>0.16231113194751637</v>
      </c>
      <c r="D51" s="473">
        <f t="shared" si="64"/>
        <v>0.16117212085970339</v>
      </c>
      <c r="E51" s="473">
        <f t="shared" si="64"/>
        <v>0.16374080665247162</v>
      </c>
      <c r="F51" s="473">
        <f t="shared" si="64"/>
        <v>0.16405587525064619</v>
      </c>
      <c r="G51" s="473">
        <f t="shared" si="64"/>
        <v>0.16457834175540328</v>
      </c>
      <c r="H51" s="473">
        <f t="shared" si="64"/>
        <v>0.16508650534690386</v>
      </c>
      <c r="I51" s="473">
        <f t="shared" si="64"/>
        <v>0.16605869969759174</v>
      </c>
      <c r="J51" s="473">
        <f t="shared" si="64"/>
        <v>0.16685063252907836</v>
      </c>
      <c r="K51" s="473">
        <f t="shared" si="64"/>
        <v>0.1659736279369986</v>
      </c>
      <c r="L51" s="473">
        <f t="shared" si="64"/>
        <v>0.1642650232082245</v>
      </c>
      <c r="M51" s="473">
        <f t="shared" si="64"/>
        <v>0.16556538161132023</v>
      </c>
      <c r="N51" s="473">
        <f t="shared" si="64"/>
        <v>0.16928706378877101</v>
      </c>
      <c r="O51" s="473">
        <f t="shared" si="64"/>
        <v>0.17194832664205231</v>
      </c>
      <c r="P51" s="473">
        <f t="shared" ref="P51:Z51" si="65">P35/P$39</f>
        <v>0.17581740695788389</v>
      </c>
      <c r="Q51" s="473">
        <f t="shared" si="65"/>
        <v>0.18123632471982548</v>
      </c>
      <c r="R51" s="473">
        <f t="shared" si="65"/>
        <v>0.18394713756823042</v>
      </c>
      <c r="S51" s="473">
        <f t="shared" si="65"/>
        <v>0.18539924123342447</v>
      </c>
      <c r="T51" s="473">
        <f t="shared" si="65"/>
        <v>0.18636053257998875</v>
      </c>
      <c r="U51" s="473">
        <f t="shared" si="65"/>
        <v>0.19016631029134273</v>
      </c>
      <c r="V51" s="473">
        <f t="shared" si="65"/>
        <v>0.19410800648250837</v>
      </c>
      <c r="W51" s="473">
        <f t="shared" si="65"/>
        <v>0.19513934697684782</v>
      </c>
      <c r="X51" s="473">
        <f t="shared" si="65"/>
        <v>0.19705974164187701</v>
      </c>
      <c r="Y51" s="473">
        <f t="shared" si="65"/>
        <v>0.19885689031766693</v>
      </c>
      <c r="Z51" s="473">
        <f t="shared" si="65"/>
        <v>0.20075989534667837</v>
      </c>
      <c r="AA51" s="473">
        <f t="shared" ref="AA51" si="66">AA35/AA$39</f>
        <v>0.20136993334215586</v>
      </c>
      <c r="AB51" s="725"/>
      <c r="AC51" s="472"/>
      <c r="AD51" s="472"/>
      <c r="AE51" s="472"/>
      <c r="AF51" s="472"/>
      <c r="AG51" s="472"/>
      <c r="AH51" s="472"/>
      <c r="AI51" s="472"/>
      <c r="AJ51" s="472"/>
      <c r="AK51" s="472"/>
      <c r="AL51" s="472"/>
      <c r="AM51" s="472"/>
      <c r="AN51" s="472"/>
      <c r="AO51" s="472"/>
      <c r="AP51" s="472"/>
      <c r="AQ51" s="472"/>
      <c r="AR51" s="472"/>
      <c r="AS51" s="472"/>
      <c r="AT51" s="472"/>
      <c r="AU51" s="472"/>
      <c r="AV51" s="472"/>
      <c r="AW51" s="472"/>
      <c r="AX51" s="472"/>
      <c r="AY51" s="161"/>
      <c r="AZ51" s="161"/>
      <c r="BA51" s="161"/>
      <c r="BB51" s="161"/>
      <c r="BC51" s="177" t="s">
        <v>697</v>
      </c>
      <c r="BD51" s="177" t="s">
        <v>698</v>
      </c>
      <c r="BE51" s="161"/>
      <c r="BF51" s="161"/>
      <c r="BG51" s="161"/>
      <c r="BH51" s="161"/>
      <c r="BI51" s="161"/>
      <c r="BJ51" s="161"/>
      <c r="BK51" s="161"/>
      <c r="BL51" s="161"/>
      <c r="BM51" s="161"/>
      <c r="BN51" s="161"/>
      <c r="BO51" s="161"/>
      <c r="BP51" s="161"/>
      <c r="BQ51" s="161"/>
      <c r="BR51" s="161"/>
      <c r="BS51" s="161"/>
      <c r="BT51" s="161"/>
      <c r="BU51" s="161"/>
      <c r="BV51" s="161"/>
      <c r="BW51" s="161"/>
      <c r="BX51" s="161"/>
      <c r="BY51" s="161"/>
      <c r="BZ51" s="161"/>
    </row>
    <row r="52" spans="1:78">
      <c r="A52" s="161"/>
      <c r="B52" s="390" t="str">
        <f>B24</f>
        <v>Televisa</v>
      </c>
      <c r="C52" s="474">
        <f t="shared" ref="C52:O52" si="67">C36/C$39</f>
        <v>0.24849270402763887</v>
      </c>
      <c r="D52" s="474">
        <f t="shared" si="67"/>
        <v>0.25298243656339769</v>
      </c>
      <c r="E52" s="474">
        <f t="shared" si="67"/>
        <v>0.25434058857088454</v>
      </c>
      <c r="F52" s="474">
        <f t="shared" si="67"/>
        <v>0.25385656637958559</v>
      </c>
      <c r="G52" s="474">
        <f t="shared" si="67"/>
        <v>0.25376242335549576</v>
      </c>
      <c r="H52" s="474">
        <f t="shared" si="67"/>
        <v>0.25189053668161598</v>
      </c>
      <c r="I52" s="474">
        <f t="shared" si="67"/>
        <v>0.2473903438208078</v>
      </c>
      <c r="J52" s="474">
        <f t="shared" si="67"/>
        <v>0.24584834316484097</v>
      </c>
      <c r="K52" s="474">
        <f t="shared" si="67"/>
        <v>0.24435976773649745</v>
      </c>
      <c r="L52" s="474">
        <f t="shared" si="67"/>
        <v>0.24391528027150819</v>
      </c>
      <c r="M52" s="474">
        <f t="shared" si="67"/>
        <v>0.24365009780124194</v>
      </c>
      <c r="N52" s="474">
        <f t="shared" si="67"/>
        <v>0.24481586851947768</v>
      </c>
      <c r="O52" s="474">
        <f t="shared" si="67"/>
        <v>0.24352169998624065</v>
      </c>
      <c r="P52" s="474">
        <f t="shared" ref="P52:Z52" si="68">P36/P$39</f>
        <v>0.23836355259631503</v>
      </c>
      <c r="Q52" s="474">
        <f t="shared" si="68"/>
        <v>0.22538751258363954</v>
      </c>
      <c r="R52" s="474">
        <f t="shared" si="68"/>
        <v>0.22122622568356851</v>
      </c>
      <c r="S52" s="474">
        <f t="shared" si="68"/>
        <v>0.2164501999795915</v>
      </c>
      <c r="T52" s="474">
        <f t="shared" si="68"/>
        <v>0.21400696618956502</v>
      </c>
      <c r="U52" s="474">
        <f t="shared" si="68"/>
        <v>0.21107436072712391</v>
      </c>
      <c r="V52" s="474">
        <f t="shared" si="68"/>
        <v>0.20558394647362871</v>
      </c>
      <c r="W52" s="474">
        <f t="shared" si="68"/>
        <v>0.2026513865650221</v>
      </c>
      <c r="X52" s="474">
        <f t="shared" si="68"/>
        <v>0.19998403489917019</v>
      </c>
      <c r="Y52" s="474">
        <f t="shared" si="68"/>
        <v>0.19799179038390249</v>
      </c>
      <c r="Z52" s="474">
        <f t="shared" si="68"/>
        <v>0.19617051502177535</v>
      </c>
      <c r="AA52" s="474">
        <f t="shared" ref="AA52" si="69">AA36/AA$39</f>
        <v>0.19424570452112502</v>
      </c>
      <c r="AB52" s="725"/>
      <c r="AC52" s="472"/>
      <c r="AD52" s="465"/>
      <c r="AE52" s="465"/>
      <c r="AF52" s="465"/>
      <c r="AG52" s="465"/>
      <c r="AH52" s="465"/>
      <c r="AI52" s="465"/>
      <c r="AJ52" s="465"/>
      <c r="AK52" s="465"/>
      <c r="AL52" s="465"/>
      <c r="AM52" s="465"/>
      <c r="AN52" s="465"/>
      <c r="AO52" s="465"/>
      <c r="AP52" s="465"/>
      <c r="AQ52" s="465"/>
      <c r="AR52" s="465"/>
      <c r="AS52" s="465"/>
      <c r="AT52" s="465"/>
      <c r="AU52" s="465"/>
      <c r="AV52" s="465"/>
      <c r="AW52" s="465"/>
      <c r="AX52" s="465"/>
      <c r="AY52" s="161"/>
      <c r="AZ52" s="161"/>
      <c r="BA52" s="161"/>
      <c r="BB52" s="161" t="str">
        <f>B22</f>
        <v>Totalplay</v>
      </c>
      <c r="BC52" s="307">
        <f>I22</f>
        <v>13400</v>
      </c>
      <c r="BD52" s="307">
        <f>I34</f>
        <v>3208</v>
      </c>
      <c r="BE52" s="161"/>
      <c r="BF52" s="161"/>
      <c r="BG52" s="161"/>
      <c r="BH52" s="161"/>
      <c r="BI52" s="161"/>
      <c r="BJ52" s="161"/>
      <c r="BK52" s="161"/>
      <c r="BL52" s="161"/>
      <c r="BM52" s="161"/>
      <c r="BN52" s="161"/>
      <c r="BO52" s="161"/>
      <c r="BP52" s="161"/>
      <c r="BQ52" s="161"/>
      <c r="BR52" s="161"/>
      <c r="BS52" s="161"/>
      <c r="BT52" s="161"/>
      <c r="BU52" s="161"/>
      <c r="BV52" s="161"/>
      <c r="BW52" s="161"/>
      <c r="BX52" s="161"/>
      <c r="BY52" s="161"/>
      <c r="BZ52" s="161"/>
    </row>
    <row r="53" spans="1:78">
      <c r="A53" s="161"/>
      <c r="B53" s="905" t="str">
        <f>B25</f>
        <v>Telmex copper/VDSL/FTTH</v>
      </c>
      <c r="C53" s="906">
        <f t="shared" ref="C53:O53" si="70">C37/C$39</f>
        <v>0.505445612219806</v>
      </c>
      <c r="D53" s="906">
        <f t="shared" si="70"/>
        <v>0.49214042354540632</v>
      </c>
      <c r="E53" s="906">
        <f t="shared" si="70"/>
        <v>0.47856126584203018</v>
      </c>
      <c r="F53" s="906">
        <f t="shared" si="70"/>
        <v>0.46786660351985143</v>
      </c>
      <c r="G53" s="906">
        <f t="shared" si="70"/>
        <v>0.45810192125891841</v>
      </c>
      <c r="H53" s="906">
        <f t="shared" si="70"/>
        <v>0.45047042797858522</v>
      </c>
      <c r="I53" s="906">
        <f t="shared" si="70"/>
        <v>0.44460350111097779</v>
      </c>
      <c r="J53" s="906">
        <f t="shared" si="70"/>
        <v>0.43680921681809054</v>
      </c>
      <c r="K53" s="906">
        <f t="shared" si="70"/>
        <v>0.43056916597004696</v>
      </c>
      <c r="L53" s="906">
        <f t="shared" si="70"/>
        <v>0.42488758007839844</v>
      </c>
      <c r="M53" s="906">
        <f t="shared" si="70"/>
        <v>0.41755098693194542</v>
      </c>
      <c r="N53" s="906">
        <f t="shared" si="70"/>
        <v>0.41014022090704605</v>
      </c>
      <c r="O53" s="906">
        <f t="shared" si="70"/>
        <v>0.40784492358866453</v>
      </c>
      <c r="P53" s="906">
        <f t="shared" ref="P53:Z53" si="71">P37/P$39</f>
        <v>0.40724557220235952</v>
      </c>
      <c r="Q53" s="906">
        <f t="shared" si="71"/>
        <v>0.40982174897504869</v>
      </c>
      <c r="R53" s="906">
        <f t="shared" si="71"/>
        <v>0.40864138019726753</v>
      </c>
      <c r="S53" s="906">
        <f t="shared" si="71"/>
        <v>0.41144181096489763</v>
      </c>
      <c r="T53" s="906">
        <f t="shared" si="71"/>
        <v>0.41156918655614244</v>
      </c>
      <c r="U53" s="906">
        <f t="shared" si="71"/>
        <v>0.40938566058443582</v>
      </c>
      <c r="V53" s="906">
        <f t="shared" si="71"/>
        <v>0.40959659723123076</v>
      </c>
      <c r="W53" s="906">
        <f t="shared" si="71"/>
        <v>0.41010227497873142</v>
      </c>
      <c r="X53" s="906">
        <f t="shared" si="71"/>
        <v>0.41245546556092827</v>
      </c>
      <c r="Y53" s="906">
        <f t="shared" si="71"/>
        <v>0.41418236699193678</v>
      </c>
      <c r="Z53" s="906">
        <f t="shared" si="71"/>
        <v>0.41499071933303822</v>
      </c>
      <c r="AA53" s="906">
        <f t="shared" ref="AA53" si="72">AA37/AA$39</f>
        <v>0.41504763996923433</v>
      </c>
      <c r="AB53" s="725"/>
      <c r="AC53" s="472"/>
      <c r="AD53" s="472"/>
      <c r="AE53" s="472"/>
      <c r="AF53" s="472"/>
      <c r="AG53" s="472"/>
      <c r="AH53" s="472"/>
      <c r="AI53" s="472"/>
      <c r="AJ53" s="472"/>
      <c r="AK53" s="472"/>
      <c r="AL53" s="472"/>
      <c r="AM53" s="472"/>
      <c r="AN53" s="472"/>
      <c r="AO53" s="472"/>
      <c r="AP53" s="472"/>
      <c r="AQ53" s="472"/>
      <c r="AR53" s="472"/>
      <c r="AS53" s="472"/>
      <c r="AT53" s="472"/>
      <c r="AU53" s="472"/>
      <c r="AV53" s="472"/>
      <c r="AW53" s="472"/>
      <c r="AX53" s="472"/>
      <c r="AY53" s="161"/>
      <c r="AZ53" s="161"/>
      <c r="BA53" s="161"/>
      <c r="BB53" s="161" t="str">
        <f>B23</f>
        <v>MEGA</v>
      </c>
      <c r="BC53" s="307">
        <f>I23</f>
        <v>9292.1260000000002</v>
      </c>
      <c r="BD53" s="307">
        <f>I35</f>
        <v>3752.9119999999998</v>
      </c>
      <c r="BE53" s="161"/>
      <c r="BF53" s="161"/>
      <c r="BG53" s="161"/>
      <c r="BH53" s="307">
        <f>Q24</f>
        <v>19500</v>
      </c>
      <c r="BI53" s="307">
        <f>4500+2000</f>
        <v>6500</v>
      </c>
      <c r="BJ53" s="307">
        <f>Q23</f>
        <v>14552.598</v>
      </c>
      <c r="BK53" s="161"/>
      <c r="BL53" s="161"/>
      <c r="BM53" s="161"/>
      <c r="BN53" s="161"/>
      <c r="BO53" s="161"/>
      <c r="BP53" s="161"/>
      <c r="BQ53" s="161"/>
      <c r="BR53" s="161"/>
      <c r="BS53" s="161"/>
      <c r="BT53" s="161"/>
      <c r="BU53" s="161"/>
      <c r="BV53" s="161"/>
      <c r="BW53" s="161"/>
      <c r="BX53" s="161"/>
      <c r="BY53" s="161"/>
      <c r="BZ53" s="161"/>
    </row>
    <row r="54" spans="1:78">
      <c r="A54" s="161"/>
      <c r="B54" s="468" t="s">
        <v>539</v>
      </c>
      <c r="C54" s="475">
        <f>C39/C$39</f>
        <v>1</v>
      </c>
      <c r="D54" s="475">
        <f t="shared" ref="D54:O54" si="73">D39/D$39</f>
        <v>1</v>
      </c>
      <c r="E54" s="475">
        <f t="shared" si="73"/>
        <v>1</v>
      </c>
      <c r="F54" s="475">
        <f t="shared" si="73"/>
        <v>1</v>
      </c>
      <c r="G54" s="475">
        <f t="shared" si="73"/>
        <v>1</v>
      </c>
      <c r="H54" s="475">
        <f t="shared" si="73"/>
        <v>1</v>
      </c>
      <c r="I54" s="475">
        <f t="shared" si="73"/>
        <v>1</v>
      </c>
      <c r="J54" s="475">
        <f t="shared" si="73"/>
        <v>1</v>
      </c>
      <c r="K54" s="475">
        <f t="shared" si="73"/>
        <v>1</v>
      </c>
      <c r="L54" s="475">
        <f t="shared" si="73"/>
        <v>1</v>
      </c>
      <c r="M54" s="475">
        <f t="shared" si="73"/>
        <v>1</v>
      </c>
      <c r="N54" s="475">
        <f t="shared" si="73"/>
        <v>1</v>
      </c>
      <c r="O54" s="475">
        <f t="shared" si="73"/>
        <v>1</v>
      </c>
      <c r="P54" s="475">
        <f t="shared" ref="P54:Z54" si="74">P39/P$39</f>
        <v>1</v>
      </c>
      <c r="Q54" s="475">
        <f t="shared" si="74"/>
        <v>1</v>
      </c>
      <c r="R54" s="475">
        <f t="shared" si="74"/>
        <v>1</v>
      </c>
      <c r="S54" s="475">
        <f t="shared" si="74"/>
        <v>1</v>
      </c>
      <c r="T54" s="475">
        <f t="shared" si="74"/>
        <v>1</v>
      </c>
      <c r="U54" s="475">
        <f t="shared" si="74"/>
        <v>1</v>
      </c>
      <c r="V54" s="475">
        <f t="shared" si="74"/>
        <v>1</v>
      </c>
      <c r="W54" s="475">
        <f t="shared" si="74"/>
        <v>1</v>
      </c>
      <c r="X54" s="475">
        <f t="shared" si="74"/>
        <v>1</v>
      </c>
      <c r="Y54" s="475">
        <f t="shared" si="74"/>
        <v>1</v>
      </c>
      <c r="Z54" s="475">
        <f t="shared" si="74"/>
        <v>1</v>
      </c>
      <c r="AA54" s="475">
        <f t="shared" ref="AA54" si="75">AA39/AA$39</f>
        <v>1</v>
      </c>
      <c r="AB54" s="725"/>
      <c r="AC54" s="472"/>
      <c r="AD54" s="465"/>
      <c r="AE54" s="465"/>
      <c r="AF54" s="465"/>
      <c r="AG54" s="465"/>
      <c r="AH54" s="465"/>
      <c r="AI54" s="465"/>
      <c r="AJ54" s="465"/>
      <c r="AK54" s="465"/>
      <c r="AL54" s="465"/>
      <c r="AM54" s="465"/>
      <c r="AN54" s="465"/>
      <c r="AO54" s="465"/>
      <c r="AP54" s="465"/>
      <c r="AQ54" s="465"/>
      <c r="AR54" s="465"/>
      <c r="AS54" s="465"/>
      <c r="AT54" s="465"/>
      <c r="AU54" s="465"/>
      <c r="AV54" s="465"/>
      <c r="AW54" s="465"/>
      <c r="AX54" s="465"/>
      <c r="AY54" s="161"/>
      <c r="AZ54" s="161"/>
      <c r="BA54" s="161"/>
      <c r="BB54" s="161" t="str">
        <f>B24</f>
        <v>Televisa</v>
      </c>
      <c r="BC54" s="307">
        <f>I24</f>
        <v>17300</v>
      </c>
      <c r="BD54" s="307">
        <f>I36</f>
        <v>5591</v>
      </c>
      <c r="BE54" s="161"/>
      <c r="BF54" s="161"/>
      <c r="BG54" s="161"/>
      <c r="BH54" s="161"/>
      <c r="BI54" s="161"/>
      <c r="BJ54" s="161"/>
      <c r="BK54" s="161"/>
      <c r="BL54" s="161"/>
      <c r="BM54" s="161"/>
      <c r="BN54" s="161"/>
      <c r="BO54" s="161"/>
      <c r="BP54" s="161"/>
      <c r="BQ54" s="161"/>
      <c r="BR54" s="161"/>
      <c r="BS54" s="161"/>
      <c r="BT54" s="161"/>
      <c r="BU54" s="161"/>
      <c r="BV54" s="161"/>
      <c r="BW54" s="161"/>
      <c r="BX54" s="161"/>
      <c r="BY54" s="161"/>
      <c r="BZ54" s="161"/>
    </row>
    <row r="55" spans="1:78">
      <c r="A55" s="161"/>
      <c r="B55" s="457"/>
      <c r="C55" s="472"/>
      <c r="D55" s="472"/>
      <c r="E55" s="472"/>
      <c r="F55" s="472"/>
      <c r="G55" s="472"/>
      <c r="H55" s="481"/>
      <c r="I55" s="472"/>
      <c r="J55" s="472"/>
      <c r="K55" s="472"/>
      <c r="L55" s="472"/>
      <c r="M55" s="472"/>
      <c r="N55" s="472"/>
      <c r="O55" s="472"/>
      <c r="P55" s="472"/>
      <c r="Q55" s="472"/>
      <c r="R55" s="472"/>
      <c r="S55" s="472"/>
      <c r="T55" s="472"/>
      <c r="U55" s="472"/>
      <c r="V55" s="472"/>
      <c r="W55" s="472"/>
      <c r="X55" s="472"/>
      <c r="Y55" s="472"/>
      <c r="Z55" s="472"/>
      <c r="AA55" s="472"/>
      <c r="AB55" s="725"/>
      <c r="AC55" s="472"/>
      <c r="AD55" s="472"/>
      <c r="AE55" s="472"/>
      <c r="AF55" s="472"/>
      <c r="AG55" s="472"/>
      <c r="AH55" s="472"/>
      <c r="AI55" s="472"/>
      <c r="AJ55" s="472"/>
      <c r="AK55" s="472"/>
      <c r="AL55" s="472"/>
      <c r="AM55" s="472"/>
      <c r="AN55" s="472"/>
      <c r="AO55" s="472"/>
      <c r="AP55" s="472"/>
      <c r="AQ55" s="472"/>
      <c r="AR55" s="472"/>
      <c r="AS55" s="472"/>
      <c r="AT55" s="472"/>
      <c r="AU55" s="472"/>
      <c r="AV55" s="472"/>
      <c r="AW55" s="472"/>
      <c r="AX55" s="472"/>
      <c r="AY55" s="161"/>
      <c r="AZ55" s="161"/>
      <c r="BA55" s="161"/>
      <c r="BB55" s="161" t="s">
        <v>699</v>
      </c>
      <c r="BC55" s="307">
        <f>I25</f>
        <v>0</v>
      </c>
      <c r="BD55" s="307">
        <f>I38</f>
        <v>0</v>
      </c>
      <c r="BE55" s="161"/>
      <c r="BF55" s="161"/>
      <c r="BG55" s="161"/>
      <c r="BH55" s="161"/>
      <c r="BI55" s="161"/>
      <c r="BJ55" s="161"/>
      <c r="BK55" s="161"/>
      <c r="BL55" s="161"/>
      <c r="BM55" s="161"/>
      <c r="BN55" s="161"/>
      <c r="BO55" s="161"/>
      <c r="BP55" s="161"/>
      <c r="BQ55" s="161"/>
      <c r="BR55" s="161"/>
      <c r="BS55" s="161"/>
      <c r="BT55" s="161"/>
      <c r="BU55" s="161"/>
      <c r="BV55" s="161"/>
      <c r="BW55" s="161"/>
      <c r="BX55" s="161"/>
      <c r="BY55" s="161"/>
      <c r="BZ55" s="161"/>
    </row>
    <row r="56" spans="1:78">
      <c r="A56" s="161"/>
      <c r="B56" s="468" t="s">
        <v>700</v>
      </c>
      <c r="C56" s="465"/>
      <c r="D56" s="465"/>
      <c r="E56" s="465"/>
      <c r="F56" s="465"/>
      <c r="G56" s="465"/>
      <c r="H56" s="396"/>
      <c r="I56" s="465"/>
      <c r="J56" s="465"/>
      <c r="K56" s="465"/>
      <c r="L56" s="465"/>
      <c r="M56" s="465"/>
      <c r="N56" s="465"/>
      <c r="O56" s="465"/>
      <c r="P56" s="465"/>
      <c r="Q56" s="465"/>
      <c r="R56" s="465"/>
      <c r="S56" s="465"/>
      <c r="T56" s="465"/>
      <c r="U56" s="465"/>
      <c r="V56" s="465"/>
      <c r="W56" s="465"/>
      <c r="X56" s="465"/>
      <c r="Y56" s="465"/>
      <c r="Z56" s="465"/>
      <c r="AA56" s="465"/>
      <c r="AB56" s="725"/>
      <c r="AC56" s="472"/>
      <c r="AD56" s="465"/>
      <c r="AE56" s="465"/>
      <c r="AF56" s="465"/>
      <c r="AG56" s="465"/>
      <c r="AH56" s="465"/>
      <c r="AI56" s="465"/>
      <c r="AJ56" s="465"/>
      <c r="AK56" s="465"/>
      <c r="AL56" s="465"/>
      <c r="AM56" s="465"/>
      <c r="AN56" s="465"/>
      <c r="AO56" s="465"/>
      <c r="AP56" s="465"/>
      <c r="AQ56" s="465"/>
      <c r="AR56" s="465"/>
      <c r="AS56" s="465"/>
      <c r="AT56" s="465"/>
      <c r="AU56" s="465"/>
      <c r="AV56" s="465"/>
      <c r="AW56" s="465"/>
      <c r="AX56" s="465"/>
      <c r="AY56" s="161"/>
      <c r="AZ56" s="161"/>
      <c r="BA56" s="161"/>
      <c r="BB56" s="161"/>
      <c r="BC56" s="161"/>
      <c r="BD56" s="161"/>
      <c r="BE56" s="161"/>
      <c r="BF56" s="161"/>
      <c r="BG56" s="161"/>
      <c r="BH56" s="161"/>
      <c r="BI56" s="161"/>
      <c r="BJ56" s="161"/>
      <c r="BK56" s="161"/>
      <c r="BL56" s="161"/>
      <c r="BM56" s="161"/>
      <c r="BN56" s="161"/>
      <c r="BO56" s="161"/>
      <c r="BP56" s="161"/>
      <c r="BQ56" s="161"/>
      <c r="BR56" s="161"/>
      <c r="BS56" s="161"/>
      <c r="BT56" s="161"/>
      <c r="BU56" s="161"/>
      <c r="BV56" s="161"/>
      <c r="BW56" s="161"/>
      <c r="BX56" s="161"/>
      <c r="BY56" s="161"/>
      <c r="BZ56" s="161"/>
    </row>
    <row r="57" spans="1:78">
      <c r="A57" s="161"/>
      <c r="B57" s="457" t="str">
        <f>B34</f>
        <v>Totalplay</v>
      </c>
      <c r="C57" s="472"/>
      <c r="D57" s="481">
        <f t="shared" ref="D57:N57" si="76">D34-C34</f>
        <v>254.07012666048809</v>
      </c>
      <c r="E57" s="481">
        <f t="shared" si="76"/>
        <v>277.43589743589746</v>
      </c>
      <c r="F57" s="481">
        <f t="shared" si="76"/>
        <v>289</v>
      </c>
      <c r="G57" s="481">
        <f t="shared" si="76"/>
        <v>251</v>
      </c>
      <c r="H57" s="481">
        <f t="shared" si="76"/>
        <v>234</v>
      </c>
      <c r="I57" s="481">
        <f t="shared" si="76"/>
        <v>279</v>
      </c>
      <c r="J57" s="481">
        <f t="shared" si="76"/>
        <v>250</v>
      </c>
      <c r="K57" s="481">
        <f t="shared" si="76"/>
        <v>274</v>
      </c>
      <c r="L57" s="481">
        <f t="shared" si="76"/>
        <v>244</v>
      </c>
      <c r="M57" s="481">
        <f t="shared" si="76"/>
        <v>223</v>
      </c>
      <c r="N57" s="481">
        <f t="shared" si="76"/>
        <v>97</v>
      </c>
      <c r="O57" s="481">
        <f t="shared" ref="O57:W57" si="77">O34-N34</f>
        <v>107.21000000000004</v>
      </c>
      <c r="P57" s="481">
        <f t="shared" si="77"/>
        <v>115</v>
      </c>
      <c r="Q57" s="481">
        <f t="shared" si="77"/>
        <v>105.78999999999996</v>
      </c>
      <c r="R57" s="481">
        <f t="shared" si="77"/>
        <v>155</v>
      </c>
      <c r="S57" s="481">
        <f t="shared" si="77"/>
        <v>128.30000000000018</v>
      </c>
      <c r="T57" s="481">
        <f t="shared" si="77"/>
        <v>101.69999999999982</v>
      </c>
      <c r="U57" s="481">
        <f t="shared" si="77"/>
        <v>115</v>
      </c>
      <c r="V57" s="481">
        <f t="shared" si="77"/>
        <v>95</v>
      </c>
      <c r="W57" s="481">
        <f t="shared" si="77"/>
        <v>109</v>
      </c>
      <c r="X57" s="481">
        <f>X34-W34</f>
        <v>32</v>
      </c>
      <c r="Y57" s="481">
        <f t="shared" ref="Y57:AA60" si="78">Y34-X34</f>
        <v>31</v>
      </c>
      <c r="Z57" s="481">
        <f t="shared" si="78"/>
        <v>48</v>
      </c>
      <c r="AA57" s="481">
        <f t="shared" si="78"/>
        <v>115</v>
      </c>
      <c r="AB57" s="725"/>
      <c r="AC57" s="472"/>
      <c r="AD57" s="472"/>
      <c r="AE57" s="472"/>
      <c r="AF57" s="472"/>
      <c r="AG57" s="472"/>
      <c r="AH57" s="472"/>
      <c r="AI57" s="472"/>
      <c r="AJ57" s="472"/>
      <c r="AK57" s="472"/>
      <c r="AL57" s="472"/>
      <c r="AM57" s="472"/>
      <c r="AN57" s="472"/>
      <c r="AO57" s="472"/>
      <c r="AP57" s="472"/>
      <c r="AQ57" s="472"/>
      <c r="AR57" s="472"/>
      <c r="AS57" s="472"/>
      <c r="AT57" s="472"/>
      <c r="AU57" s="472"/>
      <c r="AV57" s="472"/>
      <c r="AW57" s="472"/>
      <c r="AX57" s="472"/>
      <c r="AY57" s="161"/>
      <c r="AZ57" s="161"/>
      <c r="BA57" s="161"/>
      <c r="BB57" s="161"/>
      <c r="BC57" s="161"/>
      <c r="BD57" s="161"/>
      <c r="BE57" s="161"/>
      <c r="BF57" s="161"/>
      <c r="BG57" s="161"/>
      <c r="BH57" s="161"/>
      <c r="BI57" s="161"/>
      <c r="BJ57" s="161"/>
      <c r="BK57" s="161"/>
      <c r="BL57" s="161"/>
      <c r="BM57" s="161"/>
      <c r="BN57" s="161"/>
      <c r="BO57" s="161"/>
      <c r="BP57" s="161"/>
      <c r="BQ57" s="161"/>
      <c r="BR57" s="161"/>
      <c r="BS57" s="161"/>
      <c r="BT57" s="161"/>
      <c r="BU57" s="161"/>
      <c r="BV57" s="161"/>
      <c r="BW57" s="161"/>
      <c r="BX57" s="161"/>
      <c r="BY57" s="161"/>
      <c r="BZ57" s="161"/>
    </row>
    <row r="58" spans="1:78">
      <c r="A58" s="161"/>
      <c r="B58" s="390" t="str">
        <f>B35</f>
        <v>MEGA</v>
      </c>
      <c r="C58" s="465"/>
      <c r="D58" s="396">
        <f t="shared" ref="D58:N58" si="79">D35-C35</f>
        <v>83.019000000000233</v>
      </c>
      <c r="E58" s="396">
        <f t="shared" si="79"/>
        <v>184.5949999999998</v>
      </c>
      <c r="F58" s="396">
        <f t="shared" si="79"/>
        <v>96.329000000000178</v>
      </c>
      <c r="G58" s="396">
        <f t="shared" si="79"/>
        <v>79.415999999999713</v>
      </c>
      <c r="H58" s="396">
        <f t="shared" si="79"/>
        <v>58.160000000000309</v>
      </c>
      <c r="I58" s="396">
        <f t="shared" si="79"/>
        <v>105.01199999999972</v>
      </c>
      <c r="J58" s="396">
        <f t="shared" si="79"/>
        <v>80.981000000000222</v>
      </c>
      <c r="K58" s="396">
        <f t="shared" si="79"/>
        <v>59.403999999999996</v>
      </c>
      <c r="L58" s="396">
        <f t="shared" si="79"/>
        <v>19.177999999999884</v>
      </c>
      <c r="M58" s="396">
        <f t="shared" si="79"/>
        <v>100.65700000000015</v>
      </c>
      <c r="N58" s="396">
        <f t="shared" si="79"/>
        <v>124.72799999999961</v>
      </c>
      <c r="O58" s="396">
        <f>O35-N35</f>
        <v>147.30500000000029</v>
      </c>
      <c r="P58" s="396">
        <f t="shared" ref="P58:W59" si="80">P35-O35</f>
        <v>163.3119999999999</v>
      </c>
      <c r="Q58" s="396">
        <f t="shared" si="80"/>
        <v>117.12700000000041</v>
      </c>
      <c r="R58" s="396">
        <f t="shared" si="80"/>
        <v>155.94799999999941</v>
      </c>
      <c r="S58" s="396">
        <f t="shared" si="80"/>
        <v>151.32999999999993</v>
      </c>
      <c r="T58" s="396">
        <f t="shared" si="80"/>
        <v>90.765000000000327</v>
      </c>
      <c r="U58" s="396">
        <f t="shared" si="80"/>
        <v>181.80000000000018</v>
      </c>
      <c r="V58" s="396">
        <f t="shared" si="80"/>
        <v>166.5029999999997</v>
      </c>
      <c r="W58" s="396">
        <f t="shared" si="80"/>
        <v>100.15099999999984</v>
      </c>
      <c r="X58" s="396">
        <f>X35-W35</f>
        <v>132.44500000000062</v>
      </c>
      <c r="Y58" s="396">
        <f t="shared" si="78"/>
        <v>128.54199999999946</v>
      </c>
      <c r="Z58" s="396">
        <f t="shared" si="78"/>
        <v>132.63100000000031</v>
      </c>
      <c r="AA58" s="396">
        <f t="shared" si="78"/>
        <v>101.26299999999992</v>
      </c>
      <c r="AB58" s="725"/>
      <c r="AC58" s="472"/>
      <c r="AD58" s="465"/>
      <c r="AE58" s="465"/>
      <c r="AF58" s="465"/>
      <c r="AG58" s="465"/>
      <c r="AH58" s="465"/>
      <c r="AI58" s="465"/>
      <c r="AJ58" s="465"/>
      <c r="AK58" s="465"/>
      <c r="AL58" s="465"/>
      <c r="AM58" s="465"/>
      <c r="AN58" s="465"/>
      <c r="AO58" s="465"/>
      <c r="AP58" s="465"/>
      <c r="AQ58" s="465"/>
      <c r="AR58" s="465"/>
      <c r="AS58" s="465"/>
      <c r="AT58" s="465"/>
      <c r="AU58" s="465"/>
      <c r="AV58" s="465"/>
      <c r="AW58" s="465"/>
      <c r="AX58" s="465"/>
      <c r="AY58" s="161"/>
      <c r="AZ58" s="161"/>
      <c r="BA58" s="161"/>
      <c r="BB58" s="161"/>
      <c r="BC58" s="161"/>
      <c r="BD58" s="161"/>
      <c r="BE58" s="161"/>
      <c r="BF58" s="161"/>
      <c r="BG58" s="161"/>
      <c r="BH58" s="161"/>
      <c r="BI58" s="161"/>
      <c r="BJ58" s="161"/>
      <c r="BK58" s="161"/>
      <c r="BL58" s="161"/>
      <c r="BM58" s="161"/>
      <c r="BN58" s="161"/>
      <c r="BO58" s="161"/>
      <c r="BP58" s="161"/>
      <c r="BQ58" s="161"/>
      <c r="BR58" s="161"/>
      <c r="BS58" s="161"/>
      <c r="BT58" s="161"/>
      <c r="BU58" s="161"/>
      <c r="BV58" s="161"/>
      <c r="BW58" s="161"/>
      <c r="BX58" s="161"/>
      <c r="BY58" s="161"/>
      <c r="BZ58" s="161"/>
    </row>
    <row r="59" spans="1:78">
      <c r="A59" s="161"/>
      <c r="B59" s="457" t="str">
        <f>B36</f>
        <v>Televisa</v>
      </c>
      <c r="C59" s="472"/>
      <c r="D59" s="481">
        <f t="shared" ref="D59:N59" si="81">D36-C36</f>
        <v>252</v>
      </c>
      <c r="E59" s="481">
        <f t="shared" si="81"/>
        <v>234</v>
      </c>
      <c r="F59" s="481">
        <f t="shared" si="81"/>
        <v>128.80057500770636</v>
      </c>
      <c r="G59" s="481">
        <f t="shared" si="81"/>
        <v>103.19942499229364</v>
      </c>
      <c r="H59" s="481">
        <f t="shared" si="81"/>
        <v>31</v>
      </c>
      <c r="I59" s="481">
        <f t="shared" si="81"/>
        <v>25</v>
      </c>
      <c r="J59" s="481">
        <f t="shared" si="81"/>
        <v>58.101999999999862</v>
      </c>
      <c r="K59" s="481">
        <f t="shared" si="81"/>
        <v>82.923999999999978</v>
      </c>
      <c r="L59" s="481">
        <f t="shared" si="81"/>
        <v>77.564000000000306</v>
      </c>
      <c r="M59" s="481">
        <f t="shared" si="81"/>
        <v>96.233999999999469</v>
      </c>
      <c r="N59" s="481">
        <f t="shared" si="81"/>
        <v>78.176000000000386</v>
      </c>
      <c r="O59" s="481">
        <f>O36-N36</f>
        <v>84.86200000000008</v>
      </c>
      <c r="P59" s="481">
        <f t="shared" si="80"/>
        <v>-37.86200000000008</v>
      </c>
      <c r="Q59" s="481">
        <f t="shared" si="80"/>
        <v>-353.16399999999976</v>
      </c>
      <c r="R59" s="481">
        <f t="shared" si="80"/>
        <v>0.59499999999934516</v>
      </c>
      <c r="S59" s="481">
        <f t="shared" si="80"/>
        <v>10.569000000000415</v>
      </c>
      <c r="T59" s="481">
        <f t="shared" si="80"/>
        <v>11</v>
      </c>
      <c r="U59" s="481">
        <f t="shared" si="80"/>
        <v>11.168999999999869</v>
      </c>
      <c r="V59" s="481">
        <f t="shared" si="80"/>
        <v>-85.168999999999869</v>
      </c>
      <c r="W59" s="481">
        <f t="shared" si="80"/>
        <v>-5.5559999999995853</v>
      </c>
      <c r="X59" s="481">
        <f>X36-W36</f>
        <v>6.3809999999994034</v>
      </c>
      <c r="Y59" s="481">
        <f t="shared" si="78"/>
        <v>21.583000000000538</v>
      </c>
      <c r="Z59" s="481">
        <f t="shared" si="78"/>
        <v>24.591999999999643</v>
      </c>
      <c r="AA59" s="481">
        <f t="shared" si="78"/>
        <v>25</v>
      </c>
      <c r="AB59" s="725"/>
      <c r="AC59" s="472"/>
      <c r="AD59" s="472"/>
      <c r="AE59" s="472"/>
      <c r="AF59" s="472"/>
      <c r="AG59" s="472"/>
      <c r="AH59" s="472"/>
      <c r="AI59" s="472"/>
      <c r="AJ59" s="472"/>
      <c r="AK59" s="472"/>
      <c r="AL59" s="472"/>
      <c r="AM59" s="472"/>
      <c r="AN59" s="472"/>
      <c r="AO59" s="472"/>
      <c r="AP59" s="472"/>
      <c r="AQ59" s="472"/>
      <c r="AR59" s="472"/>
      <c r="AS59" s="472"/>
      <c r="AT59" s="472"/>
      <c r="AU59" s="472"/>
      <c r="AV59" s="472"/>
      <c r="AW59" s="472"/>
      <c r="AX59" s="472"/>
      <c r="AY59" s="161"/>
      <c r="AZ59" s="161"/>
      <c r="BA59" s="161"/>
      <c r="BB59" s="161"/>
      <c r="BC59" s="161"/>
      <c r="BD59" s="161"/>
      <c r="BE59" s="161"/>
      <c r="BF59" s="161"/>
      <c r="BG59" s="161"/>
      <c r="BH59" s="161"/>
      <c r="BI59" s="161"/>
      <c r="BJ59" s="161"/>
      <c r="BK59" s="161"/>
      <c r="BL59" s="161"/>
      <c r="BM59" s="161"/>
      <c r="BN59" s="161"/>
      <c r="BO59" s="161"/>
      <c r="BP59" s="161"/>
      <c r="BQ59" s="161"/>
      <c r="BR59" s="161"/>
      <c r="BS59" s="161"/>
      <c r="BT59" s="161"/>
      <c r="BU59" s="161"/>
      <c r="BV59" s="161"/>
      <c r="BW59" s="161"/>
      <c r="BX59" s="161"/>
      <c r="BY59" s="161"/>
      <c r="BZ59" s="161"/>
    </row>
    <row r="60" spans="1:78">
      <c r="A60" s="161"/>
      <c r="B60" s="918" t="s">
        <v>677</v>
      </c>
      <c r="C60" s="911"/>
      <c r="D60" s="912">
        <f t="shared" ref="D60:K60" si="82">D37-C37</f>
        <v>63</v>
      </c>
      <c r="E60" s="912">
        <f t="shared" si="82"/>
        <v>117</v>
      </c>
      <c r="F60" s="912">
        <f t="shared" si="82"/>
        <v>33</v>
      </c>
      <c r="G60" s="912">
        <f t="shared" si="82"/>
        <v>-19</v>
      </c>
      <c r="H60" s="912">
        <f t="shared" si="82"/>
        <v>-38</v>
      </c>
      <c r="I60" s="912">
        <f t="shared" si="82"/>
        <v>94</v>
      </c>
      <c r="J60" s="912">
        <f t="shared" si="82"/>
        <v>-11</v>
      </c>
      <c r="K60" s="912">
        <f t="shared" si="82"/>
        <v>63</v>
      </c>
      <c r="L60" s="912">
        <f t="shared" ref="L60:W60" si="83">L37-K37</f>
        <v>20</v>
      </c>
      <c r="M60" s="912">
        <f t="shared" si="83"/>
        <v>1</v>
      </c>
      <c r="N60" s="912">
        <f t="shared" si="83"/>
        <v>-96</v>
      </c>
      <c r="O60" s="912">
        <f t="shared" si="83"/>
        <v>139</v>
      </c>
      <c r="P60" s="912">
        <f t="shared" si="83"/>
        <v>140</v>
      </c>
      <c r="Q60" s="912">
        <f t="shared" si="83"/>
        <v>20</v>
      </c>
      <c r="R60" s="912">
        <f t="shared" si="83"/>
        <v>165</v>
      </c>
      <c r="S60" s="912">
        <f t="shared" si="83"/>
        <v>325</v>
      </c>
      <c r="T60" s="912">
        <f t="shared" si="83"/>
        <v>148</v>
      </c>
      <c r="U60" s="912">
        <f t="shared" si="83"/>
        <v>115</v>
      </c>
      <c r="V60" s="912">
        <f t="shared" si="83"/>
        <v>132</v>
      </c>
      <c r="W60" s="912">
        <f t="shared" si="83"/>
        <v>165</v>
      </c>
      <c r="X60" s="912">
        <f>X37-W37</f>
        <v>231</v>
      </c>
      <c r="Y60" s="912">
        <f t="shared" si="78"/>
        <v>211</v>
      </c>
      <c r="Z60" s="912">
        <f t="shared" si="78"/>
        <v>185</v>
      </c>
      <c r="AA60" s="912">
        <f t="shared" si="78"/>
        <v>174</v>
      </c>
      <c r="AB60" s="725"/>
      <c r="AC60" s="472"/>
      <c r="AD60" s="465"/>
      <c r="AE60" s="465"/>
      <c r="AF60" s="465"/>
      <c r="AG60" s="465"/>
      <c r="AH60" s="465"/>
      <c r="AI60" s="465"/>
      <c r="AJ60" s="465"/>
      <c r="AK60" s="465"/>
      <c r="AL60" s="465"/>
      <c r="AM60" s="465"/>
      <c r="AN60" s="465"/>
      <c r="AO60" s="465"/>
      <c r="AP60" s="465"/>
      <c r="AQ60" s="465"/>
      <c r="AR60" s="465"/>
      <c r="AS60" s="465"/>
      <c r="AT60" s="465"/>
      <c r="AU60" s="465"/>
      <c r="AV60" s="465"/>
      <c r="AW60" s="465"/>
      <c r="AX60" s="465"/>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1"/>
      <c r="BV60" s="161"/>
      <c r="BW60" s="161"/>
      <c r="BX60" s="161"/>
      <c r="BY60" s="161"/>
      <c r="BZ60" s="161"/>
    </row>
    <row r="61" spans="1:78">
      <c r="A61" s="161"/>
      <c r="B61" s="724" t="s">
        <v>539</v>
      </c>
      <c r="C61" s="727"/>
      <c r="D61" s="723">
        <f t="shared" ref="D61:N61" si="84">D39-C39</f>
        <v>652.08912666048855</v>
      </c>
      <c r="E61" s="723">
        <f t="shared" si="84"/>
        <v>813.03089743589589</v>
      </c>
      <c r="F61" s="723">
        <f t="shared" si="84"/>
        <v>547.1295750077079</v>
      </c>
      <c r="G61" s="723">
        <f t="shared" si="84"/>
        <v>414.61542499229108</v>
      </c>
      <c r="H61" s="723">
        <f t="shared" si="84"/>
        <v>285.16000000000349</v>
      </c>
      <c r="I61" s="723">
        <f t="shared" si="84"/>
        <v>503.01199999999881</v>
      </c>
      <c r="J61" s="723">
        <f t="shared" si="84"/>
        <v>378.08299999999872</v>
      </c>
      <c r="K61" s="723">
        <f t="shared" si="84"/>
        <v>479.32800000000134</v>
      </c>
      <c r="L61" s="723">
        <f t="shared" si="84"/>
        <v>360.74200000000201</v>
      </c>
      <c r="M61" s="723">
        <f t="shared" si="84"/>
        <v>420.89099999999598</v>
      </c>
      <c r="N61" s="723">
        <f t="shared" si="84"/>
        <v>203.90400000000227</v>
      </c>
      <c r="O61" s="723">
        <f t="shared" ref="O61:W61" si="85">O39-N39</f>
        <v>478.37700000000041</v>
      </c>
      <c r="P61" s="723">
        <f t="shared" si="85"/>
        <v>380.44999999999709</v>
      </c>
      <c r="Q61" s="723">
        <f t="shared" si="85"/>
        <v>-110.24699999999939</v>
      </c>
      <c r="R61" s="723">
        <f t="shared" si="85"/>
        <v>476.54300000000148</v>
      </c>
      <c r="S61" s="723">
        <f t="shared" si="85"/>
        <v>615.19900000000052</v>
      </c>
      <c r="T61" s="723">
        <f t="shared" si="85"/>
        <v>351.46500000000015</v>
      </c>
      <c r="U61" s="723">
        <f t="shared" si="85"/>
        <v>422.96900000000096</v>
      </c>
      <c r="V61" s="723">
        <f t="shared" si="85"/>
        <v>308.33399999999892</v>
      </c>
      <c r="W61" s="723">
        <f t="shared" si="85"/>
        <v>368.59499999999753</v>
      </c>
      <c r="X61" s="723">
        <f>X39-W39</f>
        <v>401.82600000000093</v>
      </c>
      <c r="Y61" s="723">
        <f>Y39-X39</f>
        <v>392.125</v>
      </c>
      <c r="Z61" s="723">
        <f>Z39-Y39</f>
        <v>390.22300000000178</v>
      </c>
      <c r="AA61" s="723">
        <f>AA39-Z39</f>
        <v>415.26299999999901</v>
      </c>
      <c r="AB61" s="723"/>
      <c r="AC61" s="472"/>
      <c r="AD61" s="472"/>
      <c r="AE61" s="472"/>
      <c r="AF61" s="472"/>
      <c r="AG61" s="472"/>
      <c r="AH61" s="472"/>
      <c r="AI61" s="472"/>
      <c r="AJ61" s="472"/>
      <c r="AK61" s="472"/>
      <c r="AL61" s="472"/>
      <c r="AM61" s="472"/>
      <c r="AN61" s="472"/>
      <c r="AO61" s="472"/>
      <c r="AP61" s="472"/>
      <c r="AQ61" s="472"/>
      <c r="AR61" s="472"/>
      <c r="AS61" s="472"/>
      <c r="AT61" s="472"/>
      <c r="AU61" s="472"/>
      <c r="AV61" s="472"/>
      <c r="AW61" s="472"/>
      <c r="AX61" s="472"/>
      <c r="AY61" s="161"/>
      <c r="AZ61" s="161"/>
      <c r="BA61" s="161"/>
      <c r="BB61" s="161"/>
      <c r="BC61" s="161"/>
      <c r="BD61" s="161"/>
      <c r="BE61" s="161"/>
      <c r="BF61" s="161"/>
      <c r="BG61" s="161"/>
      <c r="BH61" s="161"/>
      <c r="BI61" s="161"/>
      <c r="BJ61" s="161"/>
      <c r="BK61" s="161"/>
      <c r="BL61" s="161"/>
      <c r="BM61" s="161"/>
      <c r="BN61" s="161"/>
      <c r="BO61" s="161"/>
      <c r="BP61" s="161"/>
      <c r="BQ61" s="161"/>
      <c r="BR61" s="161"/>
      <c r="BS61" s="161"/>
      <c r="BT61" s="161"/>
      <c r="BU61" s="161"/>
      <c r="BV61" s="161"/>
      <c r="BW61" s="161"/>
      <c r="BX61" s="161"/>
      <c r="BY61" s="161"/>
      <c r="BZ61" s="161"/>
    </row>
    <row r="62" spans="1:78">
      <c r="A62" s="161"/>
      <c r="B62" s="390" t="s">
        <v>701</v>
      </c>
      <c r="C62" s="465"/>
      <c r="D62" s="465"/>
      <c r="E62" s="465"/>
      <c r="F62" s="465"/>
      <c r="G62" s="465"/>
      <c r="H62" s="396"/>
      <c r="I62" s="465"/>
      <c r="J62" s="465"/>
      <c r="K62" s="465"/>
      <c r="L62" s="465"/>
      <c r="M62" s="465"/>
      <c r="N62" s="465"/>
      <c r="O62" s="465"/>
      <c r="P62" s="465"/>
      <c r="Q62" s="465"/>
      <c r="R62" s="465"/>
      <c r="S62" s="465"/>
      <c r="T62" s="465"/>
      <c r="U62" s="465"/>
      <c r="V62" s="465"/>
      <c r="W62" s="465"/>
      <c r="X62" s="465"/>
      <c r="Y62" s="465"/>
      <c r="Z62" s="465"/>
      <c r="AA62" s="465"/>
      <c r="AB62" s="472"/>
      <c r="AC62" s="472"/>
      <c r="AD62" s="465"/>
      <c r="AE62" s="465"/>
      <c r="AF62" s="465"/>
      <c r="AG62" s="465"/>
      <c r="AH62" s="465"/>
      <c r="AI62" s="465"/>
      <c r="AJ62" s="465"/>
      <c r="AK62" s="465"/>
      <c r="AL62" s="465"/>
      <c r="AM62" s="465"/>
      <c r="AN62" s="465"/>
      <c r="AO62" s="465"/>
      <c r="AP62" s="465"/>
      <c r="AQ62" s="465"/>
      <c r="AR62" s="465"/>
      <c r="AS62" s="465"/>
      <c r="AT62" s="465"/>
      <c r="AU62" s="465"/>
      <c r="AV62" s="465"/>
      <c r="AW62" s="465"/>
      <c r="AX62" s="465"/>
      <c r="AY62" s="161"/>
      <c r="AZ62" s="161"/>
      <c r="BA62" s="161"/>
      <c r="BB62" s="161"/>
      <c r="BC62" s="161"/>
      <c r="BD62" s="161"/>
      <c r="BE62" s="161"/>
      <c r="BF62" s="161"/>
      <c r="BG62" s="161"/>
      <c r="BH62" s="161"/>
      <c r="BI62" s="161"/>
      <c r="BJ62" s="161"/>
      <c r="BK62" s="161"/>
      <c r="BL62" s="161"/>
      <c r="BM62" s="161"/>
      <c r="BN62" s="161"/>
      <c r="BO62" s="161"/>
      <c r="BP62" s="161"/>
      <c r="BQ62" s="161"/>
      <c r="BR62" s="161"/>
      <c r="BS62" s="161"/>
      <c r="BT62" s="161"/>
      <c r="BU62" s="161"/>
      <c r="BV62" s="161"/>
      <c r="BW62" s="161"/>
      <c r="BX62" s="161"/>
      <c r="BY62" s="161"/>
      <c r="BZ62" s="161"/>
    </row>
    <row r="63" spans="1:78">
      <c r="A63" s="161"/>
      <c r="C63" s="176"/>
      <c r="D63" s="176"/>
      <c r="E63" s="161"/>
      <c r="F63" s="161"/>
      <c r="G63" s="161"/>
      <c r="H63" s="161"/>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1"/>
      <c r="BV63" s="161"/>
      <c r="BW63" s="161"/>
      <c r="BX63" s="161"/>
      <c r="BY63" s="161"/>
    </row>
    <row r="64" spans="1:78">
      <c r="A64" s="161"/>
      <c r="B64" s="161" t="s">
        <v>3303</v>
      </c>
      <c r="C64" s="161">
        <v>33300</v>
      </c>
      <c r="D64" s="161">
        <v>33300</v>
      </c>
      <c r="E64" s="161">
        <v>33300</v>
      </c>
      <c r="F64" s="161">
        <v>33300</v>
      </c>
      <c r="G64" s="161">
        <v>33800</v>
      </c>
      <c r="H64" s="161">
        <v>33800</v>
      </c>
      <c r="I64" s="161">
        <v>33800</v>
      </c>
      <c r="J64" s="161">
        <v>33800</v>
      </c>
      <c r="K64" s="161">
        <v>34200</v>
      </c>
      <c r="L64" s="161">
        <v>34200</v>
      </c>
      <c r="M64" s="161">
        <v>34200</v>
      </c>
      <c r="N64" s="161">
        <v>34200</v>
      </c>
      <c r="O64" s="161">
        <v>35900</v>
      </c>
      <c r="P64" s="161">
        <v>35900</v>
      </c>
      <c r="Q64" s="161">
        <v>35900</v>
      </c>
      <c r="R64" s="161">
        <v>35900</v>
      </c>
      <c r="S64" s="161">
        <v>36500</v>
      </c>
      <c r="T64" s="161">
        <v>36500</v>
      </c>
      <c r="U64" s="161">
        <v>36500</v>
      </c>
      <c r="V64" s="161">
        <v>36500</v>
      </c>
      <c r="W64" s="161">
        <v>37000</v>
      </c>
      <c r="X64" s="161">
        <v>37000</v>
      </c>
      <c r="Y64" s="161">
        <v>37000</v>
      </c>
      <c r="Z64" s="161">
        <v>37000</v>
      </c>
      <c r="AA64" s="430">
        <v>37000</v>
      </c>
      <c r="AB64" s="161"/>
      <c r="AC64" s="161"/>
      <c r="AD64" s="161"/>
      <c r="AE64" s="161"/>
      <c r="AF64" s="161"/>
      <c r="AG64" s="161"/>
      <c r="AH64" s="161"/>
      <c r="AI64" s="161"/>
      <c r="AJ64" s="161"/>
      <c r="AK64" s="161"/>
      <c r="AL64" s="161"/>
      <c r="AM64" s="161"/>
      <c r="AN64" s="161"/>
      <c r="AO64" s="161"/>
      <c r="AP64" s="161"/>
      <c r="AQ64" s="161"/>
      <c r="AR64" s="161"/>
      <c r="AS64" s="161"/>
      <c r="AT64" s="161"/>
      <c r="AU64" s="161"/>
      <c r="AV64" s="161"/>
      <c r="AW64" s="161"/>
      <c r="AX64" s="161"/>
      <c r="AY64" s="161"/>
      <c r="AZ64" s="161"/>
      <c r="BA64" s="161"/>
      <c r="BB64" s="161"/>
      <c r="BC64" s="161"/>
      <c r="BD64" s="161"/>
      <c r="BE64" s="161"/>
      <c r="BF64" s="161"/>
      <c r="BG64" s="161"/>
      <c r="BH64" s="161"/>
      <c r="BI64" s="161"/>
      <c r="BJ64" s="161"/>
      <c r="BK64" s="161"/>
      <c r="BL64" s="161"/>
      <c r="BM64" s="161"/>
      <c r="BN64" s="161"/>
      <c r="BO64" s="161"/>
      <c r="BP64" s="161"/>
      <c r="BQ64" s="161"/>
      <c r="BR64" s="161"/>
      <c r="BS64" s="161"/>
      <c r="BT64" s="161"/>
      <c r="BU64" s="161"/>
      <c r="BV64" s="161"/>
      <c r="BW64" s="161"/>
      <c r="BX64" s="161"/>
      <c r="BY64" s="161"/>
    </row>
    <row r="65" spans="1:77">
      <c r="A65" s="161"/>
      <c r="B65" s="161"/>
      <c r="C65" s="161"/>
      <c r="D65" s="161"/>
      <c r="E65" s="161"/>
      <c r="F65" s="287">
        <f>F43/F64</f>
        <v>0.61214529613468016</v>
      </c>
      <c r="G65" s="287">
        <f t="shared" ref="G65:AA65" si="86">G43/G64</f>
        <v>0.61224018287928939</v>
      </c>
      <c r="H65" s="287">
        <f t="shared" si="86"/>
        <v>0.61805653391384419</v>
      </c>
      <c r="I65" s="287">
        <f t="shared" si="86"/>
        <v>0.62970953254341278</v>
      </c>
      <c r="J65" s="287">
        <f t="shared" si="86"/>
        <v>0.63814018467646993</v>
      </c>
      <c r="K65" s="287">
        <f t="shared" si="86"/>
        <v>0.64172514619883037</v>
      </c>
      <c r="L65" s="287">
        <f t="shared" si="86"/>
        <v>0.64967773812690632</v>
      </c>
      <c r="M65" s="287">
        <f t="shared" si="86"/>
        <v>0.65927395295870916</v>
      </c>
      <c r="N65" s="287">
        <f t="shared" si="86"/>
        <v>0.66327476724530898</v>
      </c>
      <c r="O65" s="287">
        <f t="shared" si="86"/>
        <v>0.6425670793748639</v>
      </c>
      <c r="P65" s="287">
        <f t="shared" si="86"/>
        <v>0.6508922222273128</v>
      </c>
      <c r="Q65" s="287">
        <f t="shared" si="86"/>
        <v>0.6470699404781457</v>
      </c>
      <c r="R65" s="287">
        <f t="shared" si="86"/>
        <v>0.65789591529990876</v>
      </c>
      <c r="S65" s="287">
        <f t="shared" si="86"/>
        <v>0.66117154106834519</v>
      </c>
      <c r="T65" s="287">
        <f t="shared" si="86"/>
        <v>0.66885825434195623</v>
      </c>
      <c r="U65" s="287">
        <f t="shared" si="86"/>
        <v>0.67833968208257556</v>
      </c>
      <c r="V65" s="287">
        <f t="shared" si="86"/>
        <v>0.68506012590804755</v>
      </c>
      <c r="W65" s="287">
        <f t="shared" si="86"/>
        <v>0.68392694917904773</v>
      </c>
      <c r="X65" s="287">
        <f t="shared" si="86"/>
        <v>0.69289179427144454</v>
      </c>
      <c r="Y65" s="287">
        <f t="shared" si="86"/>
        <v>0.7016591348152228</v>
      </c>
      <c r="Z65" s="287">
        <f t="shared" si="86"/>
        <v>0.71041534556572028</v>
      </c>
      <c r="AA65" s="287">
        <f t="shared" si="86"/>
        <v>0.71980884978442139</v>
      </c>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1"/>
      <c r="BA65" s="161"/>
      <c r="BB65" s="161"/>
      <c r="BC65" s="161"/>
      <c r="BD65" s="161"/>
      <c r="BE65" s="161"/>
      <c r="BF65" s="161"/>
      <c r="BG65" s="161"/>
      <c r="BH65" s="161"/>
      <c r="BI65" s="161"/>
      <c r="BJ65" s="161"/>
      <c r="BK65" s="161"/>
      <c r="BL65" s="161"/>
      <c r="BM65" s="161"/>
      <c r="BN65" s="161"/>
      <c r="BO65" s="161"/>
      <c r="BP65" s="161"/>
      <c r="BQ65" s="161"/>
      <c r="BR65" s="161"/>
      <c r="BS65" s="161"/>
      <c r="BT65" s="161"/>
      <c r="BU65" s="161"/>
      <c r="BV65" s="161"/>
      <c r="BW65" s="161"/>
      <c r="BX65" s="161"/>
      <c r="BY65" s="161"/>
    </row>
    <row r="66" spans="1:77">
      <c r="A66" s="161"/>
      <c r="B66" s="161"/>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1"/>
      <c r="AB66" s="161"/>
      <c r="AC66" s="161"/>
      <c r="AD66" s="161"/>
      <c r="AE66" s="161"/>
      <c r="AF66" s="161"/>
      <c r="AG66" s="161"/>
      <c r="AH66" s="161"/>
      <c r="AI66" s="161"/>
      <c r="AJ66" s="161"/>
      <c r="AK66" s="161"/>
      <c r="AL66" s="161"/>
      <c r="AM66" s="161"/>
      <c r="AN66" s="161"/>
      <c r="AO66" s="161"/>
      <c r="AP66" s="161"/>
      <c r="AQ66" s="161"/>
      <c r="AR66" s="161"/>
      <c r="AS66" s="161"/>
      <c r="AT66" s="161"/>
      <c r="AU66" s="161"/>
      <c r="AV66" s="161"/>
      <c r="AW66" s="161"/>
      <c r="AX66" s="161"/>
      <c r="AY66" s="161"/>
      <c r="AZ66" s="161"/>
      <c r="BA66" s="161"/>
      <c r="BB66" s="161"/>
      <c r="BC66" s="161"/>
      <c r="BD66" s="161"/>
      <c r="BE66" s="161"/>
      <c r="BF66" s="161"/>
      <c r="BG66" s="161"/>
      <c r="BH66" s="161"/>
      <c r="BI66" s="161"/>
      <c r="BJ66" s="161"/>
      <c r="BK66" s="161"/>
      <c r="BL66" s="161"/>
      <c r="BM66" s="161"/>
      <c r="BN66" s="161"/>
      <c r="BO66" s="161"/>
      <c r="BP66" s="161"/>
      <c r="BQ66" s="161"/>
      <c r="BR66" s="161"/>
      <c r="BS66" s="161"/>
      <c r="BT66" s="161"/>
      <c r="BU66" s="161"/>
      <c r="BV66" s="161"/>
      <c r="BW66" s="161"/>
      <c r="BX66" s="161"/>
      <c r="BY66" s="161"/>
    </row>
    <row r="67" spans="1:77">
      <c r="A67" s="161"/>
      <c r="B67" s="161" t="s">
        <v>702</v>
      </c>
      <c r="C67" s="393">
        <f>Quarts!AV72</f>
        <v>5520.0889999999999</v>
      </c>
      <c r="D67" s="393">
        <f>Quarts!AW72</f>
        <v>5460.4750000000004</v>
      </c>
      <c r="E67" s="393">
        <f>Quarts!AX72</f>
        <v>5621.4369999999999</v>
      </c>
      <c r="F67" s="393">
        <f>Quarts!AY72</f>
        <v>5780.8639999999996</v>
      </c>
      <c r="G67" s="393">
        <f>Quarts!AZ72</f>
        <v>5951.9790000000003</v>
      </c>
      <c r="H67" s="393">
        <f>Quarts!BA72</f>
        <v>6063.8</v>
      </c>
      <c r="I67" s="393">
        <f>Quarts!BB72</f>
        <v>6144.9260000000004</v>
      </c>
      <c r="J67" s="393">
        <f>Quarts!BC72</f>
        <v>6473.45</v>
      </c>
      <c r="K67" s="393">
        <f>Quarts!BD72</f>
        <v>6562.4260000000004</v>
      </c>
      <c r="L67" s="393">
        <f>Quarts!BE72</f>
        <v>6681.1859999999997</v>
      </c>
      <c r="M67" s="393">
        <f>Quarts!BF72</f>
        <v>6736.8850000000002</v>
      </c>
      <c r="N67" s="393">
        <f>Quarts!BG72</f>
        <v>7175.058</v>
      </c>
      <c r="O67" s="393">
        <f>Quarts!BH72</f>
        <v>7152.1880000000001</v>
      </c>
      <c r="P67" s="393">
        <f>Quarts!BI72</f>
        <v>7373.6940000000004</v>
      </c>
      <c r="Q67" s="393">
        <f>Quarts!BJ72</f>
        <v>7490.7309999999998</v>
      </c>
      <c r="R67" s="393">
        <f>Quarts!BK72</f>
        <v>7853.9269999999997</v>
      </c>
      <c r="S67" s="393">
        <f>Quarts!BL72</f>
        <v>7984.6030000000001</v>
      </c>
      <c r="T67" s="393">
        <f>Quarts!BM72</f>
        <v>8135.7120000000004</v>
      </c>
      <c r="U67" s="393">
        <f>Quarts!BN72</f>
        <v>8215.8770000000004</v>
      </c>
      <c r="V67" s="393">
        <f>Quarts!BO72</f>
        <v>8504.6560000000009</v>
      </c>
      <c r="W67" s="393">
        <f>Quarts!BP72</f>
        <v>8607.0949999999993</v>
      </c>
      <c r="X67" s="393">
        <f>Quarts!BQ72</f>
        <v>8699.5190000000002</v>
      </c>
      <c r="Y67" s="393">
        <f>Quarts!BR72</f>
        <v>8921.018</v>
      </c>
      <c r="Z67" s="393">
        <f>Quarts!BS72</f>
        <v>9202.0789999999997</v>
      </c>
      <c r="AA67" s="393">
        <f>Quarts!BT72</f>
        <v>9356.7919999999995</v>
      </c>
      <c r="AB67" s="161"/>
      <c r="AC67" s="161"/>
      <c r="AD67" s="161"/>
      <c r="AE67" s="161"/>
      <c r="AF67" s="161"/>
      <c r="AG67" s="161"/>
      <c r="AH67" s="161"/>
      <c r="AI67" s="161"/>
      <c r="AJ67" s="161"/>
      <c r="AK67" s="161"/>
      <c r="AL67" s="161"/>
      <c r="AM67" s="161"/>
      <c r="AN67" s="161"/>
      <c r="AO67" s="161"/>
      <c r="AP67" s="161"/>
      <c r="AQ67" s="161"/>
      <c r="AR67" s="161"/>
      <c r="AS67" s="161"/>
      <c r="AT67" s="161"/>
      <c r="AU67" s="161"/>
      <c r="AV67" s="161"/>
      <c r="AW67" s="161"/>
      <c r="AX67" s="161"/>
      <c r="AY67" s="161"/>
      <c r="AZ67" s="161"/>
      <c r="BA67" s="161"/>
      <c r="BB67" s="161"/>
      <c r="BC67" s="161"/>
      <c r="BD67" s="161"/>
      <c r="BE67" s="161"/>
      <c r="BF67" s="161"/>
      <c r="BG67" s="161"/>
      <c r="BH67" s="161"/>
      <c r="BI67" s="161"/>
      <c r="BJ67" s="161"/>
      <c r="BK67" s="161"/>
      <c r="BL67" s="161"/>
      <c r="BM67" s="161"/>
      <c r="BN67" s="161"/>
      <c r="BO67" s="161"/>
      <c r="BP67" s="161"/>
      <c r="BQ67" s="161"/>
      <c r="BR67" s="161"/>
      <c r="BS67" s="161"/>
      <c r="BT67" s="161"/>
      <c r="BU67" s="161"/>
      <c r="BV67" s="161"/>
      <c r="BW67" s="161"/>
      <c r="BX67" s="161"/>
      <c r="BY67" s="161"/>
    </row>
    <row r="68" spans="1:77">
      <c r="A68" s="161"/>
      <c r="B68" s="161" t="s">
        <v>703</v>
      </c>
      <c r="C68" s="393">
        <v>4402</v>
      </c>
      <c r="D68" s="393">
        <v>4476</v>
      </c>
      <c r="E68" s="393">
        <v>5003</v>
      </c>
      <c r="F68" s="393">
        <v>5675</v>
      </c>
      <c r="G68" s="393">
        <v>6356</v>
      </c>
      <c r="H68" s="393">
        <v>6830</v>
      </c>
      <c r="I68" s="393">
        <v>7270</v>
      </c>
      <c r="J68" s="393">
        <v>7624</v>
      </c>
      <c r="K68" s="393">
        <v>8416</v>
      </c>
      <c r="L68" s="393">
        <v>8897</v>
      </c>
      <c r="M68" s="393">
        <v>9303</v>
      </c>
      <c r="N68" s="393">
        <v>9736</v>
      </c>
      <c r="O68" s="393">
        <v>9826</v>
      </c>
      <c r="P68" s="393">
        <v>9867</v>
      </c>
      <c r="Q68" s="393">
        <v>10136</v>
      </c>
      <c r="R68" s="393">
        <v>10674</v>
      </c>
      <c r="S68" s="393">
        <v>11087</v>
      </c>
      <c r="T68" s="393">
        <v>11150</v>
      </c>
      <c r="U68" s="393">
        <v>11117</v>
      </c>
      <c r="V68" s="393">
        <v>11176</v>
      </c>
      <c r="W68" s="393">
        <v>10843</v>
      </c>
      <c r="X68" s="393">
        <v>11551</v>
      </c>
      <c r="Y68" s="393">
        <v>11301</v>
      </c>
      <c r="Z68" s="393">
        <v>11856</v>
      </c>
      <c r="AA68" s="393">
        <v>11177</v>
      </c>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1"/>
      <c r="BX68" s="161"/>
      <c r="BY68" s="161"/>
    </row>
    <row r="69" spans="1:77">
      <c r="B69" s="161" t="s">
        <v>704</v>
      </c>
      <c r="C69" s="393">
        <v>23228.800000000003</v>
      </c>
      <c r="D69" s="393">
        <v>22331.399999999998</v>
      </c>
      <c r="E69" s="393">
        <v>23942.999999999996</v>
      </c>
      <c r="F69" s="393">
        <v>27635.100000000002</v>
      </c>
      <c r="G69" s="393">
        <v>23828.799999999999</v>
      </c>
      <c r="H69" s="393">
        <v>24752.400000000001</v>
      </c>
      <c r="I69" s="393">
        <v>26127.9</v>
      </c>
      <c r="J69" s="393">
        <v>28811.800000000003</v>
      </c>
      <c r="K69" s="393">
        <v>18609.2</v>
      </c>
      <c r="L69" s="393">
        <v>18533.5</v>
      </c>
      <c r="M69" s="393">
        <v>19251.7</v>
      </c>
      <c r="N69" s="393">
        <v>19132.3</v>
      </c>
      <c r="O69" s="393">
        <v>18519.600000000002</v>
      </c>
      <c r="P69" s="393">
        <v>18520.199999999997</v>
      </c>
      <c r="Q69" s="393">
        <v>18315.7</v>
      </c>
      <c r="R69" s="393">
        <v>18412.399999999998</v>
      </c>
      <c r="S69" s="393">
        <v>15951.400000000001</v>
      </c>
      <c r="T69" s="393">
        <v>15720.3</v>
      </c>
      <c r="U69" s="393">
        <v>15362.8</v>
      </c>
      <c r="V69" s="393">
        <v>15226.4</v>
      </c>
      <c r="W69" s="393">
        <v>14973.6</v>
      </c>
      <c r="X69" s="393">
        <v>14729.4</v>
      </c>
      <c r="Y69" s="393">
        <v>14627</v>
      </c>
      <c r="Z69" s="393">
        <v>14548.2</v>
      </c>
      <c r="AA69" s="393">
        <v>14513</v>
      </c>
    </row>
    <row r="70" spans="1:77">
      <c r="B70" s="161" t="s">
        <v>677</v>
      </c>
      <c r="AD70">
        <v>21.48</v>
      </c>
      <c r="AE70">
        <v>18.149999999999999</v>
      </c>
      <c r="AF70">
        <v>18.97</v>
      </c>
    </row>
    <row r="71" spans="1:77">
      <c r="A71" s="161"/>
      <c r="B71" s="161"/>
      <c r="C71" s="161"/>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D71" s="161">
        <f>AD70/100</f>
        <v>0.21479999999999999</v>
      </c>
      <c r="AE71" s="161">
        <f>AE70/100</f>
        <v>0.18149999999999999</v>
      </c>
      <c r="AF71" s="161">
        <f>AF70/100</f>
        <v>0.18969999999999998</v>
      </c>
      <c r="AG71" s="161"/>
      <c r="AH71" s="161"/>
      <c r="AI71" s="161"/>
      <c r="AJ71" s="161"/>
      <c r="AK71" s="161"/>
      <c r="AL71" s="161"/>
      <c r="AM71" s="161"/>
      <c r="AN71" s="161"/>
      <c r="AO71" s="161"/>
      <c r="AP71" s="161"/>
      <c r="AQ71" s="161"/>
      <c r="AR71" s="161"/>
      <c r="AS71" s="161"/>
      <c r="AT71" s="161"/>
      <c r="AU71" s="161"/>
      <c r="AV71" s="161"/>
      <c r="AW71" s="161"/>
      <c r="AX71" s="161"/>
      <c r="AY71" s="161"/>
      <c r="AZ71" s="161"/>
      <c r="BA71" s="161"/>
      <c r="BB71" s="161"/>
      <c r="BC71" s="161"/>
      <c r="BD71" s="161"/>
      <c r="BE71" s="161"/>
      <c r="BF71" s="161"/>
      <c r="BG71" s="161"/>
      <c r="BH71" s="161"/>
      <c r="BI71" s="161"/>
      <c r="BJ71" s="161"/>
      <c r="BK71" s="161"/>
      <c r="BL71" s="161"/>
      <c r="BM71" s="161"/>
      <c r="BN71" s="161"/>
      <c r="BO71" s="161"/>
      <c r="BP71" s="161"/>
      <c r="BQ71" s="161"/>
      <c r="BR71" s="161"/>
      <c r="BS71" s="161"/>
      <c r="BT71" s="161"/>
      <c r="BU71" s="161"/>
      <c r="BV71" s="161"/>
      <c r="BW71" s="161"/>
      <c r="BX71" s="161"/>
      <c r="BY71" s="161"/>
    </row>
    <row r="72" spans="1:77">
      <c r="A72" s="161"/>
      <c r="B72" s="161" t="s">
        <v>705</v>
      </c>
      <c r="C72" s="393">
        <v>2861.3</v>
      </c>
      <c r="D72" s="393">
        <v>3267.4398499999998</v>
      </c>
      <c r="E72" s="393">
        <v>3703.1065200000003</v>
      </c>
      <c r="F72" s="393">
        <v>4280</v>
      </c>
      <c r="G72" s="393">
        <v>4789</v>
      </c>
      <c r="H72" s="393">
        <v>5258</v>
      </c>
      <c r="I72" s="393">
        <v>5610</v>
      </c>
      <c r="J72" s="393">
        <v>6105</v>
      </c>
      <c r="K72" s="393">
        <v>6900</v>
      </c>
      <c r="L72" s="393">
        <v>7354</v>
      </c>
      <c r="M72" s="393">
        <v>7890</v>
      </c>
      <c r="N72" s="393">
        <v>8398</v>
      </c>
      <c r="O72" s="393">
        <v>8200</v>
      </c>
      <c r="P72" s="393">
        <v>8521</v>
      </c>
      <c r="Q72" s="393">
        <v>8847</v>
      </c>
      <c r="R72" s="393">
        <v>8945</v>
      </c>
      <c r="S72" s="393">
        <v>9100</v>
      </c>
      <c r="T72" s="393">
        <v>9196</v>
      </c>
      <c r="U72" s="393">
        <v>9544</v>
      </c>
      <c r="V72" s="393">
        <v>9655</v>
      </c>
      <c r="W72" s="393">
        <v>9570</v>
      </c>
      <c r="X72" s="393">
        <v>9906</v>
      </c>
      <c r="Y72" s="393">
        <v>9827</v>
      </c>
      <c r="Z72" s="393">
        <v>9967</v>
      </c>
      <c r="AA72" s="393">
        <v>9848</v>
      </c>
      <c r="AD72" s="393">
        <f>Y36/AD71</f>
        <v>26296.126629422721</v>
      </c>
      <c r="AE72" s="393">
        <f>Y35/AE71</f>
        <v>31256.683195592286</v>
      </c>
      <c r="AF72" s="393">
        <f>Y34/AF71</f>
        <v>28418.555614127574</v>
      </c>
      <c r="AG72" s="161"/>
      <c r="AH72" s="161"/>
      <c r="AI72" s="161"/>
      <c r="AJ72" s="161"/>
      <c r="AK72" s="161"/>
      <c r="AL72" s="161"/>
      <c r="AM72" s="161"/>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K72" s="161"/>
      <c r="BL72" s="161"/>
      <c r="BM72" s="161"/>
      <c r="BN72" s="161"/>
      <c r="BO72" s="161"/>
      <c r="BP72" s="161"/>
      <c r="BQ72" s="161"/>
      <c r="BR72" s="161"/>
      <c r="BS72" s="161"/>
      <c r="BT72" s="161"/>
      <c r="BU72" s="161"/>
      <c r="BV72" s="161"/>
      <c r="BW72" s="161"/>
      <c r="BX72" s="161"/>
      <c r="BY72" s="161"/>
    </row>
    <row r="73" spans="1:77">
      <c r="A73" s="161"/>
      <c r="B73" s="161" t="s">
        <v>706</v>
      </c>
      <c r="C73" s="393">
        <v>1643</v>
      </c>
      <c r="D73" s="393">
        <f>3141-C73</f>
        <v>1498</v>
      </c>
      <c r="E73" s="393">
        <v>1779</v>
      </c>
      <c r="F73" s="393">
        <v>2469</v>
      </c>
      <c r="G73" s="393">
        <v>2676</v>
      </c>
      <c r="H73" s="393">
        <f>5633-G73</f>
        <v>2957</v>
      </c>
      <c r="I73" s="393">
        <v>3056</v>
      </c>
      <c r="J73" s="393">
        <v>3345</v>
      </c>
      <c r="K73" s="393">
        <v>3728</v>
      </c>
      <c r="L73" s="393">
        <v>3805</v>
      </c>
      <c r="M73" s="393">
        <v>4055</v>
      </c>
      <c r="N73" s="393">
        <v>4379</v>
      </c>
      <c r="O73" s="393">
        <v>4434</v>
      </c>
      <c r="P73" s="393">
        <v>4377</v>
      </c>
      <c r="Q73" s="393">
        <v>4814</v>
      </c>
      <c r="R73" s="393">
        <v>4736</v>
      </c>
      <c r="S73" s="393">
        <v>4988</v>
      </c>
      <c r="T73" s="393">
        <v>5096</v>
      </c>
      <c r="U73" s="393">
        <v>5390</v>
      </c>
      <c r="V73" s="393">
        <v>5483</v>
      </c>
      <c r="W73" s="393">
        <v>5083</v>
      </c>
      <c r="X73" s="393">
        <v>5399</v>
      </c>
      <c r="Y73" s="393">
        <v>5099</v>
      </c>
      <c r="Z73" s="393">
        <v>5029</v>
      </c>
      <c r="AA73" s="393">
        <v>4849</v>
      </c>
      <c r="AB73" s="161"/>
      <c r="AC73" s="161"/>
      <c r="AD73" s="161"/>
      <c r="AE73" s="161"/>
      <c r="AF73" s="161"/>
      <c r="AG73" s="161"/>
      <c r="AH73" s="161"/>
      <c r="AI73" s="161"/>
      <c r="AJ73" s="161"/>
      <c r="AK73" s="161"/>
      <c r="AL73" s="161"/>
      <c r="AM73" s="161"/>
      <c r="AN73" s="161"/>
      <c r="AO73" s="161"/>
      <c r="AP73" s="161"/>
      <c r="AQ73" s="161"/>
      <c r="AR73" s="161"/>
      <c r="AS73" s="161"/>
      <c r="AT73" s="161"/>
      <c r="AU73" s="161"/>
      <c r="AV73" s="161"/>
      <c r="AW73" s="161"/>
      <c r="AX73" s="161"/>
      <c r="AY73" s="161"/>
      <c r="AZ73" s="161"/>
      <c r="BA73" s="161"/>
      <c r="BB73" s="161"/>
      <c r="BC73" s="161"/>
      <c r="BD73" s="161"/>
      <c r="BE73" s="161"/>
      <c r="BF73" s="161"/>
      <c r="BG73" s="161"/>
      <c r="BH73" s="161"/>
      <c r="BI73" s="161"/>
      <c r="BJ73" s="161"/>
      <c r="BK73" s="161"/>
      <c r="BL73" s="161"/>
      <c r="BM73" s="161"/>
      <c r="BN73" s="161"/>
      <c r="BO73" s="161"/>
      <c r="BP73" s="161"/>
      <c r="BQ73" s="161"/>
      <c r="BR73" s="161"/>
      <c r="BS73" s="161"/>
      <c r="BT73" s="161"/>
      <c r="BU73" s="161"/>
      <c r="BV73" s="161"/>
      <c r="BW73" s="161"/>
      <c r="BX73" s="161"/>
      <c r="BY73" s="161"/>
    </row>
    <row r="74" spans="1:77">
      <c r="A74" s="161"/>
      <c r="B74" s="161"/>
      <c r="C74" s="161"/>
      <c r="D74" s="161"/>
      <c r="E74" s="161"/>
      <c r="F74" s="161"/>
      <c r="G74" s="161"/>
      <c r="H74" s="161"/>
      <c r="I74" s="161"/>
      <c r="J74" s="161"/>
      <c r="K74" s="161"/>
      <c r="L74" s="161"/>
      <c r="M74" s="161"/>
      <c r="N74" s="161"/>
      <c r="O74" s="161"/>
      <c r="P74" s="161"/>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1"/>
      <c r="BM74" s="161"/>
      <c r="BN74" s="161"/>
      <c r="BO74" s="161"/>
      <c r="BP74" s="161"/>
      <c r="BQ74" s="161"/>
      <c r="BR74" s="161"/>
      <c r="BS74" s="161"/>
      <c r="BT74" s="161"/>
      <c r="BU74" s="161"/>
      <c r="BV74" s="161"/>
      <c r="BW74" s="161"/>
      <c r="BX74" s="161"/>
      <c r="BY74" s="161"/>
    </row>
    <row r="75" spans="1:77">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1"/>
      <c r="AM75" s="161"/>
      <c r="AN75" s="161"/>
      <c r="AO75" s="161"/>
      <c r="AP75" s="161"/>
      <c r="AQ75" s="161"/>
      <c r="AR75" s="161"/>
      <c r="AS75" s="161"/>
      <c r="AT75" s="161"/>
      <c r="AU75" s="161"/>
      <c r="AV75" s="161"/>
      <c r="AW75" s="161"/>
      <c r="AX75" s="161"/>
      <c r="AY75" s="161"/>
      <c r="AZ75" s="161"/>
      <c r="BA75" s="161"/>
      <c r="BB75" s="161"/>
      <c r="BC75" s="161"/>
      <c r="BD75" s="161"/>
      <c r="BE75" s="161"/>
      <c r="BF75" s="161"/>
      <c r="BG75" s="161"/>
      <c r="BH75" s="161"/>
      <c r="BI75" s="161"/>
      <c r="BJ75" s="161"/>
      <c r="BK75" s="161"/>
      <c r="BL75" s="161"/>
      <c r="BM75" s="161"/>
      <c r="BN75" s="161"/>
      <c r="BO75" s="161"/>
      <c r="BP75" s="161"/>
      <c r="BQ75" s="161"/>
      <c r="BR75" s="161"/>
      <c r="BS75" s="161"/>
      <c r="BT75" s="161"/>
      <c r="BU75" s="161"/>
      <c r="BV75" s="161"/>
      <c r="BW75" s="161"/>
      <c r="BX75" s="161"/>
      <c r="BY75" s="161"/>
    </row>
    <row r="76" spans="1:77">
      <c r="A76" s="161"/>
      <c r="B76" s="161" t="s">
        <v>707</v>
      </c>
      <c r="C76" s="161"/>
      <c r="D76" s="161"/>
      <c r="E76" s="161"/>
      <c r="F76" s="161"/>
      <c r="G76" s="263">
        <f>Quarts!AZ49</f>
        <v>411.4</v>
      </c>
      <c r="H76" s="263">
        <f>Quarts!BA49</f>
        <v>412.8</v>
      </c>
      <c r="I76" s="263">
        <f>Quarts!BB49</f>
        <v>411.5</v>
      </c>
      <c r="J76" s="263">
        <f>Quarts!BC49</f>
        <v>422.6</v>
      </c>
      <c r="K76" s="263">
        <f>Quarts!BD49</f>
        <v>422.4</v>
      </c>
      <c r="L76" s="263">
        <f>Quarts!BE49</f>
        <v>427.3</v>
      </c>
      <c r="M76" s="263">
        <f>Quarts!BF49</f>
        <v>415.4</v>
      </c>
      <c r="N76" s="263">
        <f>Quarts!BG49</f>
        <v>419.5</v>
      </c>
      <c r="O76" s="263">
        <f>Quarts!BH49</f>
        <v>420.4</v>
      </c>
      <c r="P76" s="263">
        <f>Quarts!BI49</f>
        <v>420.8</v>
      </c>
      <c r="Q76" s="263">
        <f>Quarts!BJ49</f>
        <v>418.7</v>
      </c>
      <c r="R76" s="263">
        <f>Quarts!BK49</f>
        <v>426.3</v>
      </c>
      <c r="S76" s="263">
        <f>Quarts!BL49</f>
        <v>421.7</v>
      </c>
      <c r="T76" s="263">
        <f>Quarts!BM49</f>
        <v>421.9</v>
      </c>
      <c r="U76" s="263">
        <f>Quarts!BN49</f>
        <v>418.9</v>
      </c>
      <c r="V76" s="263">
        <f>Quarts!BO49</f>
        <v>421.6</v>
      </c>
      <c r="W76" s="263">
        <f>Quarts!BP49</f>
        <v>417.5</v>
      </c>
      <c r="X76" s="263">
        <f>Quarts!BQ49</f>
        <v>421</v>
      </c>
      <c r="Y76" s="263">
        <f>Quarts!BR49</f>
        <v>422.3</v>
      </c>
      <c r="Z76" s="263">
        <f>Quarts!BS49</f>
        <v>422.84989737742308</v>
      </c>
      <c r="AA76" s="263">
        <f>Quarts!BT49</f>
        <v>424.72485002307343</v>
      </c>
      <c r="AB76" s="263"/>
      <c r="AC76" s="161"/>
      <c r="AD76" s="161"/>
      <c r="AE76" s="161"/>
      <c r="AF76" s="161"/>
      <c r="AG76" s="161"/>
      <c r="AH76" s="161"/>
      <c r="AI76" s="161"/>
      <c r="AJ76" s="161"/>
      <c r="AK76" s="161"/>
      <c r="AL76" s="161"/>
      <c r="AM76" s="161"/>
      <c r="AN76" s="161"/>
      <c r="AO76" s="161"/>
      <c r="AP76" s="161"/>
      <c r="AQ76" s="161"/>
      <c r="AR76" s="161"/>
      <c r="AS76" s="161"/>
      <c r="AT76" s="161"/>
      <c r="AU76" s="161"/>
      <c r="AV76" s="161"/>
      <c r="AW76" s="161"/>
      <c r="AX76" s="161"/>
      <c r="AY76" s="161"/>
      <c r="AZ76" s="161"/>
      <c r="BA76" s="161"/>
      <c r="BB76" s="161"/>
      <c r="BC76" s="161"/>
      <c r="BD76" s="161"/>
      <c r="BE76" s="161"/>
      <c r="BF76" s="161"/>
      <c r="BG76" s="161"/>
      <c r="BH76" s="161"/>
      <c r="BI76" s="161"/>
      <c r="BJ76" s="161"/>
      <c r="BK76" s="161"/>
      <c r="BL76" s="161"/>
      <c r="BM76" s="161"/>
      <c r="BN76" s="161"/>
      <c r="BO76" s="161"/>
      <c r="BP76" s="161"/>
      <c r="BQ76" s="161"/>
      <c r="BR76" s="161"/>
      <c r="BS76" s="161"/>
      <c r="BT76" s="161"/>
      <c r="BU76" s="161"/>
      <c r="BV76" s="161"/>
      <c r="BW76" s="161"/>
      <c r="BX76" s="161"/>
      <c r="BY76" s="161"/>
    </row>
    <row r="77" spans="1:77">
      <c r="A77" s="161"/>
      <c r="B77" s="161" t="s">
        <v>708</v>
      </c>
      <c r="C77" s="161"/>
      <c r="D77" s="161"/>
      <c r="E77" s="161"/>
      <c r="F77" s="161"/>
      <c r="G77" s="161"/>
      <c r="H77" s="161"/>
      <c r="I77" s="161"/>
      <c r="J77" s="161"/>
      <c r="K77" s="161">
        <v>614</v>
      </c>
      <c r="L77" s="161">
        <v>617</v>
      </c>
      <c r="M77" s="161">
        <v>617</v>
      </c>
      <c r="N77" s="161">
        <v>617</v>
      </c>
      <c r="O77" s="161">
        <v>617</v>
      </c>
      <c r="P77" s="161">
        <v>615</v>
      </c>
      <c r="Q77" s="161">
        <v>630</v>
      </c>
      <c r="R77" s="161">
        <v>616</v>
      </c>
      <c r="S77" s="161">
        <v>617</v>
      </c>
      <c r="T77" s="161">
        <v>612</v>
      </c>
      <c r="U77" s="161">
        <v>617</v>
      </c>
      <c r="V77" s="161">
        <v>607</v>
      </c>
      <c r="W77" s="161">
        <v>597</v>
      </c>
      <c r="X77" s="161">
        <v>607</v>
      </c>
      <c r="Y77" s="161">
        <v>598</v>
      </c>
      <c r="Z77" s="161">
        <v>595</v>
      </c>
      <c r="AA77" s="161">
        <v>588</v>
      </c>
      <c r="AB77" s="161"/>
      <c r="AC77" s="161"/>
      <c r="AD77" s="161"/>
      <c r="AE77" s="161"/>
      <c r="AF77" s="161"/>
      <c r="AG77" s="161"/>
      <c r="AH77" s="161"/>
      <c r="AI77" s="161"/>
      <c r="AJ77" s="161"/>
      <c r="AK77" s="161"/>
      <c r="AL77" s="161"/>
      <c r="AM77" s="161"/>
      <c r="AN77" s="161"/>
      <c r="AO77" s="161"/>
      <c r="AP77" s="161"/>
      <c r="AQ77" s="161"/>
      <c r="AR77" s="161"/>
      <c r="AS77" s="161"/>
      <c r="AT77" s="161"/>
      <c r="AU77" s="161"/>
      <c r="AV77" s="161"/>
      <c r="AW77" s="161"/>
      <c r="AX77" s="161"/>
      <c r="AY77" s="161"/>
      <c r="AZ77" s="161"/>
      <c r="BA77" s="161"/>
      <c r="BB77" s="161"/>
      <c r="BC77" s="161"/>
      <c r="BD77" s="161"/>
      <c r="BE77" s="161"/>
      <c r="BF77" s="161"/>
      <c r="BG77" s="161"/>
      <c r="BH77" s="161"/>
      <c r="BI77" s="161"/>
      <c r="BJ77" s="161"/>
      <c r="BK77" s="161"/>
      <c r="BL77" s="161"/>
      <c r="BM77" s="161"/>
      <c r="BN77" s="161"/>
      <c r="BO77" s="161"/>
      <c r="BP77" s="161"/>
      <c r="BQ77" s="161"/>
      <c r="BR77" s="161"/>
      <c r="BS77" s="161"/>
      <c r="BT77" s="161"/>
      <c r="BU77" s="161"/>
      <c r="BV77" s="161"/>
      <c r="BW77" s="161"/>
      <c r="BX77" s="161"/>
      <c r="BY77" s="161"/>
    </row>
    <row r="78" spans="1:77">
      <c r="A78" s="161"/>
      <c r="B78" s="161" t="s">
        <v>709</v>
      </c>
      <c r="C78" s="161"/>
      <c r="D78" s="161"/>
      <c r="E78" s="161"/>
      <c r="F78" s="161"/>
      <c r="G78" s="263">
        <v>598.28104580714262</v>
      </c>
      <c r="H78" s="263">
        <v>605.09473959310617</v>
      </c>
      <c r="I78" s="263">
        <v>622.84311453910561</v>
      </c>
      <c r="J78" s="263">
        <v>634.37570023920307</v>
      </c>
      <c r="K78" s="263">
        <v>613.96367689658177</v>
      </c>
      <c r="L78" s="263">
        <v>611.23370262856326</v>
      </c>
      <c r="M78" s="263">
        <v>604.7332810289497</v>
      </c>
      <c r="N78" s="263">
        <v>600.25983589444502</v>
      </c>
      <c r="O78" s="263">
        <v>596.53180284960661</v>
      </c>
      <c r="P78" s="263">
        <v>602.78839088537995</v>
      </c>
      <c r="Q78" s="263">
        <v>609</v>
      </c>
      <c r="R78" s="263">
        <v>619.22969995028404</v>
      </c>
      <c r="S78" s="263">
        <v>602.44441521382305</v>
      </c>
      <c r="T78" s="263">
        <v>601.00121106599295</v>
      </c>
      <c r="U78" s="263">
        <v>586.35430362358136</v>
      </c>
      <c r="V78" s="263">
        <v>586.46165364103615</v>
      </c>
      <c r="W78" s="263">
        <v>580.5032832609968</v>
      </c>
      <c r="X78" s="263">
        <v>577.91574209427324</v>
      </c>
      <c r="Y78" s="263">
        <v>577.46255958106769</v>
      </c>
      <c r="Z78" s="263">
        <v>572</v>
      </c>
      <c r="AA78" s="263">
        <v>568</v>
      </c>
      <c r="AB78" s="263"/>
      <c r="AC78" s="161"/>
      <c r="AD78" s="161"/>
      <c r="AE78" s="161"/>
      <c r="AF78" s="161"/>
      <c r="AG78" s="161"/>
      <c r="AH78" s="161"/>
      <c r="AI78" s="161"/>
      <c r="AJ78" s="161"/>
      <c r="AK78" s="161"/>
      <c r="AL78" s="161"/>
      <c r="AM78" s="161"/>
      <c r="AN78" s="161"/>
      <c r="AO78" s="161"/>
      <c r="AP78" s="161"/>
      <c r="AQ78" s="161"/>
      <c r="AR78" s="161"/>
      <c r="AS78" s="161"/>
      <c r="AT78" s="161"/>
      <c r="AU78" s="161"/>
      <c r="AV78" s="161"/>
      <c r="AW78" s="161"/>
      <c r="AX78" s="161"/>
      <c r="AY78" s="161"/>
      <c r="AZ78" s="161"/>
      <c r="BA78" s="161"/>
      <c r="BB78" s="161"/>
      <c r="BC78" s="161"/>
      <c r="BD78" s="161"/>
      <c r="BE78" s="161"/>
      <c r="BF78" s="161"/>
      <c r="BG78" s="161"/>
      <c r="BH78" s="161"/>
      <c r="BI78" s="161"/>
      <c r="BJ78" s="161"/>
      <c r="BK78" s="161"/>
      <c r="BL78" s="161"/>
      <c r="BM78" s="161"/>
      <c r="BN78" s="161"/>
      <c r="BO78" s="161"/>
      <c r="BP78" s="161"/>
      <c r="BQ78" s="161"/>
      <c r="BR78" s="161"/>
      <c r="BS78" s="161"/>
      <c r="BT78" s="161"/>
      <c r="BU78" s="161"/>
      <c r="BV78" s="161"/>
      <c r="BW78" s="161"/>
      <c r="BX78" s="161"/>
      <c r="BY78" s="161"/>
    </row>
    <row r="79" spans="1:77">
      <c r="A79" s="161"/>
      <c r="B79" s="161"/>
      <c r="C79" s="161"/>
      <c r="D79" s="161"/>
      <c r="E79" s="161"/>
      <c r="F79" s="161"/>
      <c r="G79" s="263"/>
      <c r="H79" s="263"/>
      <c r="I79" s="263"/>
      <c r="J79" s="263"/>
      <c r="K79" s="263"/>
      <c r="L79" s="263"/>
      <c r="M79" s="263"/>
      <c r="N79" s="263"/>
      <c r="O79" s="263"/>
      <c r="P79" s="263"/>
      <c r="Q79" s="263"/>
      <c r="R79" s="263"/>
      <c r="S79" s="263"/>
      <c r="T79" s="263"/>
      <c r="U79" s="263"/>
      <c r="V79" s="263"/>
      <c r="W79" s="263"/>
      <c r="X79" s="263"/>
      <c r="Y79" s="263"/>
      <c r="Z79" s="263"/>
      <c r="AA79" s="263"/>
      <c r="AB79" s="263"/>
      <c r="AC79" s="161"/>
      <c r="AD79" s="161"/>
      <c r="AE79" s="161"/>
      <c r="AF79" s="161"/>
      <c r="AG79" s="161"/>
      <c r="AH79" s="161"/>
      <c r="AI79" s="161"/>
      <c r="AJ79" s="161"/>
      <c r="AK79" s="161"/>
      <c r="AL79" s="161"/>
      <c r="AM79" s="161"/>
      <c r="AN79" s="161"/>
      <c r="AO79" s="161"/>
      <c r="AP79" s="161"/>
      <c r="AQ79" s="161"/>
      <c r="AR79" s="161"/>
      <c r="AS79" s="161"/>
      <c r="AT79" s="161"/>
      <c r="AU79" s="161"/>
      <c r="AV79" s="161"/>
      <c r="AW79" s="161"/>
      <c r="AX79" s="161"/>
      <c r="AY79" s="161"/>
      <c r="AZ79" s="161"/>
      <c r="BA79" s="161"/>
      <c r="BB79" s="161"/>
      <c r="BC79" s="161"/>
      <c r="BD79" s="161"/>
      <c r="BE79" s="161"/>
      <c r="BF79" s="161"/>
      <c r="BG79" s="161"/>
      <c r="BH79" s="161"/>
      <c r="BI79" s="161"/>
      <c r="BJ79" s="161"/>
      <c r="BK79" s="161"/>
      <c r="BL79" s="161"/>
      <c r="BM79" s="161"/>
      <c r="BN79" s="161"/>
      <c r="BO79" s="161"/>
      <c r="BP79" s="161"/>
      <c r="BQ79" s="161"/>
      <c r="BR79" s="161"/>
      <c r="BS79" s="161"/>
      <c r="BT79" s="161"/>
      <c r="BU79" s="161"/>
      <c r="BV79" s="161"/>
      <c r="BW79" s="161"/>
      <c r="BX79" s="161"/>
      <c r="BY79" s="161"/>
    </row>
    <row r="80" spans="1:77">
      <c r="A80" s="161"/>
      <c r="B80" s="161"/>
      <c r="C80" s="161"/>
      <c r="D80" s="161"/>
      <c r="E80" s="161"/>
      <c r="F80" s="161"/>
      <c r="G80" s="161"/>
      <c r="H80" s="161"/>
      <c r="I80" s="161"/>
      <c r="J80" s="161"/>
      <c r="K80" s="264"/>
      <c r="L80" s="264"/>
      <c r="M80" s="264"/>
      <c r="N80" s="264"/>
      <c r="O80" s="264"/>
      <c r="P80" s="264"/>
      <c r="Q80" s="161"/>
      <c r="R80" s="161"/>
      <c r="S80" s="161"/>
      <c r="T80" s="161"/>
      <c r="U80" s="161"/>
      <c r="V80" s="161"/>
      <c r="W80" s="161"/>
      <c r="X80" s="161"/>
      <c r="Y80" s="161"/>
      <c r="Z80" s="161"/>
      <c r="AA80" s="161"/>
      <c r="AB80" s="161"/>
      <c r="AC80" s="161"/>
      <c r="AD80" s="161"/>
      <c r="AE80" s="161"/>
      <c r="AF80" s="161"/>
      <c r="AG80" s="161"/>
      <c r="AH80" s="161"/>
      <c r="AI80" s="161"/>
      <c r="AJ80" s="161"/>
      <c r="AK80" s="161"/>
      <c r="AL80" s="161"/>
      <c r="AM80" s="161"/>
      <c r="AN80" s="161"/>
      <c r="AO80" s="161"/>
      <c r="AP80" s="161"/>
      <c r="AQ80" s="161"/>
      <c r="AR80" s="161"/>
      <c r="AS80" s="161"/>
      <c r="AT80" s="161"/>
      <c r="AU80" s="161"/>
      <c r="AV80" s="161"/>
      <c r="AW80" s="161"/>
      <c r="AX80" s="161"/>
      <c r="AY80" s="161"/>
      <c r="AZ80" s="161"/>
      <c r="BA80" s="161"/>
      <c r="BB80" s="161"/>
      <c r="BC80" s="161"/>
      <c r="BD80" s="161"/>
      <c r="BE80" s="161"/>
      <c r="BF80" s="161"/>
      <c r="BG80" s="161"/>
      <c r="BH80" s="161"/>
      <c r="BI80" s="161"/>
      <c r="BJ80" s="161"/>
      <c r="BK80" s="161"/>
      <c r="BL80" s="161"/>
      <c r="BM80" s="161"/>
      <c r="BN80" s="161"/>
      <c r="BO80" s="161"/>
      <c r="BP80" s="161"/>
      <c r="BQ80" s="161"/>
      <c r="BR80" s="161"/>
      <c r="BS80" s="161"/>
      <c r="BT80" s="161"/>
      <c r="BU80" s="161"/>
      <c r="BV80" s="161"/>
      <c r="BW80" s="161"/>
      <c r="BX80" s="161"/>
    </row>
    <row r="81" spans="1:76">
      <c r="A81" s="161"/>
      <c r="B81" s="161" t="s">
        <v>709</v>
      </c>
      <c r="C81" s="161"/>
      <c r="D81" s="161"/>
      <c r="E81" s="161"/>
      <c r="F81" s="161"/>
      <c r="G81" s="263">
        <v>550.54398575735149</v>
      </c>
      <c r="H81" s="263">
        <v>554.56000017917211</v>
      </c>
      <c r="I81" s="263">
        <v>565.8586321351795</v>
      </c>
      <c r="J81" s="263">
        <v>572.69338734214205</v>
      </c>
      <c r="K81" s="263">
        <v>549.93947782364114</v>
      </c>
      <c r="L81" s="263">
        <v>539.28052259103561</v>
      </c>
      <c r="M81" s="263">
        <v>542.40288904011902</v>
      </c>
      <c r="N81" s="263">
        <v>536.06388706687198</v>
      </c>
      <c r="O81" s="263">
        <v>525.1729026982722</v>
      </c>
      <c r="P81" s="161"/>
      <c r="Q81" s="161"/>
      <c r="R81" s="161"/>
      <c r="S81" s="161"/>
      <c r="T81" s="161"/>
      <c r="U81" s="161"/>
      <c r="V81" s="161"/>
      <c r="W81" s="161"/>
      <c r="X81" s="161"/>
      <c r="Y81" s="161"/>
      <c r="Z81" s="161"/>
      <c r="AA81" s="161"/>
      <c r="AB81" s="161"/>
      <c r="AC81" s="161"/>
      <c r="AD81" s="161"/>
      <c r="AE81" s="161"/>
      <c r="AF81" s="161"/>
      <c r="AG81" s="161"/>
      <c r="AH81" s="161"/>
      <c r="AI81" s="161"/>
      <c r="AJ81" s="161"/>
      <c r="AK81" s="161"/>
      <c r="AL81" s="161"/>
      <c r="AM81" s="161"/>
      <c r="AN81" s="161"/>
      <c r="AO81" s="161"/>
      <c r="AP81" s="161"/>
      <c r="AQ81" s="161"/>
      <c r="AR81" s="161"/>
      <c r="AS81" s="161"/>
      <c r="AT81" s="161"/>
      <c r="AU81" s="161"/>
      <c r="AV81" s="161"/>
      <c r="AW81" s="161"/>
      <c r="AX81" s="161"/>
      <c r="AY81" s="161"/>
      <c r="AZ81" s="161"/>
      <c r="BA81" s="161"/>
      <c r="BB81" s="161"/>
      <c r="BC81" s="161"/>
      <c r="BD81" s="161"/>
      <c r="BE81" s="161"/>
      <c r="BF81" s="161"/>
      <c r="BG81" s="161"/>
      <c r="BH81" s="161"/>
      <c r="BI81" s="161"/>
      <c r="BJ81" s="161"/>
      <c r="BK81" s="161"/>
      <c r="BL81" s="161"/>
      <c r="BM81" s="161"/>
      <c r="BN81" s="161"/>
      <c r="BO81" s="161"/>
      <c r="BP81" s="161"/>
      <c r="BQ81" s="161"/>
      <c r="BR81" s="161"/>
      <c r="BS81" s="161"/>
      <c r="BT81" s="161"/>
      <c r="BU81" s="161"/>
      <c r="BV81" s="161"/>
      <c r="BW81" s="161"/>
      <c r="BX81" s="161"/>
    </row>
    <row r="82" spans="1:76">
      <c r="A82" s="161"/>
      <c r="B82" s="161"/>
      <c r="C82" s="161"/>
      <c r="D82" s="161"/>
      <c r="E82" s="161"/>
      <c r="F82" s="161"/>
      <c r="G82" s="161"/>
      <c r="H82" s="161"/>
      <c r="I82" s="161"/>
      <c r="J82" s="161"/>
      <c r="K82" s="161"/>
      <c r="L82" s="161"/>
      <c r="M82" s="161"/>
      <c r="N82" s="161"/>
      <c r="O82" s="161"/>
      <c r="P82" s="161"/>
      <c r="Q82" s="161"/>
      <c r="R82" s="161"/>
      <c r="S82" s="161"/>
      <c r="T82" s="161"/>
      <c r="U82" s="161"/>
      <c r="V82" s="161"/>
      <c r="W82" s="161"/>
      <c r="X82" s="161"/>
      <c r="Y82" s="161"/>
      <c r="Z82" s="161"/>
      <c r="AA82" s="161"/>
      <c r="AB82" s="161"/>
      <c r="AC82" s="161"/>
      <c r="AD82" s="161"/>
      <c r="AE82" s="161"/>
      <c r="AF82" s="161"/>
      <c r="AG82" s="161"/>
      <c r="AH82" s="161"/>
      <c r="AI82" s="161"/>
      <c r="AJ82" s="161"/>
      <c r="AK82" s="161"/>
      <c r="AL82" s="161"/>
      <c r="AM82" s="161"/>
      <c r="AN82" s="161"/>
      <c r="AO82" s="161"/>
      <c r="AP82" s="161"/>
      <c r="AQ82" s="161"/>
      <c r="AR82" s="161"/>
      <c r="AS82" s="161"/>
      <c r="AT82" s="161"/>
      <c r="AU82" s="161"/>
      <c r="AV82" s="161"/>
      <c r="AW82" s="161"/>
      <c r="AX82" s="161"/>
      <c r="AY82" s="161"/>
      <c r="AZ82" s="161"/>
      <c r="BA82" s="161"/>
      <c r="BB82" s="161"/>
      <c r="BC82" s="161"/>
      <c r="BD82" s="161"/>
      <c r="BE82" s="161"/>
      <c r="BF82" s="161"/>
      <c r="BG82" s="161"/>
      <c r="BH82" s="161"/>
      <c r="BI82" s="161"/>
      <c r="BJ82" s="161"/>
      <c r="BK82" s="161"/>
      <c r="BL82" s="161"/>
      <c r="BM82" s="161"/>
      <c r="BN82" s="161"/>
      <c r="BO82" s="161"/>
      <c r="BP82" s="161"/>
      <c r="BQ82" s="161"/>
      <c r="BR82" s="161"/>
      <c r="BS82" s="161"/>
      <c r="BT82" s="161"/>
      <c r="BU82" s="161"/>
      <c r="BV82" s="161"/>
      <c r="BW82" s="161"/>
      <c r="BX82" s="161"/>
    </row>
    <row r="83" spans="1:76">
      <c r="A83" s="161"/>
      <c r="B83" s="161"/>
      <c r="C83" s="161"/>
      <c r="D83" s="161"/>
      <c r="E83" s="161"/>
      <c r="F83" s="161"/>
      <c r="G83" s="161"/>
      <c r="H83" s="161"/>
      <c r="I83" s="161"/>
      <c r="J83" s="161"/>
      <c r="K83" s="161"/>
      <c r="L83" s="161"/>
      <c r="M83" s="161"/>
      <c r="N83" s="161"/>
      <c r="O83" s="161"/>
      <c r="P83" s="161"/>
      <c r="Q83" s="161"/>
      <c r="R83" s="161"/>
      <c r="S83" s="161"/>
      <c r="T83" s="161"/>
      <c r="U83" s="161"/>
      <c r="V83" s="161"/>
      <c r="W83" s="161"/>
      <c r="X83" s="161"/>
      <c r="Y83" s="161"/>
      <c r="Z83" s="161"/>
      <c r="AA83" s="161"/>
      <c r="AB83" s="161"/>
      <c r="AC83" s="161"/>
      <c r="AD83" s="161"/>
      <c r="AE83" s="161"/>
      <c r="AF83" s="161"/>
      <c r="AG83" s="161"/>
      <c r="AH83" s="161"/>
      <c r="AI83" s="161"/>
      <c r="AJ83" s="161"/>
      <c r="AK83" s="161"/>
      <c r="AL83" s="161"/>
      <c r="AM83" s="161"/>
      <c r="AN83" s="161"/>
      <c r="AO83" s="161"/>
      <c r="AP83" s="161"/>
      <c r="AQ83" s="161"/>
      <c r="AR83" s="161"/>
      <c r="AS83" s="161"/>
      <c r="AT83" s="161"/>
      <c r="AU83" s="161"/>
      <c r="AV83" s="161"/>
      <c r="AW83" s="161"/>
      <c r="AX83" s="161"/>
      <c r="AY83" s="161"/>
      <c r="AZ83" s="161"/>
      <c r="BA83" s="161"/>
      <c r="BB83" s="161"/>
      <c r="BC83" s="161"/>
      <c r="BD83" s="161"/>
      <c r="BE83" s="161"/>
      <c r="BF83" s="161"/>
      <c r="BG83" s="161"/>
      <c r="BH83" s="161"/>
      <c r="BI83" s="161"/>
      <c r="BJ83" s="161"/>
      <c r="BK83" s="161"/>
      <c r="BL83" s="161"/>
      <c r="BM83" s="161"/>
      <c r="BN83" s="161"/>
      <c r="BO83" s="161"/>
      <c r="BP83" s="161"/>
      <c r="BQ83" s="161"/>
      <c r="BR83" s="161"/>
      <c r="BS83" s="161"/>
      <c r="BT83" s="161"/>
      <c r="BU83" s="161"/>
      <c r="BV83" s="161"/>
      <c r="BW83" s="161"/>
      <c r="BX83" s="161"/>
    </row>
    <row r="84" spans="1:76">
      <c r="A84" s="161"/>
      <c r="B84" s="161" t="s">
        <v>710</v>
      </c>
      <c r="C84" s="161"/>
      <c r="D84" s="161"/>
      <c r="E84" s="161"/>
      <c r="F84" s="161"/>
      <c r="G84" s="161"/>
      <c r="H84" s="161"/>
      <c r="I84" s="161"/>
      <c r="J84" s="161"/>
      <c r="K84" s="161"/>
      <c r="L84" s="161"/>
      <c r="M84" s="161"/>
      <c r="N84" s="161"/>
      <c r="O84" s="161"/>
      <c r="P84" s="161"/>
      <c r="Q84" s="161"/>
      <c r="R84" s="161"/>
      <c r="S84" s="161"/>
      <c r="T84" s="307">
        <f t="shared" ref="T84:AA84" si="87">T22-S22</f>
        <v>21.854999999999563</v>
      </c>
      <c r="U84" s="307">
        <f t="shared" si="87"/>
        <v>-1.294000000001688</v>
      </c>
      <c r="V84" s="307">
        <f t="shared" si="87"/>
        <v>10.294000000001688</v>
      </c>
      <c r="W84" s="307">
        <f t="shared" si="87"/>
        <v>26</v>
      </c>
      <c r="X84" s="307">
        <f t="shared" si="87"/>
        <v>1.5540000000000873</v>
      </c>
      <c r="Y84" s="307">
        <f t="shared" si="87"/>
        <v>2.6180000000022119</v>
      </c>
      <c r="Z84" s="307">
        <f t="shared" si="87"/>
        <v>1870.8279999999977</v>
      </c>
      <c r="AA84" s="307">
        <f t="shared" si="87"/>
        <v>0</v>
      </c>
      <c r="AB84" s="161"/>
      <c r="AC84" s="161"/>
      <c r="AD84" s="161"/>
      <c r="AE84" s="161"/>
      <c r="AF84" s="161"/>
      <c r="AG84" s="161"/>
      <c r="AH84" s="161"/>
      <c r="AI84" s="161"/>
      <c r="AJ84" s="161"/>
      <c r="AK84" s="161"/>
      <c r="AL84" s="161"/>
      <c r="AM84" s="161"/>
      <c r="AN84" s="161"/>
      <c r="AO84" s="161"/>
      <c r="AP84" s="161"/>
      <c r="AQ84" s="161"/>
      <c r="AR84" s="161"/>
      <c r="AS84" s="161"/>
      <c r="AT84" s="161"/>
      <c r="AU84" s="161"/>
      <c r="AV84" s="161"/>
      <c r="AW84" s="161"/>
      <c r="AX84" s="161"/>
      <c r="AY84" s="161"/>
      <c r="AZ84" s="161"/>
      <c r="BA84" s="161"/>
      <c r="BB84" s="161"/>
      <c r="BC84" s="161"/>
      <c r="BD84" s="161"/>
      <c r="BE84" s="161"/>
      <c r="BF84" s="161"/>
      <c r="BG84" s="161"/>
      <c r="BH84" s="161"/>
      <c r="BI84" s="161"/>
      <c r="BJ84" s="161"/>
      <c r="BK84" s="161"/>
      <c r="BL84" s="161"/>
      <c r="BM84" s="161"/>
      <c r="BN84" s="161"/>
      <c r="BO84" s="161"/>
      <c r="BP84" s="161"/>
      <c r="BQ84" s="161"/>
      <c r="BR84" s="161"/>
      <c r="BS84" s="161"/>
      <c r="BT84" s="161"/>
      <c r="BU84" s="161"/>
      <c r="BV84" s="161"/>
      <c r="BW84" s="161"/>
      <c r="BX84" s="161"/>
    </row>
    <row r="85" spans="1:76">
      <c r="A85" s="161"/>
      <c r="B85" s="161" t="s">
        <v>711</v>
      </c>
      <c r="C85" s="161"/>
      <c r="D85" s="161"/>
      <c r="E85" s="161"/>
      <c r="F85" s="161"/>
      <c r="G85" s="161"/>
      <c r="H85" s="161"/>
      <c r="I85" s="161"/>
      <c r="J85" s="393">
        <v>41496</v>
      </c>
      <c r="K85" s="393">
        <v>41275</v>
      </c>
      <c r="L85" s="161"/>
      <c r="M85" s="161"/>
      <c r="N85" s="393">
        <v>49553</v>
      </c>
      <c r="O85" s="393">
        <v>48288</v>
      </c>
      <c r="P85" s="393"/>
      <c r="Q85" s="393"/>
      <c r="R85" s="393"/>
      <c r="S85" s="393"/>
      <c r="T85" s="307">
        <f t="shared" ref="T85:W87" si="88">T23-S23</f>
        <v>557.22700000000077</v>
      </c>
      <c r="U85" s="307">
        <f t="shared" si="88"/>
        <v>489.48999999999796</v>
      </c>
      <c r="V85" s="307">
        <f t="shared" si="88"/>
        <v>431.25</v>
      </c>
      <c r="W85" s="307">
        <f t="shared" si="88"/>
        <v>142.48400000000038</v>
      </c>
      <c r="X85" s="307">
        <f t="shared" ref="X85:Y87" si="89">X23-W23</f>
        <v>538.5460000000021</v>
      </c>
      <c r="Y85" s="307">
        <f t="shared" si="89"/>
        <v>597.06999999999971</v>
      </c>
      <c r="Z85" s="307">
        <f t="shared" ref="Z85:AA87" si="90">Z23-Y23</f>
        <v>538.80099999999948</v>
      </c>
      <c r="AA85" s="307">
        <f t="shared" si="90"/>
        <v>279.56899999999951</v>
      </c>
      <c r="AB85" s="161"/>
      <c r="AC85" s="161"/>
      <c r="AD85" s="161"/>
      <c r="AE85" s="161"/>
      <c r="AF85" s="161"/>
      <c r="AG85" s="161"/>
      <c r="AH85" s="161"/>
      <c r="AI85" s="161"/>
      <c r="AJ85" s="161"/>
      <c r="AK85" s="161"/>
      <c r="AL85" s="161"/>
      <c r="AM85" s="161"/>
      <c r="AN85" s="161"/>
      <c r="AO85" s="161"/>
      <c r="AP85" s="161"/>
      <c r="AQ85" s="161"/>
      <c r="AR85" s="161"/>
      <c r="AS85" s="161"/>
      <c r="AT85" s="161"/>
      <c r="AU85" s="161"/>
      <c r="AV85" s="161"/>
      <c r="AW85" s="161"/>
      <c r="AX85" s="161"/>
      <c r="AY85" s="161"/>
      <c r="AZ85" s="161"/>
      <c r="BA85" s="161"/>
      <c r="BB85" s="161"/>
      <c r="BC85" s="161"/>
      <c r="BD85" s="161"/>
      <c r="BE85" s="161"/>
      <c r="BF85" s="161"/>
      <c r="BG85" s="161"/>
      <c r="BH85" s="161"/>
      <c r="BI85" s="161"/>
      <c r="BJ85" s="161"/>
      <c r="BK85" s="161"/>
      <c r="BL85" s="161"/>
      <c r="BM85" s="161"/>
      <c r="BN85" s="161"/>
      <c r="BO85" s="161"/>
      <c r="BP85" s="161"/>
      <c r="BQ85" s="161"/>
      <c r="BR85" s="161"/>
      <c r="BS85" s="161"/>
      <c r="BT85" s="161"/>
      <c r="BU85" s="161"/>
      <c r="BV85" s="161"/>
      <c r="BW85" s="161"/>
      <c r="BX85" s="161"/>
    </row>
    <row r="86" spans="1:76">
      <c r="A86" s="161"/>
      <c r="B86" s="161" t="s">
        <v>712</v>
      </c>
      <c r="C86" s="161"/>
      <c r="D86" s="161"/>
      <c r="E86" s="161"/>
      <c r="F86" s="161"/>
      <c r="G86" s="161"/>
      <c r="H86" s="161"/>
      <c r="I86" s="161"/>
      <c r="J86" s="393">
        <v>5409</v>
      </c>
      <c r="K86" s="393">
        <v>5804</v>
      </c>
      <c r="L86" s="161"/>
      <c r="M86" s="161"/>
      <c r="N86" s="393">
        <v>7073</v>
      </c>
      <c r="O86" s="393">
        <v>7077</v>
      </c>
      <c r="P86" s="393"/>
      <c r="Q86" s="393"/>
      <c r="R86" s="393"/>
      <c r="S86" s="393"/>
      <c r="T86" s="307">
        <f t="shared" si="88"/>
        <v>100</v>
      </c>
      <c r="U86" s="307">
        <f t="shared" si="88"/>
        <v>0</v>
      </c>
      <c r="V86" s="307">
        <f t="shared" si="88"/>
        <v>100</v>
      </c>
      <c r="W86" s="307">
        <f t="shared" si="88"/>
        <v>0</v>
      </c>
      <c r="X86" s="307">
        <f t="shared" si="89"/>
        <v>100</v>
      </c>
      <c r="Y86" s="307">
        <f t="shared" si="89"/>
        <v>0</v>
      </c>
      <c r="Z86" s="307">
        <f t="shared" si="90"/>
        <v>0</v>
      </c>
      <c r="AA86" s="307">
        <f t="shared" si="90"/>
        <v>0</v>
      </c>
      <c r="AB86" s="161"/>
      <c r="AC86" s="161"/>
      <c r="AD86" s="161"/>
      <c r="AE86" s="161"/>
      <c r="AF86" s="161"/>
      <c r="AG86" s="161"/>
      <c r="AH86" s="161"/>
      <c r="AI86" s="161"/>
      <c r="AJ86" s="161"/>
      <c r="AK86" s="161"/>
      <c r="AL86" s="161"/>
      <c r="AM86" s="161"/>
      <c r="AN86" s="161"/>
      <c r="AO86" s="161"/>
      <c r="AP86" s="161"/>
      <c r="AQ86" s="161"/>
      <c r="AR86" s="161"/>
      <c r="AS86" s="161"/>
      <c r="AT86" s="161"/>
      <c r="AU86" s="161"/>
      <c r="AV86" s="161"/>
      <c r="AW86" s="161"/>
      <c r="AX86" s="161"/>
      <c r="AY86" s="161"/>
      <c r="AZ86" s="161"/>
      <c r="BA86" s="161"/>
      <c r="BB86" s="161"/>
      <c r="BC86" s="161"/>
      <c r="BD86" s="161"/>
      <c r="BE86" s="161"/>
      <c r="BF86" s="161"/>
      <c r="BG86" s="161"/>
      <c r="BH86" s="161"/>
      <c r="BI86" s="161"/>
      <c r="BJ86" s="161"/>
      <c r="BK86" s="161"/>
      <c r="BL86" s="161"/>
      <c r="BM86" s="161"/>
      <c r="BN86" s="161"/>
      <c r="BO86" s="161"/>
      <c r="BP86" s="161"/>
      <c r="BQ86" s="161"/>
      <c r="BR86" s="161"/>
      <c r="BS86" s="161"/>
      <c r="BT86" s="161"/>
      <c r="BU86" s="161"/>
      <c r="BV86" s="161"/>
      <c r="BW86" s="161"/>
      <c r="BX86" s="161"/>
    </row>
    <row r="87" spans="1:76">
      <c r="A87" s="161"/>
      <c r="B87" s="855" t="s">
        <v>500</v>
      </c>
      <c r="C87" s="855"/>
      <c r="D87" s="855"/>
      <c r="E87" s="855"/>
      <c r="F87" s="855"/>
      <c r="G87" s="855"/>
      <c r="H87" s="855"/>
      <c r="I87" s="855"/>
      <c r="J87" s="904">
        <v>4166</v>
      </c>
      <c r="K87" s="904">
        <v>3237</v>
      </c>
      <c r="L87" s="855"/>
      <c r="M87" s="855"/>
      <c r="N87" s="904">
        <v>1890</v>
      </c>
      <c r="O87" s="904">
        <v>4445</v>
      </c>
      <c r="P87" s="393"/>
      <c r="Q87" s="393"/>
      <c r="R87" s="393"/>
      <c r="S87" s="393"/>
      <c r="T87" s="307">
        <f t="shared" si="88"/>
        <v>43.716000000000349</v>
      </c>
      <c r="U87" s="307">
        <f t="shared" si="88"/>
        <v>-67.737000000002809</v>
      </c>
      <c r="V87" s="307">
        <f t="shared" si="88"/>
        <v>-58.239999999997963</v>
      </c>
      <c r="W87" s="307">
        <f t="shared" si="88"/>
        <v>-288.76599999999962</v>
      </c>
      <c r="X87" s="307">
        <f t="shared" si="89"/>
        <v>-142.48400000000038</v>
      </c>
      <c r="Y87" s="307">
        <f t="shared" si="89"/>
        <v>0</v>
      </c>
      <c r="Z87" s="307">
        <f t="shared" si="90"/>
        <v>0</v>
      </c>
      <c r="AA87" s="307">
        <f t="shared" si="90"/>
        <v>0</v>
      </c>
      <c r="AB87" s="161"/>
      <c r="AC87" s="161"/>
      <c r="AD87" s="161"/>
      <c r="AE87" s="161"/>
      <c r="AF87" s="161"/>
      <c r="AG87" s="161"/>
      <c r="AH87" s="161"/>
      <c r="AI87" s="161"/>
      <c r="AJ87" s="161"/>
      <c r="AK87" s="161"/>
      <c r="AL87" s="161"/>
      <c r="AM87" s="161"/>
      <c r="AN87" s="161"/>
      <c r="AO87" s="161"/>
      <c r="AP87" s="161"/>
      <c r="AQ87" s="161"/>
      <c r="AR87" s="161"/>
      <c r="AS87" s="161"/>
      <c r="AT87" s="161"/>
      <c r="AU87" s="161"/>
      <c r="AV87" s="161"/>
      <c r="AW87" s="161"/>
      <c r="AX87" s="161"/>
      <c r="AY87" s="161"/>
      <c r="AZ87" s="161"/>
      <c r="BA87" s="161"/>
      <c r="BB87" s="161"/>
      <c r="BC87" s="161"/>
      <c r="BD87" s="161"/>
      <c r="BE87" s="161"/>
      <c r="BF87" s="161"/>
      <c r="BG87" s="161"/>
      <c r="BH87" s="161"/>
      <c r="BI87" s="161"/>
      <c r="BJ87" s="161"/>
      <c r="BK87" s="161"/>
      <c r="BL87" s="161"/>
      <c r="BM87" s="161"/>
      <c r="BN87" s="161"/>
      <c r="BO87" s="161"/>
      <c r="BP87" s="161"/>
      <c r="BQ87" s="161"/>
      <c r="BR87" s="161"/>
      <c r="BS87" s="161"/>
      <c r="BT87" s="161"/>
      <c r="BU87" s="161"/>
      <c r="BV87" s="161"/>
      <c r="BW87" s="161"/>
    </row>
    <row r="88" spans="1:76">
      <c r="A88" s="161"/>
      <c r="B88" s="161" t="s">
        <v>713</v>
      </c>
      <c r="C88" s="161"/>
      <c r="D88" s="161"/>
      <c r="E88" s="161"/>
      <c r="F88" s="161"/>
      <c r="G88" s="161"/>
      <c r="H88" s="161"/>
      <c r="I88" s="161"/>
      <c r="J88" s="393">
        <f>J85+J86-J87</f>
        <v>42739</v>
      </c>
      <c r="K88" s="393">
        <f>K85+K86-K87</f>
        <v>43842</v>
      </c>
      <c r="L88" s="161"/>
      <c r="M88" s="161"/>
      <c r="N88" s="393">
        <f>N85+N86-N87</f>
        <v>54736</v>
      </c>
      <c r="O88" s="393">
        <f>O85+O86-O87</f>
        <v>50920</v>
      </c>
      <c r="P88" s="393"/>
      <c r="Q88" s="393"/>
      <c r="R88" s="393"/>
      <c r="S88" s="393"/>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61"/>
      <c r="AZ88" s="161"/>
      <c r="BA88" s="161"/>
      <c r="BB88" s="161"/>
      <c r="BC88" s="161"/>
      <c r="BD88" s="161"/>
      <c r="BE88" s="161"/>
      <c r="BF88" s="161"/>
      <c r="BG88" s="161"/>
      <c r="BH88" s="161"/>
      <c r="BI88" s="161"/>
      <c r="BJ88" s="161"/>
      <c r="BK88" s="161"/>
      <c r="BL88" s="161"/>
      <c r="BM88" s="161"/>
      <c r="BN88" s="161"/>
      <c r="BO88" s="161"/>
      <c r="BP88" s="161"/>
      <c r="BQ88" s="161"/>
      <c r="BR88" s="161"/>
      <c r="BS88" s="161"/>
      <c r="BT88" s="161"/>
      <c r="BU88" s="161"/>
      <c r="BV88" s="161"/>
      <c r="BW88" s="161"/>
    </row>
    <row r="89" spans="1:76">
      <c r="A89" s="161"/>
      <c r="B89" s="161" t="s">
        <v>90</v>
      </c>
      <c r="C89" s="161"/>
      <c r="D89" s="161"/>
      <c r="E89" s="161"/>
      <c r="F89" s="161"/>
      <c r="G89" s="161"/>
      <c r="H89" s="161"/>
      <c r="I89" s="161"/>
      <c r="J89" s="492">
        <f>J88/SUM(G10:J10)</f>
        <v>3.551520691374439</v>
      </c>
      <c r="K89" s="492">
        <f>K88/SUM(H10:K10)</f>
        <v>3.3502980284273267</v>
      </c>
      <c r="L89" s="161"/>
      <c r="M89" s="161"/>
      <c r="N89" s="492">
        <f>N88/SUM(K10:N10)</f>
        <v>3.4280703951900797</v>
      </c>
      <c r="O89" s="492">
        <f>O88/SUM(L10:O10)</f>
        <v>3.0540394650032989</v>
      </c>
      <c r="P89" s="492"/>
      <c r="Q89" s="492"/>
      <c r="R89" s="492"/>
      <c r="S89" s="492"/>
      <c r="T89" s="161"/>
      <c r="U89" s="161"/>
      <c r="V89" s="161"/>
      <c r="W89" s="161"/>
      <c r="X89" s="161"/>
      <c r="Y89" s="161"/>
      <c r="Z89" s="161"/>
      <c r="AA89" s="161"/>
      <c r="AB89" s="161"/>
      <c r="AC89" s="161"/>
      <c r="AD89" s="161"/>
      <c r="AE89" s="161"/>
      <c r="AF89" s="161"/>
      <c r="AG89" s="161"/>
      <c r="AH89" s="161"/>
      <c r="AI89" s="161"/>
      <c r="AJ89" s="161"/>
      <c r="AK89" s="161"/>
      <c r="AL89" s="161"/>
      <c r="AM89" s="161"/>
      <c r="AN89" s="161"/>
      <c r="AO89" s="161"/>
      <c r="AP89" s="161"/>
      <c r="AQ89" s="161"/>
      <c r="AR89" s="161"/>
      <c r="AS89" s="161"/>
      <c r="AT89" s="161"/>
      <c r="AU89" s="161"/>
      <c r="AV89" s="161"/>
      <c r="AW89" s="161"/>
      <c r="AX89" s="161"/>
      <c r="AY89" s="161"/>
      <c r="AZ89" s="161"/>
      <c r="BA89" s="161"/>
      <c r="BB89" s="161"/>
      <c r="BC89" s="161"/>
      <c r="BD89" s="161"/>
      <c r="BE89" s="161"/>
      <c r="BF89" s="161"/>
      <c r="BG89" s="161"/>
      <c r="BH89" s="161"/>
      <c r="BI89" s="161"/>
      <c r="BJ89" s="161"/>
      <c r="BK89" s="161"/>
      <c r="BL89" s="161"/>
      <c r="BM89" s="161"/>
      <c r="BN89" s="161"/>
      <c r="BO89" s="161"/>
      <c r="BP89" s="161"/>
      <c r="BQ89" s="161"/>
      <c r="BR89" s="161"/>
      <c r="BS89" s="161"/>
      <c r="BT89" s="161"/>
      <c r="BU89" s="161"/>
      <c r="BV89" s="161"/>
      <c r="BW89" s="161"/>
    </row>
    <row r="90" spans="1:76">
      <c r="A90" s="161"/>
      <c r="B90" s="161"/>
      <c r="C90" s="161"/>
      <c r="D90" s="161"/>
      <c r="E90" s="161"/>
      <c r="F90" s="161"/>
      <c r="G90" s="161"/>
      <c r="H90" s="161"/>
      <c r="I90" s="161"/>
      <c r="J90" s="393"/>
      <c r="K90" s="161"/>
      <c r="L90" s="161"/>
      <c r="M90" s="161"/>
      <c r="N90" s="393"/>
      <c r="O90" s="393"/>
      <c r="P90" s="393"/>
      <c r="Q90" s="393"/>
      <c r="R90" s="393"/>
      <c r="S90" s="393"/>
      <c r="T90" s="161"/>
      <c r="U90" s="161"/>
      <c r="V90" s="161"/>
      <c r="W90" s="161"/>
      <c r="X90" s="161"/>
      <c r="Y90" s="161"/>
      <c r="Z90" s="161"/>
      <c r="AA90" s="161"/>
      <c r="AB90" s="161"/>
      <c r="AC90" s="161"/>
      <c r="AD90" s="161"/>
      <c r="AE90" s="161"/>
      <c r="AF90" s="161"/>
      <c r="AG90" s="161"/>
      <c r="AH90" s="161"/>
      <c r="AI90" s="161"/>
      <c r="AJ90" s="161"/>
      <c r="AK90" s="161"/>
      <c r="AL90" s="161"/>
      <c r="AM90" s="161"/>
      <c r="AN90" s="161"/>
      <c r="AO90" s="161"/>
      <c r="AP90" s="161"/>
      <c r="AQ90" s="161"/>
      <c r="AR90" s="161"/>
      <c r="AS90" s="161"/>
      <c r="AT90" s="161"/>
      <c r="AU90" s="161"/>
      <c r="AV90" s="161"/>
      <c r="AW90" s="161"/>
      <c r="AX90" s="161"/>
      <c r="AY90" s="161"/>
      <c r="AZ90" s="161"/>
      <c r="BA90" s="161"/>
      <c r="BB90" s="161"/>
      <c r="BC90" s="161"/>
      <c r="BD90" s="161"/>
      <c r="BE90" s="161"/>
      <c r="BF90" s="161"/>
      <c r="BG90" s="161"/>
      <c r="BH90" s="161"/>
      <c r="BI90" s="161"/>
      <c r="BJ90" s="161"/>
      <c r="BK90" s="161"/>
      <c r="BL90" s="161"/>
      <c r="BM90" s="161"/>
      <c r="BN90" s="161"/>
      <c r="BO90" s="161"/>
      <c r="BP90" s="161"/>
      <c r="BQ90" s="161"/>
      <c r="BR90" s="161"/>
      <c r="BS90" s="161"/>
      <c r="BT90" s="161"/>
      <c r="BU90" s="161"/>
      <c r="BV90" s="161"/>
      <c r="BW90" s="161"/>
    </row>
    <row r="91" spans="1:76">
      <c r="A91" s="161"/>
      <c r="B91" s="161" t="s">
        <v>147</v>
      </c>
      <c r="C91" s="161"/>
      <c r="D91" s="161"/>
      <c r="E91" s="161"/>
      <c r="F91" s="161"/>
      <c r="G91" s="161"/>
      <c r="H91" s="161"/>
      <c r="I91" s="161"/>
      <c r="J91" s="393"/>
      <c r="K91" s="161"/>
      <c r="L91" s="161"/>
      <c r="M91" s="161"/>
      <c r="N91" s="393"/>
      <c r="O91" s="393"/>
      <c r="P91" s="393"/>
      <c r="Q91" s="393"/>
      <c r="R91" s="393"/>
      <c r="S91" s="393"/>
      <c r="T91" s="161"/>
      <c r="U91" s="161"/>
      <c r="V91" s="161"/>
      <c r="W91" s="161"/>
      <c r="X91" s="161"/>
      <c r="Y91" s="161"/>
      <c r="Z91" s="161"/>
      <c r="AA91" s="161"/>
      <c r="AB91" s="161"/>
      <c r="AC91" s="161"/>
      <c r="AD91" s="161"/>
      <c r="AE91" s="161"/>
      <c r="AF91" s="161"/>
      <c r="AG91" s="161"/>
      <c r="AH91" s="161"/>
      <c r="AI91" s="161"/>
      <c r="AJ91" s="161"/>
      <c r="AK91" s="161"/>
      <c r="AL91" s="161"/>
      <c r="AM91" s="161"/>
      <c r="AN91" s="161"/>
      <c r="AO91" s="161"/>
      <c r="AP91" s="161"/>
      <c r="AQ91" s="161"/>
      <c r="AR91" s="161"/>
      <c r="AS91" s="161"/>
      <c r="AT91" s="161"/>
      <c r="AU91" s="161"/>
      <c r="AV91" s="161"/>
      <c r="AW91" s="161"/>
      <c r="AX91" s="161"/>
      <c r="AY91" s="161"/>
      <c r="AZ91" s="161"/>
      <c r="BA91" s="161"/>
      <c r="BB91" s="161"/>
      <c r="BC91" s="161"/>
      <c r="BD91" s="161"/>
      <c r="BE91" s="161"/>
      <c r="BF91" s="161"/>
      <c r="BG91" s="161"/>
      <c r="BH91" s="161"/>
      <c r="BI91" s="161"/>
      <c r="BJ91" s="161"/>
      <c r="BK91" s="161"/>
      <c r="BL91" s="161"/>
      <c r="BM91" s="161"/>
      <c r="BN91" s="161"/>
      <c r="BO91" s="161"/>
      <c r="BP91" s="161"/>
      <c r="BQ91" s="161"/>
      <c r="BR91" s="161"/>
      <c r="BS91" s="161"/>
      <c r="BT91" s="161"/>
      <c r="BU91" s="161"/>
      <c r="BV91" s="161"/>
      <c r="BW91" s="161"/>
    </row>
    <row r="92" spans="1:76">
      <c r="A92" s="161"/>
      <c r="B92" s="161"/>
      <c r="C92" s="161"/>
      <c r="D92" s="161"/>
      <c r="E92" s="161"/>
      <c r="F92" s="161"/>
      <c r="G92" s="161"/>
      <c r="H92" s="161"/>
      <c r="I92" s="161"/>
      <c r="J92" s="161"/>
      <c r="K92" s="161"/>
      <c r="L92" s="161"/>
      <c r="M92" s="161"/>
      <c r="N92" s="161"/>
      <c r="O92" s="161"/>
      <c r="P92" s="161"/>
      <c r="Q92" s="161"/>
      <c r="R92" s="161"/>
      <c r="S92" s="161"/>
      <c r="T92" s="161"/>
      <c r="U92" s="161"/>
      <c r="V92" s="161"/>
      <c r="W92" s="161"/>
      <c r="X92" s="161"/>
      <c r="Y92" s="161"/>
      <c r="Z92" s="161"/>
      <c r="AA92" s="161"/>
      <c r="AB92" s="161"/>
      <c r="AC92" s="161"/>
      <c r="AD92" s="161"/>
      <c r="AE92" s="161"/>
      <c r="AF92" s="161"/>
      <c r="AG92" s="161"/>
      <c r="AH92" s="161"/>
      <c r="AI92" s="161"/>
      <c r="AJ92" s="161"/>
      <c r="AK92" s="161"/>
      <c r="AL92" s="161"/>
      <c r="AM92" s="161"/>
      <c r="AN92" s="161"/>
      <c r="AO92" s="161"/>
      <c r="AP92" s="161"/>
      <c r="AQ92" s="161"/>
      <c r="AR92" s="161"/>
      <c r="AS92" s="161"/>
      <c r="AT92" s="161"/>
      <c r="AU92" s="161"/>
      <c r="AV92" s="161"/>
      <c r="AW92" s="161"/>
      <c r="AX92" s="161"/>
      <c r="AY92" s="161"/>
      <c r="AZ92" s="161"/>
      <c r="BA92" s="161"/>
      <c r="BB92" s="161"/>
      <c r="BC92" s="161"/>
      <c r="BD92" s="161"/>
      <c r="BE92" s="161"/>
      <c r="BF92" s="161"/>
      <c r="BG92" s="161"/>
      <c r="BH92" s="161"/>
      <c r="BI92" s="161"/>
      <c r="BJ92" s="161"/>
      <c r="BK92" s="161"/>
      <c r="BL92" s="161"/>
      <c r="BM92" s="161"/>
      <c r="BN92" s="161"/>
      <c r="BO92" s="161"/>
      <c r="BP92" s="161"/>
      <c r="BQ92" s="161"/>
      <c r="BR92" s="161"/>
      <c r="BS92" s="161"/>
      <c r="BT92" s="161"/>
      <c r="BU92" s="161"/>
      <c r="BV92" s="161"/>
      <c r="BW92" s="161"/>
    </row>
    <row r="93" spans="1:76">
      <c r="A93" s="161"/>
      <c r="B93" s="161"/>
      <c r="C93" s="161"/>
      <c r="D93" s="161"/>
      <c r="E93" s="161"/>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161"/>
      <c r="AP93" s="161"/>
      <c r="AQ93" s="161"/>
      <c r="AR93" s="161"/>
      <c r="AS93" s="161"/>
      <c r="AT93" s="161"/>
      <c r="AU93" s="161"/>
      <c r="AV93" s="161"/>
      <c r="AW93" s="161"/>
      <c r="AX93" s="161"/>
      <c r="AY93" s="161"/>
      <c r="AZ93" s="161"/>
      <c r="BA93" s="161"/>
      <c r="BB93" s="161"/>
      <c r="BC93" s="161"/>
      <c r="BD93" s="161"/>
      <c r="BE93" s="161"/>
      <c r="BF93" s="161"/>
      <c r="BG93" s="161"/>
      <c r="BH93" s="161"/>
      <c r="BI93" s="161"/>
      <c r="BJ93" s="161"/>
      <c r="BK93" s="161"/>
      <c r="BL93" s="161"/>
      <c r="BM93" s="161"/>
      <c r="BN93" s="161"/>
      <c r="BO93" s="161"/>
      <c r="BP93" s="161"/>
      <c r="BQ93" s="161"/>
      <c r="BR93" s="161"/>
      <c r="BS93" s="161"/>
      <c r="BT93" s="161"/>
      <c r="BU93" s="161"/>
      <c r="BV93" s="161"/>
      <c r="BW93" s="161"/>
    </row>
    <row r="94" spans="1:76">
      <c r="A94" s="161"/>
      <c r="B94" s="161"/>
      <c r="C94" s="161"/>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c r="AI94" s="161"/>
      <c r="AJ94" s="161"/>
      <c r="AK94" s="161"/>
      <c r="AL94" s="161"/>
      <c r="AM94" s="161"/>
      <c r="AN94" s="161"/>
      <c r="AO94" s="161"/>
      <c r="AP94" s="161"/>
      <c r="AQ94" s="161"/>
      <c r="AR94" s="161"/>
      <c r="AS94" s="161"/>
      <c r="AT94" s="161"/>
      <c r="AU94" s="161"/>
      <c r="AV94" s="161"/>
      <c r="AW94" s="161"/>
      <c r="AX94" s="161"/>
      <c r="AY94" s="161"/>
      <c r="AZ94" s="161"/>
      <c r="BA94" s="161"/>
      <c r="BB94" s="161"/>
      <c r="BC94" s="161"/>
      <c r="BD94" s="161"/>
      <c r="BE94" s="161"/>
      <c r="BF94" s="161"/>
      <c r="BG94" s="161"/>
      <c r="BH94" s="161"/>
      <c r="BI94" s="161"/>
      <c r="BJ94" s="161"/>
      <c r="BK94" s="161"/>
      <c r="BL94" s="161"/>
      <c r="BM94" s="161"/>
      <c r="BN94" s="161"/>
      <c r="BO94" s="161"/>
      <c r="BP94" s="161"/>
      <c r="BQ94" s="161"/>
      <c r="BR94" s="161"/>
      <c r="BS94" s="161"/>
      <c r="BT94" s="161"/>
      <c r="BU94" s="161"/>
      <c r="BV94" s="161"/>
      <c r="BW94" s="161"/>
    </row>
    <row r="95" spans="1:76">
      <c r="A95" s="161"/>
      <c r="B95" s="161"/>
      <c r="C95" s="161"/>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1"/>
      <c r="AV95" s="161"/>
      <c r="AW95" s="161"/>
      <c r="AX95" s="161"/>
      <c r="AY95" s="161"/>
      <c r="AZ95" s="161"/>
      <c r="BA95" s="161"/>
      <c r="BB95" s="161"/>
      <c r="BC95" s="161"/>
      <c r="BD95" s="161"/>
      <c r="BE95" s="161"/>
      <c r="BF95" s="161"/>
      <c r="BG95" s="161"/>
      <c r="BH95" s="161"/>
      <c r="BI95" s="161"/>
      <c r="BJ95" s="161"/>
      <c r="BK95" s="161"/>
      <c r="BL95" s="161"/>
      <c r="BM95" s="161"/>
      <c r="BN95" s="161"/>
      <c r="BO95" s="161"/>
      <c r="BP95" s="161"/>
      <c r="BQ95" s="161"/>
      <c r="BR95" s="161"/>
      <c r="BS95" s="161"/>
      <c r="BT95" s="161"/>
      <c r="BU95" s="161"/>
      <c r="BV95" s="161"/>
      <c r="BW95" s="161"/>
    </row>
    <row r="96" spans="1:76">
      <c r="A96" s="161"/>
      <c r="B96" s="161"/>
      <c r="C96" s="161"/>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c r="BB96" s="161"/>
      <c r="BC96" s="161"/>
      <c r="BD96" s="161"/>
      <c r="BE96" s="161"/>
      <c r="BF96" s="161"/>
      <c r="BG96" s="161"/>
      <c r="BH96" s="161"/>
      <c r="BI96" s="161"/>
      <c r="BJ96" s="161"/>
      <c r="BK96" s="161"/>
      <c r="BL96" s="161"/>
      <c r="BM96" s="161"/>
      <c r="BN96" s="161"/>
      <c r="BO96" s="161"/>
      <c r="BP96" s="161"/>
      <c r="BQ96" s="161"/>
      <c r="BR96" s="161"/>
      <c r="BS96" s="161"/>
      <c r="BT96" s="161"/>
      <c r="BU96" s="161"/>
      <c r="BV96" s="161"/>
      <c r="BW96" s="161"/>
    </row>
    <row r="97" spans="1:75">
      <c r="A97" s="161"/>
      <c r="B97" s="161"/>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161"/>
      <c r="AN97" s="161"/>
      <c r="AO97" s="161"/>
      <c r="AP97" s="161"/>
      <c r="AQ97" s="161"/>
      <c r="AR97" s="161"/>
      <c r="AS97" s="161"/>
      <c r="AT97" s="161"/>
      <c r="AU97" s="161"/>
      <c r="AV97" s="161"/>
      <c r="AW97" s="161"/>
      <c r="AX97" s="161"/>
      <c r="AY97" s="161"/>
      <c r="AZ97" s="161"/>
      <c r="BA97" s="161"/>
      <c r="BB97" s="161"/>
      <c r="BC97" s="161"/>
      <c r="BD97" s="161"/>
      <c r="BE97" s="161"/>
      <c r="BF97" s="161"/>
      <c r="BG97" s="161"/>
      <c r="BH97" s="161"/>
      <c r="BI97" s="161"/>
      <c r="BJ97" s="161"/>
      <c r="BK97" s="161"/>
      <c r="BL97" s="161"/>
      <c r="BM97" s="161"/>
      <c r="BN97" s="161"/>
      <c r="BO97" s="161"/>
      <c r="BP97" s="161"/>
      <c r="BQ97" s="161"/>
      <c r="BR97" s="161"/>
      <c r="BS97" s="161"/>
      <c r="BT97" s="161"/>
      <c r="BU97" s="161"/>
      <c r="BV97" s="161"/>
      <c r="BW97" s="161"/>
    </row>
    <row r="98" spans="1:75">
      <c r="A98" s="161"/>
      <c r="B98" s="161"/>
      <c r="C98" s="161"/>
      <c r="D98" s="161"/>
      <c r="E98" s="161"/>
      <c r="F98" s="161"/>
      <c r="G98" s="161"/>
      <c r="H98" s="161"/>
      <c r="I98" s="161"/>
      <c r="J98" s="161"/>
      <c r="K98" s="307">
        <f>K34-J34</f>
        <v>274</v>
      </c>
      <c r="L98" s="307">
        <f>L34-K34</f>
        <v>244</v>
      </c>
      <c r="M98" s="307">
        <f>M34-L34</f>
        <v>223</v>
      </c>
      <c r="N98" s="307">
        <f>N34-M34</f>
        <v>97</v>
      </c>
      <c r="O98" s="307">
        <f>O34-N34</f>
        <v>107.21000000000004</v>
      </c>
      <c r="P98" s="307"/>
      <c r="Q98" s="307"/>
      <c r="R98" s="307"/>
      <c r="S98" s="307"/>
      <c r="T98" s="161"/>
      <c r="U98" s="161"/>
      <c r="V98" s="161"/>
      <c r="W98" s="161"/>
      <c r="X98" s="161"/>
      <c r="Y98" s="161"/>
      <c r="Z98" s="161"/>
      <c r="AA98" s="161"/>
      <c r="AB98" s="161"/>
      <c r="AC98" s="161"/>
      <c r="AD98" s="161"/>
      <c r="AE98" s="161"/>
      <c r="AF98" s="161"/>
      <c r="AG98" s="161"/>
      <c r="AH98" s="161"/>
      <c r="AI98" s="161"/>
      <c r="AJ98" s="161"/>
      <c r="AK98" s="161"/>
      <c r="AL98" s="161"/>
      <c r="AM98" s="161"/>
      <c r="AN98" s="161"/>
      <c r="AO98" s="161"/>
      <c r="AP98" s="161"/>
      <c r="AQ98" s="161"/>
      <c r="AR98" s="161"/>
      <c r="AS98" s="161"/>
      <c r="AT98" s="161"/>
      <c r="AU98" s="161"/>
      <c r="AV98" s="161"/>
      <c r="AW98" s="161"/>
      <c r="AX98" s="161"/>
      <c r="AY98" s="161"/>
      <c r="AZ98" s="161"/>
      <c r="BA98" s="161"/>
      <c r="BB98" s="161"/>
      <c r="BC98" s="161"/>
      <c r="BD98" s="161"/>
      <c r="BE98" s="161"/>
      <c r="BF98" s="161"/>
      <c r="BG98" s="161"/>
      <c r="BH98" s="161"/>
      <c r="BI98" s="161"/>
      <c r="BJ98" s="161"/>
      <c r="BK98" s="161"/>
      <c r="BL98" s="161"/>
      <c r="BM98" s="161"/>
      <c r="BN98" s="161"/>
      <c r="BO98" s="161"/>
      <c r="BP98" s="161"/>
      <c r="BQ98" s="161"/>
      <c r="BR98" s="161"/>
      <c r="BS98" s="161"/>
      <c r="BT98" s="161"/>
      <c r="BU98" s="161"/>
      <c r="BV98" s="161"/>
      <c r="BW98" s="161"/>
    </row>
    <row r="99" spans="1:75">
      <c r="A99" s="161"/>
      <c r="B99" s="161"/>
      <c r="C99" s="161"/>
      <c r="D99" s="161"/>
      <c r="E99" s="161"/>
      <c r="F99" s="161"/>
      <c r="G99" s="161"/>
      <c r="H99" s="161"/>
      <c r="I99" s="161"/>
      <c r="J99" s="161"/>
      <c r="K99" s="161"/>
      <c r="L99" s="161"/>
      <c r="M99" s="161"/>
      <c r="N99" s="161"/>
      <c r="O99" s="161"/>
      <c r="P99" s="161"/>
      <c r="Q99" s="161"/>
      <c r="R99" s="161"/>
      <c r="S99" s="161"/>
      <c r="T99" s="161"/>
      <c r="U99" s="161"/>
      <c r="V99" s="161"/>
      <c r="W99" s="161"/>
      <c r="X99" s="161"/>
      <c r="Y99" s="161"/>
      <c r="Z99" s="161"/>
      <c r="AA99" s="161"/>
      <c r="AB99" s="161"/>
      <c r="AC99" s="161"/>
      <c r="AD99" s="161"/>
      <c r="AE99" s="161"/>
      <c r="AF99" s="161"/>
      <c r="AG99" s="161"/>
      <c r="AH99" s="161"/>
      <c r="AI99" s="161"/>
      <c r="AJ99" s="161"/>
      <c r="AK99" s="161"/>
      <c r="AL99" s="161"/>
      <c r="AM99" s="161"/>
      <c r="AN99" s="161"/>
      <c r="AO99" s="161"/>
      <c r="AP99" s="161"/>
      <c r="AQ99" s="161"/>
      <c r="AR99" s="161"/>
      <c r="AS99" s="161"/>
      <c r="AT99" s="161"/>
      <c r="AU99" s="161"/>
      <c r="AV99" s="161"/>
      <c r="AW99" s="161"/>
      <c r="AX99" s="161"/>
      <c r="AY99" s="161"/>
      <c r="AZ99" s="161"/>
      <c r="BA99" s="161"/>
      <c r="BB99" s="161"/>
      <c r="BC99" s="161"/>
      <c r="BD99" s="161"/>
      <c r="BE99" s="161"/>
      <c r="BF99" s="161"/>
      <c r="BG99" s="161"/>
      <c r="BH99" s="161"/>
      <c r="BI99" s="161"/>
      <c r="BJ99" s="161"/>
      <c r="BK99" s="161"/>
      <c r="BL99" s="161"/>
      <c r="BM99" s="161"/>
      <c r="BN99" s="161"/>
      <c r="BO99" s="161"/>
      <c r="BP99" s="161"/>
      <c r="BQ99" s="161"/>
      <c r="BR99" s="161"/>
      <c r="BS99" s="161"/>
      <c r="BT99" s="161"/>
      <c r="BU99" s="161"/>
      <c r="BV99" s="161"/>
      <c r="BW99" s="161"/>
    </row>
    <row r="100" spans="1:75">
      <c r="A100" s="161"/>
      <c r="B100" s="161"/>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1"/>
      <c r="AM100" s="161"/>
      <c r="AN100" s="161"/>
      <c r="AO100" s="161"/>
      <c r="AP100" s="161"/>
      <c r="AQ100" s="161"/>
      <c r="AR100" s="161"/>
      <c r="AS100" s="161"/>
      <c r="AT100" s="161"/>
      <c r="AU100" s="161"/>
      <c r="AV100" s="161"/>
      <c r="AW100" s="161"/>
      <c r="AX100" s="161"/>
      <c r="AY100" s="161"/>
      <c r="AZ100" s="161"/>
      <c r="BA100" s="161"/>
      <c r="BB100" s="161"/>
      <c r="BC100" s="161"/>
      <c r="BD100" s="161"/>
      <c r="BE100" s="161"/>
      <c r="BF100" s="161"/>
      <c r="BG100" s="161"/>
      <c r="BH100" s="161"/>
      <c r="BI100" s="161"/>
      <c r="BJ100" s="161"/>
      <c r="BK100" s="161"/>
      <c r="BL100" s="161"/>
      <c r="BM100" s="161"/>
      <c r="BN100" s="161"/>
      <c r="BO100" s="161"/>
      <c r="BP100" s="161"/>
      <c r="BQ100" s="161"/>
      <c r="BR100" s="161"/>
      <c r="BS100" s="161"/>
      <c r="BT100" s="161"/>
      <c r="BU100" s="161"/>
      <c r="BV100" s="161"/>
      <c r="BW100" s="161"/>
    </row>
    <row r="101" spans="1:75">
      <c r="A101" s="161"/>
      <c r="B101" s="161"/>
      <c r="C101" s="161"/>
      <c r="D101" s="161"/>
      <c r="E101" s="161"/>
      <c r="F101" s="161"/>
      <c r="G101" s="161"/>
      <c r="H101" s="161"/>
      <c r="I101" s="161"/>
      <c r="J101" s="161"/>
      <c r="K101" s="161"/>
      <c r="L101" s="161"/>
      <c r="M101" s="161"/>
      <c r="N101" s="161"/>
      <c r="O101" s="161"/>
      <c r="P101" s="161"/>
      <c r="Q101" s="161"/>
      <c r="R101" s="161"/>
      <c r="S101" s="161"/>
      <c r="T101" s="161"/>
      <c r="U101" s="161"/>
      <c r="V101" s="161"/>
      <c r="W101" s="161"/>
      <c r="X101" s="161"/>
      <c r="Y101" s="161"/>
      <c r="Z101" s="161"/>
      <c r="AA101" s="161"/>
      <c r="AB101" s="161"/>
      <c r="AC101" s="161"/>
      <c r="AD101" s="161"/>
      <c r="AE101" s="161"/>
      <c r="AF101" s="161"/>
      <c r="AG101" s="161"/>
      <c r="AH101" s="161"/>
      <c r="AI101" s="161"/>
      <c r="AJ101" s="161"/>
      <c r="AK101" s="161"/>
      <c r="AL101" s="161"/>
      <c r="AM101" s="161"/>
      <c r="AN101" s="161"/>
      <c r="AO101" s="161"/>
      <c r="AP101" s="161"/>
      <c r="AQ101" s="161"/>
      <c r="AR101" s="161"/>
      <c r="AS101" s="161"/>
      <c r="AT101" s="161"/>
      <c r="AU101" s="161"/>
      <c r="AV101" s="161"/>
      <c r="AW101" s="161"/>
      <c r="AX101" s="161"/>
      <c r="AY101" s="161"/>
      <c r="AZ101" s="161"/>
      <c r="BA101" s="161"/>
      <c r="BB101" s="161"/>
      <c r="BC101" s="161"/>
      <c r="BD101" s="161"/>
      <c r="BE101" s="161"/>
      <c r="BF101" s="161"/>
      <c r="BG101" s="161"/>
      <c r="BH101" s="161"/>
      <c r="BI101" s="161"/>
      <c r="BJ101" s="161"/>
      <c r="BK101" s="161"/>
      <c r="BL101" s="161"/>
      <c r="BM101" s="161"/>
      <c r="BN101" s="161"/>
      <c r="BO101" s="161"/>
      <c r="BP101" s="161"/>
      <c r="BQ101" s="161"/>
      <c r="BR101" s="161"/>
      <c r="BS101" s="161"/>
      <c r="BT101" s="161"/>
      <c r="BU101" s="161"/>
      <c r="BV101" s="161"/>
      <c r="BW101" s="161"/>
    </row>
    <row r="102" spans="1:75">
      <c r="A102" s="161"/>
      <c r="B102" s="161"/>
      <c r="C102" s="161"/>
      <c r="D102" s="161"/>
      <c r="E102" s="161"/>
      <c r="F102" s="161"/>
      <c r="G102" s="161"/>
      <c r="H102" s="161"/>
      <c r="I102" s="161"/>
      <c r="J102" s="161"/>
      <c r="K102" s="161"/>
      <c r="L102" s="161"/>
      <c r="M102" s="161"/>
      <c r="N102" s="161"/>
      <c r="O102" s="161"/>
      <c r="P102" s="161"/>
      <c r="Q102" s="161"/>
      <c r="R102" s="161"/>
      <c r="S102" s="161"/>
      <c r="T102" s="161"/>
      <c r="U102" s="161"/>
      <c r="V102" s="161"/>
      <c r="W102" s="161"/>
      <c r="X102" s="161"/>
      <c r="Y102" s="161"/>
      <c r="Z102" s="161"/>
      <c r="AA102" s="161"/>
      <c r="AB102" s="161"/>
      <c r="AC102" s="161"/>
      <c r="AD102" s="161"/>
      <c r="AE102" s="161"/>
      <c r="AF102" s="161"/>
      <c r="AG102" s="161"/>
      <c r="AH102" s="161"/>
      <c r="AI102" s="161"/>
      <c r="AJ102" s="161"/>
      <c r="AK102" s="161"/>
      <c r="AL102" s="161"/>
      <c r="AM102" s="161"/>
      <c r="AN102" s="161"/>
      <c r="AO102" s="161"/>
      <c r="AP102" s="161"/>
      <c r="AQ102" s="161"/>
      <c r="AR102" s="161"/>
      <c r="AS102" s="161"/>
      <c r="AT102" s="161"/>
      <c r="AU102" s="161"/>
      <c r="AV102" s="161"/>
      <c r="AW102" s="161"/>
      <c r="AX102" s="161"/>
      <c r="AY102" s="161"/>
      <c r="AZ102" s="161"/>
      <c r="BA102" s="161"/>
      <c r="BB102" s="161"/>
      <c r="BC102" s="161"/>
      <c r="BD102" s="161"/>
      <c r="BE102" s="161"/>
      <c r="BF102" s="161"/>
      <c r="BG102" s="161"/>
      <c r="BH102" s="161"/>
      <c r="BI102" s="161"/>
      <c r="BJ102" s="161"/>
      <c r="BK102" s="161"/>
      <c r="BL102" s="161"/>
      <c r="BM102" s="161"/>
      <c r="BN102" s="161"/>
      <c r="BO102" s="161"/>
      <c r="BP102" s="161"/>
      <c r="BQ102" s="161"/>
      <c r="BR102" s="161"/>
      <c r="BS102" s="161"/>
      <c r="BT102" s="161"/>
      <c r="BU102" s="161"/>
      <c r="BV102" s="161"/>
      <c r="BW102" s="161"/>
    </row>
    <row r="103" spans="1:75">
      <c r="A103" s="161"/>
      <c r="B103" s="161"/>
      <c r="C103" s="161"/>
      <c r="D103" s="161"/>
      <c r="E103" s="161"/>
      <c r="F103" s="161"/>
      <c r="G103" s="161"/>
      <c r="H103" s="161"/>
      <c r="I103" s="161"/>
      <c r="J103" s="161"/>
      <c r="K103" s="161"/>
      <c r="L103" s="161"/>
      <c r="M103" s="161"/>
      <c r="N103" s="161"/>
      <c r="O103" s="161"/>
      <c r="P103" s="161"/>
      <c r="Q103" s="161"/>
      <c r="R103" s="161"/>
      <c r="S103" s="161"/>
      <c r="T103" s="161"/>
      <c r="U103" s="161"/>
      <c r="V103" s="161"/>
      <c r="W103" s="161"/>
      <c r="X103" s="161"/>
      <c r="Y103" s="161"/>
      <c r="Z103" s="161"/>
      <c r="AA103" s="161"/>
      <c r="AB103" s="161"/>
      <c r="AC103" s="161"/>
      <c r="AD103" s="161"/>
      <c r="AE103" s="161"/>
      <c r="AF103" s="161"/>
      <c r="AG103" s="161"/>
      <c r="AH103" s="161"/>
      <c r="AI103" s="161"/>
      <c r="AJ103" s="161"/>
      <c r="AK103" s="161"/>
      <c r="AL103" s="161"/>
      <c r="AM103" s="161"/>
      <c r="AN103" s="161"/>
      <c r="AO103" s="161"/>
      <c r="AP103" s="161"/>
      <c r="AQ103" s="161"/>
      <c r="AR103" s="161"/>
      <c r="AS103" s="161"/>
      <c r="AT103" s="161"/>
      <c r="AU103" s="161"/>
      <c r="AV103" s="161"/>
      <c r="AW103" s="161"/>
      <c r="AX103" s="161"/>
      <c r="AY103" s="161"/>
      <c r="AZ103" s="161"/>
      <c r="BA103" s="161"/>
      <c r="BB103" s="161"/>
      <c r="BC103" s="161"/>
      <c r="BD103" s="161"/>
      <c r="BE103" s="161"/>
      <c r="BF103" s="161"/>
      <c r="BG103" s="161"/>
      <c r="BH103" s="161"/>
      <c r="BI103" s="161"/>
      <c r="BJ103" s="161"/>
      <c r="BK103" s="161"/>
      <c r="BL103" s="161"/>
      <c r="BM103" s="161"/>
      <c r="BN103" s="161"/>
      <c r="BO103" s="161"/>
      <c r="BP103" s="161"/>
      <c r="BQ103" s="161"/>
      <c r="BR103" s="161"/>
      <c r="BS103" s="161"/>
      <c r="BT103" s="161"/>
      <c r="BU103" s="161"/>
      <c r="BV103" s="161"/>
      <c r="BW103" s="161"/>
    </row>
    <row r="104" spans="1:75">
      <c r="A104" s="161"/>
      <c r="B104" s="161"/>
      <c r="C104" s="161"/>
      <c r="D104" s="161"/>
      <c r="E104" s="161"/>
      <c r="F104" s="161"/>
      <c r="G104" s="161"/>
      <c r="H104" s="161"/>
      <c r="I104" s="161"/>
      <c r="J104" s="161"/>
      <c r="K104" s="161"/>
      <c r="L104" s="161"/>
      <c r="M104" s="161"/>
      <c r="N104" s="161"/>
      <c r="O104" s="161"/>
      <c r="P104" s="161"/>
      <c r="Q104" s="161"/>
      <c r="R104" s="161"/>
      <c r="S104" s="161"/>
      <c r="T104" s="161"/>
      <c r="U104" s="161"/>
      <c r="V104" s="161"/>
      <c r="W104" s="161"/>
      <c r="X104" s="161"/>
      <c r="Y104" s="161"/>
      <c r="Z104" s="161"/>
      <c r="AA104" s="161"/>
      <c r="AB104" s="161"/>
      <c r="AC104" s="161"/>
      <c r="AD104" s="161"/>
      <c r="AE104" s="161"/>
      <c r="AF104" s="161"/>
      <c r="AG104" s="161"/>
      <c r="AH104" s="161"/>
      <c r="AI104" s="161"/>
      <c r="AJ104" s="161"/>
      <c r="AK104" s="161"/>
      <c r="AL104" s="161"/>
      <c r="AM104" s="161"/>
      <c r="AN104" s="161"/>
      <c r="AO104" s="161"/>
      <c r="AP104" s="161"/>
      <c r="AQ104" s="161"/>
      <c r="AR104" s="161"/>
      <c r="AS104" s="161"/>
      <c r="AT104" s="161"/>
      <c r="AU104" s="161"/>
      <c r="AV104" s="161"/>
      <c r="AW104" s="161"/>
      <c r="AX104" s="161"/>
      <c r="AY104" s="161"/>
      <c r="AZ104" s="161"/>
      <c r="BA104" s="161"/>
      <c r="BB104" s="161"/>
      <c r="BC104" s="161"/>
      <c r="BD104" s="161"/>
      <c r="BE104" s="161"/>
      <c r="BF104" s="161"/>
      <c r="BG104" s="161"/>
      <c r="BH104" s="161"/>
      <c r="BI104" s="161"/>
      <c r="BJ104" s="161"/>
      <c r="BK104" s="161"/>
      <c r="BL104" s="161"/>
      <c r="BM104" s="161"/>
      <c r="BN104" s="161"/>
      <c r="BO104" s="161"/>
      <c r="BP104" s="161"/>
      <c r="BQ104" s="161"/>
      <c r="BR104" s="161"/>
      <c r="BS104" s="161"/>
      <c r="BT104" s="161"/>
      <c r="BU104" s="161"/>
      <c r="BV104" s="161"/>
      <c r="BW104" s="161"/>
    </row>
    <row r="105" spans="1:75">
      <c r="A105" s="161"/>
      <c r="B105" s="161"/>
      <c r="C105" s="161"/>
      <c r="D105" s="161"/>
      <c r="E105" s="161"/>
      <c r="F105" s="161"/>
      <c r="G105" s="161"/>
      <c r="H105" s="161"/>
      <c r="I105" s="161"/>
      <c r="J105" s="161"/>
      <c r="K105" s="161"/>
      <c r="L105" s="161"/>
      <c r="M105" s="161"/>
      <c r="N105" s="161"/>
      <c r="O105" s="161"/>
      <c r="P105" s="161"/>
      <c r="Q105" s="161"/>
      <c r="R105" s="161"/>
      <c r="S105" s="161"/>
      <c r="T105" s="161"/>
      <c r="U105" s="161"/>
      <c r="V105" s="161"/>
      <c r="W105" s="161"/>
      <c r="X105" s="161"/>
      <c r="Y105" s="161"/>
      <c r="Z105" s="161"/>
      <c r="AA105" s="161"/>
      <c r="AB105" s="161"/>
      <c r="AC105" s="161"/>
      <c r="AD105" s="161"/>
      <c r="AE105" s="161"/>
      <c r="AF105" s="161"/>
      <c r="AG105" s="161"/>
      <c r="AH105" s="161"/>
      <c r="AI105" s="161"/>
      <c r="AJ105" s="161"/>
      <c r="AK105" s="161"/>
      <c r="AL105" s="161"/>
      <c r="AM105" s="161"/>
      <c r="AN105" s="161"/>
      <c r="AO105" s="161"/>
      <c r="AP105" s="161"/>
      <c r="AQ105" s="161"/>
      <c r="AR105" s="161"/>
      <c r="AS105" s="161"/>
      <c r="AT105" s="161"/>
      <c r="AU105" s="161"/>
      <c r="AV105" s="161"/>
      <c r="AW105" s="161"/>
      <c r="AX105" s="161"/>
      <c r="AY105" s="161"/>
      <c r="AZ105" s="161"/>
      <c r="BA105" s="161"/>
      <c r="BB105" s="161"/>
      <c r="BC105" s="161"/>
      <c r="BD105" s="161"/>
      <c r="BE105" s="161"/>
      <c r="BF105" s="161"/>
      <c r="BG105" s="161"/>
      <c r="BH105" s="161"/>
      <c r="BI105" s="161"/>
      <c r="BJ105" s="161"/>
      <c r="BK105" s="161"/>
      <c r="BL105" s="161"/>
      <c r="BM105" s="161"/>
      <c r="BN105" s="161"/>
      <c r="BO105" s="161"/>
      <c r="BP105" s="161"/>
      <c r="BQ105" s="161"/>
      <c r="BR105" s="161"/>
      <c r="BS105" s="161"/>
      <c r="BT105" s="161"/>
      <c r="BU105" s="161"/>
      <c r="BV105" s="161"/>
      <c r="BW105" s="161"/>
    </row>
    <row r="106" spans="1:75">
      <c r="A106" s="161"/>
      <c r="B106" s="161"/>
      <c r="C106" s="161"/>
      <c r="D106" s="161"/>
      <c r="E106" s="161"/>
      <c r="F106" s="161"/>
      <c r="G106" s="161"/>
      <c r="H106" s="161"/>
      <c r="I106" s="161"/>
      <c r="J106" s="161"/>
      <c r="K106" s="161"/>
      <c r="L106" s="161"/>
      <c r="M106" s="161"/>
      <c r="N106" s="161"/>
      <c r="O106" s="161"/>
      <c r="P106" s="161"/>
      <c r="Q106" s="161"/>
      <c r="R106" s="161"/>
      <c r="S106" s="161"/>
      <c r="T106" s="161"/>
      <c r="U106" s="161"/>
      <c r="V106" s="161"/>
      <c r="W106" s="161"/>
      <c r="X106" s="161"/>
      <c r="Y106" s="161"/>
      <c r="Z106" s="161"/>
      <c r="AA106" s="161"/>
      <c r="AB106" s="161"/>
      <c r="AC106" s="161"/>
      <c r="AD106" s="161"/>
      <c r="AE106" s="161"/>
      <c r="AF106" s="161"/>
      <c r="AG106" s="161"/>
      <c r="AH106" s="161"/>
      <c r="AI106" s="161"/>
      <c r="AJ106" s="161"/>
      <c r="AK106" s="161"/>
      <c r="AL106" s="161"/>
      <c r="AM106" s="161"/>
      <c r="AN106" s="161"/>
      <c r="AO106" s="161"/>
      <c r="AP106" s="161"/>
      <c r="AQ106" s="161"/>
      <c r="AR106" s="161"/>
      <c r="AS106" s="161"/>
      <c r="AT106" s="161"/>
      <c r="AU106" s="161"/>
      <c r="AV106" s="161"/>
      <c r="AW106" s="161"/>
      <c r="AX106" s="161"/>
      <c r="AY106" s="161"/>
      <c r="AZ106" s="161"/>
      <c r="BA106" s="161"/>
      <c r="BB106" s="161"/>
      <c r="BC106" s="161"/>
      <c r="BD106" s="161"/>
      <c r="BE106" s="161"/>
      <c r="BF106" s="161"/>
      <c r="BG106" s="161"/>
      <c r="BH106" s="161"/>
      <c r="BI106" s="161"/>
      <c r="BJ106" s="161"/>
      <c r="BK106" s="161"/>
      <c r="BL106" s="161"/>
      <c r="BM106" s="161"/>
      <c r="BN106" s="161"/>
      <c r="BO106" s="161"/>
      <c r="BP106" s="161"/>
      <c r="BQ106" s="161"/>
      <c r="BR106" s="161"/>
      <c r="BS106" s="161"/>
      <c r="BT106" s="161"/>
      <c r="BU106" s="161"/>
      <c r="BV106" s="161"/>
      <c r="BW106" s="161"/>
    </row>
    <row r="107" spans="1:75">
      <c r="A107" s="161"/>
      <c r="B107" s="161"/>
      <c r="C107" s="161"/>
      <c r="D107" s="161"/>
      <c r="E107" s="161"/>
      <c r="F107" s="161"/>
      <c r="G107" s="161"/>
      <c r="H107" s="161"/>
      <c r="I107" s="161"/>
      <c r="J107" s="161"/>
      <c r="K107" s="161"/>
      <c r="L107" s="161"/>
      <c r="M107" s="161"/>
      <c r="N107" s="161"/>
      <c r="O107" s="161"/>
      <c r="P107" s="161"/>
      <c r="Q107" s="161"/>
      <c r="R107" s="161"/>
      <c r="S107" s="161"/>
      <c r="T107" s="161"/>
      <c r="U107" s="161"/>
      <c r="V107" s="161"/>
      <c r="W107" s="161"/>
      <c r="X107" s="161"/>
      <c r="Y107" s="161"/>
      <c r="Z107" s="161"/>
      <c r="AA107" s="161"/>
      <c r="AB107" s="161"/>
      <c r="AC107" s="161"/>
      <c r="AD107" s="161"/>
      <c r="AE107" s="161"/>
      <c r="AF107" s="161"/>
      <c r="AG107" s="161"/>
      <c r="AH107" s="161"/>
      <c r="AI107" s="161"/>
      <c r="AJ107" s="161"/>
      <c r="AK107" s="161"/>
      <c r="AL107" s="161"/>
      <c r="AM107" s="161"/>
      <c r="AN107" s="161"/>
      <c r="AO107" s="161"/>
      <c r="AP107" s="161"/>
      <c r="AQ107" s="161"/>
      <c r="AR107" s="161"/>
      <c r="AS107" s="161"/>
      <c r="AT107" s="161"/>
      <c r="AU107" s="161"/>
      <c r="AV107" s="161"/>
      <c r="AW107" s="161"/>
      <c r="AX107" s="161"/>
      <c r="AY107" s="161"/>
      <c r="AZ107" s="161"/>
      <c r="BA107" s="161"/>
      <c r="BB107" s="161"/>
      <c r="BC107" s="161"/>
      <c r="BD107" s="161"/>
      <c r="BE107" s="161"/>
      <c r="BF107" s="161"/>
      <c r="BG107" s="161"/>
      <c r="BH107" s="161"/>
      <c r="BI107" s="161"/>
      <c r="BJ107" s="161"/>
      <c r="BK107" s="161"/>
      <c r="BL107" s="161"/>
      <c r="BM107" s="161"/>
      <c r="BN107" s="161"/>
      <c r="BO107" s="161"/>
      <c r="BP107" s="161"/>
      <c r="BQ107" s="161"/>
      <c r="BR107" s="161"/>
      <c r="BS107" s="161"/>
      <c r="BT107" s="161"/>
      <c r="BU107" s="161"/>
      <c r="BV107" s="161"/>
      <c r="BW107" s="161"/>
    </row>
    <row r="108" spans="1:75">
      <c r="A108" s="161"/>
      <c r="B108" s="161"/>
      <c r="C108" s="161"/>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c r="AA108" s="161"/>
      <c r="AB108" s="161"/>
      <c r="AC108" s="161"/>
      <c r="AD108" s="161"/>
      <c r="AE108" s="161"/>
      <c r="AF108" s="161"/>
      <c r="AG108" s="161"/>
      <c r="AH108" s="161"/>
      <c r="AI108" s="161"/>
      <c r="AJ108" s="161"/>
      <c r="AK108" s="161"/>
      <c r="AL108" s="161"/>
      <c r="AM108" s="161"/>
      <c r="AN108" s="161"/>
      <c r="AO108" s="161"/>
      <c r="AP108" s="161"/>
      <c r="AQ108" s="161"/>
      <c r="AR108" s="161"/>
      <c r="AS108" s="161"/>
      <c r="AT108" s="161"/>
      <c r="AU108" s="161"/>
      <c r="AV108" s="161"/>
      <c r="AW108" s="161"/>
      <c r="AX108" s="161"/>
      <c r="AY108" s="161"/>
      <c r="AZ108" s="161"/>
      <c r="BA108" s="161"/>
      <c r="BB108" s="161"/>
      <c r="BC108" s="161"/>
      <c r="BD108" s="161"/>
      <c r="BE108" s="161"/>
      <c r="BF108" s="161"/>
      <c r="BG108" s="161"/>
      <c r="BH108" s="161"/>
      <c r="BI108" s="161"/>
      <c r="BJ108" s="161"/>
      <c r="BK108" s="161"/>
      <c r="BL108" s="161"/>
      <c r="BM108" s="161"/>
      <c r="BN108" s="161"/>
      <c r="BO108" s="161"/>
      <c r="BP108" s="161"/>
      <c r="BQ108" s="161"/>
      <c r="BR108" s="161"/>
      <c r="BS108" s="161"/>
      <c r="BT108" s="161"/>
      <c r="BU108" s="161"/>
      <c r="BV108" s="161"/>
      <c r="BW108" s="161"/>
    </row>
    <row r="109" spans="1:75">
      <c r="A109" s="161"/>
      <c r="B109" s="161"/>
      <c r="C109" s="161"/>
      <c r="D109" s="161"/>
      <c r="E109" s="161"/>
      <c r="F109" s="161"/>
      <c r="G109" s="161"/>
      <c r="H109" s="161"/>
      <c r="I109" s="161"/>
      <c r="J109" s="161"/>
      <c r="K109" s="161"/>
      <c r="L109" s="161"/>
      <c r="M109" s="161"/>
      <c r="N109" s="161"/>
      <c r="O109" s="161"/>
      <c r="P109" s="161"/>
      <c r="Q109" s="161"/>
      <c r="R109" s="161"/>
      <c r="S109" s="161"/>
      <c r="T109" s="161"/>
      <c r="U109" s="161"/>
      <c r="V109" s="161"/>
      <c r="W109" s="161"/>
      <c r="X109" s="161"/>
      <c r="Y109" s="161"/>
      <c r="Z109" s="161"/>
      <c r="AA109" s="161"/>
      <c r="AB109" s="161"/>
      <c r="AC109" s="161"/>
      <c r="AD109" s="161"/>
      <c r="AE109" s="161"/>
      <c r="AF109" s="161"/>
      <c r="AG109" s="161"/>
      <c r="AH109" s="161"/>
      <c r="AI109" s="161"/>
      <c r="AJ109" s="161"/>
      <c r="AK109" s="161"/>
      <c r="AL109" s="161"/>
      <c r="AM109" s="161"/>
      <c r="AN109" s="161"/>
      <c r="AO109" s="161"/>
      <c r="AP109" s="161"/>
      <c r="AQ109" s="161"/>
      <c r="AR109" s="161"/>
      <c r="AS109" s="161"/>
      <c r="AT109" s="161"/>
      <c r="AU109" s="161"/>
      <c r="AV109" s="161"/>
      <c r="AW109" s="161"/>
      <c r="AX109" s="161"/>
      <c r="AY109" s="161"/>
      <c r="AZ109" s="161"/>
      <c r="BA109" s="161"/>
      <c r="BB109" s="161"/>
      <c r="BC109" s="161"/>
      <c r="BD109" s="161"/>
      <c r="BE109" s="161"/>
      <c r="BF109" s="161"/>
      <c r="BG109" s="161"/>
      <c r="BH109" s="161"/>
      <c r="BI109" s="161"/>
      <c r="BJ109" s="161"/>
      <c r="BK109" s="161"/>
      <c r="BL109" s="161"/>
      <c r="BM109" s="161"/>
      <c r="BN109" s="161"/>
      <c r="BO109" s="161"/>
      <c r="BP109" s="161"/>
      <c r="BQ109" s="161"/>
      <c r="BR109" s="161"/>
      <c r="BS109" s="161"/>
      <c r="BT109" s="161"/>
      <c r="BU109" s="161"/>
      <c r="BV109" s="161"/>
      <c r="BW109" s="161"/>
    </row>
    <row r="110" spans="1:75">
      <c r="A110" s="161"/>
      <c r="B110" s="161"/>
      <c r="C110" s="161"/>
      <c r="D110" s="161"/>
      <c r="E110" s="161"/>
      <c r="F110" s="161"/>
      <c r="G110" s="161"/>
      <c r="H110" s="161"/>
      <c r="I110" s="161"/>
      <c r="J110" s="161"/>
      <c r="K110" s="161"/>
      <c r="L110" s="161"/>
      <c r="M110" s="161"/>
      <c r="N110" s="161"/>
      <c r="O110" s="161"/>
      <c r="P110" s="161"/>
      <c r="Q110" s="161"/>
      <c r="R110" s="161"/>
      <c r="S110" s="161"/>
      <c r="T110" s="161"/>
      <c r="U110" s="161"/>
      <c r="V110" s="161"/>
      <c r="W110" s="161"/>
      <c r="X110" s="161"/>
      <c r="Y110" s="161"/>
      <c r="Z110" s="161"/>
      <c r="AA110" s="161"/>
      <c r="AB110" s="161"/>
      <c r="AC110" s="161"/>
      <c r="AD110" s="161"/>
      <c r="AE110" s="161"/>
      <c r="AF110" s="161"/>
      <c r="AG110" s="161"/>
      <c r="AH110" s="161"/>
      <c r="AI110" s="161"/>
      <c r="AJ110" s="161"/>
      <c r="AK110" s="161"/>
      <c r="AL110" s="161"/>
      <c r="AM110" s="161"/>
      <c r="AN110" s="161"/>
      <c r="AO110" s="161"/>
      <c r="AP110" s="161"/>
      <c r="AQ110" s="161"/>
      <c r="AR110" s="161"/>
      <c r="AS110" s="161"/>
      <c r="AT110" s="161"/>
      <c r="AU110" s="161"/>
      <c r="AV110" s="161"/>
      <c r="AW110" s="161"/>
      <c r="AX110" s="161"/>
      <c r="AY110" s="161"/>
      <c r="AZ110" s="161"/>
      <c r="BA110" s="161"/>
      <c r="BB110" s="161"/>
      <c r="BC110" s="161"/>
      <c r="BD110" s="161"/>
      <c r="BE110" s="161"/>
      <c r="BF110" s="161"/>
      <c r="BG110" s="161"/>
      <c r="BH110" s="161"/>
      <c r="BI110" s="161"/>
      <c r="BJ110" s="161"/>
      <c r="BK110" s="161"/>
      <c r="BL110" s="161"/>
      <c r="BM110" s="161"/>
      <c r="BN110" s="161"/>
      <c r="BO110" s="161"/>
      <c r="BP110" s="161"/>
      <c r="BQ110" s="161"/>
      <c r="BR110" s="161"/>
      <c r="BS110" s="161"/>
      <c r="BT110" s="161"/>
      <c r="BU110" s="161"/>
      <c r="BV110" s="161"/>
      <c r="BW110" s="161"/>
    </row>
    <row r="111" spans="1:75">
      <c r="A111" s="161"/>
      <c r="B111" s="161"/>
      <c r="C111" s="161"/>
      <c r="D111" s="161"/>
      <c r="E111" s="161"/>
      <c r="F111" s="161"/>
      <c r="G111" s="161"/>
      <c r="H111" s="161"/>
      <c r="I111" s="161"/>
      <c r="J111" s="161"/>
      <c r="K111" s="161"/>
      <c r="L111" s="161"/>
      <c r="M111" s="161"/>
      <c r="N111" s="161"/>
      <c r="O111" s="161"/>
      <c r="P111" s="161"/>
      <c r="Q111" s="161"/>
      <c r="R111" s="161"/>
      <c r="S111" s="161"/>
      <c r="T111" s="161"/>
      <c r="U111" s="161"/>
      <c r="V111" s="161"/>
      <c r="W111" s="161"/>
      <c r="X111" s="161"/>
      <c r="Y111" s="161"/>
      <c r="Z111" s="161"/>
      <c r="AA111" s="161"/>
      <c r="AB111" s="161"/>
      <c r="AC111" s="161"/>
      <c r="AD111" s="161"/>
      <c r="AE111" s="161"/>
      <c r="AF111" s="161"/>
      <c r="AG111" s="161"/>
      <c r="AH111" s="161"/>
      <c r="AI111" s="161"/>
      <c r="AJ111" s="161"/>
      <c r="AK111" s="161"/>
      <c r="AL111" s="161"/>
      <c r="AM111" s="161"/>
      <c r="AN111" s="161"/>
      <c r="AO111" s="161"/>
      <c r="AP111" s="161"/>
      <c r="AQ111" s="161"/>
      <c r="AR111" s="161"/>
      <c r="AS111" s="161"/>
      <c r="AT111" s="161"/>
      <c r="AU111" s="161"/>
      <c r="AV111" s="161"/>
      <c r="AW111" s="161"/>
      <c r="AX111" s="161"/>
      <c r="AY111" s="161"/>
      <c r="AZ111" s="161"/>
      <c r="BA111" s="161"/>
      <c r="BB111" s="161"/>
      <c r="BC111" s="161"/>
      <c r="BD111" s="161"/>
      <c r="BE111" s="161"/>
      <c r="BF111" s="161"/>
      <c r="BG111" s="161"/>
      <c r="BH111" s="161"/>
      <c r="BI111" s="161"/>
      <c r="BJ111" s="161"/>
      <c r="BK111" s="161"/>
      <c r="BL111" s="161"/>
      <c r="BM111" s="161"/>
      <c r="BN111" s="161"/>
      <c r="BO111" s="161"/>
      <c r="BP111" s="161"/>
      <c r="BQ111" s="161"/>
      <c r="BR111" s="161"/>
      <c r="BS111" s="161"/>
      <c r="BT111" s="161"/>
      <c r="BU111" s="161"/>
      <c r="BV111" s="161"/>
      <c r="BW111" s="161"/>
    </row>
    <row r="112" spans="1:75">
      <c r="A112" s="161"/>
      <c r="B112" s="161"/>
      <c r="C112" s="161"/>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J112" s="161"/>
      <c r="AK112" s="161"/>
      <c r="AL112" s="161"/>
      <c r="AM112" s="161"/>
      <c r="AN112" s="161"/>
      <c r="AO112" s="161"/>
      <c r="AP112" s="161"/>
      <c r="AQ112" s="161"/>
      <c r="AR112" s="161"/>
      <c r="AS112" s="161"/>
      <c r="AT112" s="161"/>
      <c r="AU112" s="161"/>
      <c r="AV112" s="161"/>
      <c r="AW112" s="161"/>
      <c r="AX112" s="161"/>
      <c r="AY112" s="161"/>
      <c r="AZ112" s="161"/>
      <c r="BA112" s="161"/>
      <c r="BB112" s="161"/>
      <c r="BC112" s="161"/>
      <c r="BD112" s="161"/>
      <c r="BE112" s="161"/>
      <c r="BF112" s="161"/>
      <c r="BG112" s="161"/>
      <c r="BH112" s="161"/>
      <c r="BI112" s="161"/>
      <c r="BJ112" s="161"/>
      <c r="BK112" s="161"/>
      <c r="BL112" s="161"/>
      <c r="BM112" s="161"/>
      <c r="BN112" s="161"/>
      <c r="BO112" s="161"/>
      <c r="BP112" s="161"/>
      <c r="BQ112" s="161"/>
      <c r="BR112" s="161"/>
      <c r="BS112" s="161"/>
      <c r="BT112" s="161"/>
      <c r="BU112" s="161"/>
      <c r="BV112" s="161"/>
      <c r="BW112" s="161"/>
    </row>
    <row r="113" spans="1:75">
      <c r="A113" s="161"/>
      <c r="B113" s="161"/>
      <c r="C113" s="161"/>
      <c r="D113" s="161"/>
      <c r="E113" s="161"/>
      <c r="F113" s="161"/>
      <c r="G113" s="161"/>
      <c r="H113" s="161"/>
      <c r="I113" s="161"/>
      <c r="J113" s="161"/>
      <c r="K113" s="161"/>
      <c r="L113" s="161"/>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J113" s="161"/>
      <c r="AK113" s="161"/>
      <c r="AL113" s="161"/>
      <c r="AM113" s="161"/>
      <c r="AN113" s="161"/>
      <c r="AO113" s="161"/>
      <c r="AP113" s="161"/>
      <c r="AQ113" s="161"/>
      <c r="AR113" s="161"/>
      <c r="AS113" s="161"/>
      <c r="AT113" s="161"/>
      <c r="AU113" s="161"/>
      <c r="AV113" s="161"/>
      <c r="AW113" s="161"/>
      <c r="AX113" s="161"/>
      <c r="AY113" s="161"/>
      <c r="AZ113" s="161"/>
      <c r="BA113" s="161"/>
      <c r="BB113" s="161"/>
      <c r="BC113" s="161"/>
      <c r="BD113" s="161"/>
      <c r="BE113" s="161"/>
      <c r="BF113" s="161"/>
      <c r="BG113" s="161"/>
      <c r="BH113" s="161"/>
      <c r="BI113" s="161"/>
      <c r="BJ113" s="161"/>
      <c r="BK113" s="161"/>
      <c r="BL113" s="161"/>
      <c r="BM113" s="161"/>
      <c r="BN113" s="161"/>
      <c r="BO113" s="161"/>
      <c r="BP113" s="161"/>
      <c r="BQ113" s="161"/>
      <c r="BR113" s="161"/>
      <c r="BS113" s="161"/>
      <c r="BT113" s="161"/>
      <c r="BU113" s="161"/>
      <c r="BV113" s="161"/>
      <c r="BW113" s="161"/>
    </row>
    <row r="114" spans="1:75">
      <c r="A114" s="161"/>
      <c r="B114" s="161"/>
      <c r="C114" s="161"/>
      <c r="D114" s="161"/>
      <c r="E114" s="161"/>
      <c r="F114" s="161"/>
      <c r="G114" s="161"/>
      <c r="H114" s="161"/>
      <c r="I114" s="161"/>
      <c r="J114" s="161"/>
      <c r="K114" s="161"/>
      <c r="L114" s="161"/>
      <c r="M114" s="161"/>
      <c r="N114" s="161"/>
      <c r="O114" s="161"/>
      <c r="P114" s="161"/>
      <c r="Q114" s="161"/>
      <c r="R114" s="161"/>
      <c r="S114" s="161"/>
      <c r="T114" s="161"/>
      <c r="U114" s="161"/>
      <c r="V114" s="161"/>
      <c r="W114" s="161"/>
      <c r="X114" s="161"/>
      <c r="Y114" s="161"/>
      <c r="Z114" s="161"/>
      <c r="AA114" s="161"/>
      <c r="AB114" s="161"/>
      <c r="AC114" s="161"/>
      <c r="AD114" s="161"/>
      <c r="AE114" s="161"/>
      <c r="AF114" s="161"/>
      <c r="AG114" s="161"/>
      <c r="AH114" s="161"/>
      <c r="AI114" s="161"/>
      <c r="AJ114" s="161"/>
      <c r="AK114" s="161"/>
      <c r="AL114" s="161"/>
      <c r="AM114" s="161"/>
      <c r="AN114" s="161"/>
      <c r="AO114" s="161"/>
      <c r="AP114" s="161"/>
      <c r="AQ114" s="161"/>
      <c r="AR114" s="161"/>
      <c r="AS114" s="161"/>
      <c r="AT114" s="161"/>
      <c r="AU114" s="161"/>
      <c r="AV114" s="161"/>
      <c r="AW114" s="161"/>
      <c r="AX114" s="161"/>
      <c r="AY114" s="161"/>
      <c r="AZ114" s="161"/>
      <c r="BA114" s="161"/>
      <c r="BB114" s="161"/>
      <c r="BC114" s="161"/>
      <c r="BD114" s="161"/>
      <c r="BE114" s="161"/>
      <c r="BF114" s="161"/>
      <c r="BG114" s="161"/>
      <c r="BH114" s="161"/>
      <c r="BI114" s="161"/>
      <c r="BJ114" s="161"/>
      <c r="BK114" s="161"/>
      <c r="BL114" s="161"/>
      <c r="BM114" s="161"/>
      <c r="BN114" s="161"/>
      <c r="BO114" s="161"/>
      <c r="BP114" s="161"/>
      <c r="BQ114" s="161"/>
      <c r="BR114" s="161"/>
      <c r="BS114" s="161"/>
      <c r="BT114" s="161"/>
      <c r="BU114" s="161"/>
      <c r="BV114" s="161"/>
      <c r="BW114" s="161"/>
    </row>
    <row r="115" spans="1:75">
      <c r="A115" s="161"/>
      <c r="B115" s="161"/>
      <c r="C115" s="161"/>
      <c r="D115" s="161"/>
      <c r="E115" s="161"/>
      <c r="F115" s="161"/>
      <c r="G115" s="161"/>
      <c r="H115" s="161"/>
      <c r="I115" s="161"/>
      <c r="J115" s="161"/>
      <c r="K115" s="161"/>
      <c r="L115" s="161"/>
      <c r="M115" s="161"/>
      <c r="N115" s="161"/>
      <c r="O115" s="161"/>
      <c r="P115" s="161"/>
      <c r="Q115" s="161"/>
      <c r="R115" s="161"/>
      <c r="S115" s="161"/>
      <c r="T115" s="161"/>
      <c r="U115" s="161"/>
      <c r="V115" s="161"/>
      <c r="W115" s="161"/>
      <c r="X115" s="161"/>
      <c r="Y115" s="161"/>
      <c r="Z115" s="161"/>
      <c r="AA115" s="161"/>
      <c r="AB115" s="161"/>
      <c r="AC115" s="161"/>
      <c r="AD115" s="161"/>
      <c r="AE115" s="161"/>
      <c r="AF115" s="161"/>
      <c r="AG115" s="161"/>
      <c r="AH115" s="161"/>
      <c r="AI115" s="161"/>
      <c r="AJ115" s="161"/>
      <c r="AK115" s="161"/>
      <c r="AL115" s="161"/>
      <c r="AM115" s="161"/>
      <c r="AN115" s="161"/>
      <c r="AO115" s="161"/>
      <c r="AP115" s="161"/>
      <c r="AQ115" s="161"/>
      <c r="AR115" s="161"/>
      <c r="AS115" s="161"/>
      <c r="AT115" s="161"/>
      <c r="AU115" s="161"/>
      <c r="AV115" s="161"/>
      <c r="AW115" s="161"/>
      <c r="AX115" s="161"/>
      <c r="AY115" s="161"/>
      <c r="AZ115" s="161"/>
      <c r="BA115" s="161"/>
      <c r="BB115" s="161"/>
      <c r="BC115" s="161"/>
      <c r="BD115" s="161"/>
      <c r="BE115" s="161"/>
      <c r="BF115" s="161"/>
      <c r="BG115" s="161"/>
      <c r="BH115" s="161"/>
      <c r="BI115" s="161"/>
      <c r="BJ115" s="161"/>
      <c r="BK115" s="161"/>
      <c r="BL115" s="161"/>
      <c r="BM115" s="161"/>
      <c r="BN115" s="161"/>
      <c r="BO115" s="161"/>
      <c r="BP115" s="161"/>
      <c r="BQ115" s="161"/>
      <c r="BR115" s="161"/>
      <c r="BS115" s="161"/>
      <c r="BT115" s="161"/>
      <c r="BU115" s="161"/>
      <c r="BV115" s="161"/>
      <c r="BW115" s="161"/>
    </row>
    <row r="116" spans="1:75">
      <c r="A116" s="161"/>
      <c r="B116" s="161"/>
      <c r="C116" s="161"/>
      <c r="D116" s="161"/>
      <c r="E116" s="161"/>
      <c r="F116" s="161"/>
      <c r="G116" s="161"/>
      <c r="H116" s="161"/>
      <c r="I116" s="161"/>
      <c r="J116" s="161"/>
      <c r="K116" s="161"/>
      <c r="L116" s="161"/>
      <c r="M116" s="161"/>
      <c r="N116" s="161"/>
      <c r="O116" s="161"/>
      <c r="P116" s="161"/>
      <c r="Q116" s="161"/>
      <c r="R116" s="161"/>
      <c r="S116" s="161"/>
      <c r="T116" s="161"/>
      <c r="U116" s="161"/>
      <c r="V116" s="161"/>
      <c r="W116" s="161"/>
      <c r="X116" s="161"/>
      <c r="Y116" s="161"/>
      <c r="Z116" s="161"/>
      <c r="AA116" s="161"/>
      <c r="AB116" s="161"/>
      <c r="AC116" s="161"/>
      <c r="AD116" s="161"/>
      <c r="AE116" s="161"/>
      <c r="AF116" s="161"/>
      <c r="AG116" s="161"/>
      <c r="AH116" s="161"/>
      <c r="AI116" s="161"/>
      <c r="AJ116" s="161"/>
      <c r="AK116" s="161"/>
      <c r="AL116" s="161"/>
      <c r="AM116" s="161"/>
      <c r="AN116" s="161"/>
      <c r="AO116" s="161"/>
      <c r="AP116" s="161"/>
      <c r="AQ116" s="161"/>
      <c r="AR116" s="161"/>
      <c r="AS116" s="161"/>
      <c r="AT116" s="161"/>
      <c r="AU116" s="161"/>
      <c r="AV116" s="161"/>
      <c r="AW116" s="161"/>
      <c r="AX116" s="161"/>
      <c r="AY116" s="161"/>
      <c r="AZ116" s="161"/>
      <c r="BA116" s="161"/>
      <c r="BB116" s="161"/>
      <c r="BC116" s="161"/>
      <c r="BD116" s="161"/>
      <c r="BE116" s="161"/>
      <c r="BF116" s="161"/>
      <c r="BG116" s="161"/>
      <c r="BH116" s="161"/>
      <c r="BI116" s="161"/>
      <c r="BJ116" s="161"/>
      <c r="BK116" s="161"/>
      <c r="BL116" s="161"/>
      <c r="BM116" s="161"/>
      <c r="BN116" s="161"/>
      <c r="BO116" s="161"/>
      <c r="BP116" s="161"/>
      <c r="BQ116" s="161"/>
      <c r="BR116" s="161"/>
      <c r="BS116" s="161"/>
      <c r="BT116" s="161"/>
      <c r="BU116" s="161"/>
      <c r="BV116" s="161"/>
      <c r="BW116" s="161"/>
    </row>
    <row r="117" spans="1:75">
      <c r="A117" s="161"/>
      <c r="B117" s="161"/>
      <c r="C117" s="161"/>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61"/>
      <c r="AA117" s="161"/>
      <c r="AB117" s="161"/>
      <c r="AC117" s="161"/>
      <c r="AD117" s="161"/>
      <c r="AE117" s="161"/>
      <c r="AF117" s="161"/>
      <c r="AG117" s="161"/>
      <c r="AH117" s="161"/>
      <c r="AI117" s="161"/>
      <c r="AJ117" s="161"/>
      <c r="AK117" s="161"/>
      <c r="AL117" s="161"/>
      <c r="AM117" s="161"/>
      <c r="AN117" s="161"/>
      <c r="AO117" s="161"/>
      <c r="AP117" s="161"/>
      <c r="AQ117" s="161"/>
      <c r="AR117" s="161"/>
      <c r="AS117" s="161"/>
      <c r="AT117" s="161"/>
      <c r="AU117" s="161"/>
      <c r="AV117" s="161"/>
      <c r="AW117" s="161"/>
      <c r="AX117" s="161"/>
      <c r="AY117" s="161"/>
      <c r="AZ117" s="161"/>
      <c r="BA117" s="161"/>
      <c r="BB117" s="161"/>
      <c r="BC117" s="161"/>
      <c r="BD117" s="161"/>
      <c r="BE117" s="161"/>
      <c r="BF117" s="161"/>
      <c r="BG117" s="161"/>
      <c r="BH117" s="161"/>
      <c r="BI117" s="161"/>
      <c r="BJ117" s="161"/>
      <c r="BK117" s="161"/>
      <c r="BL117" s="161"/>
      <c r="BM117" s="161"/>
      <c r="BN117" s="161"/>
      <c r="BO117" s="161"/>
      <c r="BP117" s="161"/>
      <c r="BQ117" s="161"/>
      <c r="BR117" s="161"/>
      <c r="BS117" s="161"/>
      <c r="BT117" s="161"/>
      <c r="BU117" s="161"/>
      <c r="BV117" s="161"/>
      <c r="BW117" s="161"/>
    </row>
    <row r="118" spans="1:75">
      <c r="A118" s="161"/>
      <c r="B118" s="161"/>
      <c r="C118" s="161"/>
      <c r="D118" s="161"/>
      <c r="E118" s="161"/>
      <c r="F118" s="161"/>
      <c r="G118" s="161"/>
      <c r="H118" s="161"/>
      <c r="I118" s="161"/>
      <c r="J118" s="161"/>
      <c r="K118" s="161"/>
      <c r="L118" s="161"/>
      <c r="M118" s="161"/>
      <c r="N118" s="161"/>
      <c r="O118" s="161"/>
      <c r="P118" s="161"/>
      <c r="Q118" s="161"/>
      <c r="R118" s="161"/>
      <c r="S118" s="161"/>
      <c r="T118" s="161"/>
      <c r="U118" s="161"/>
      <c r="V118" s="161"/>
      <c r="W118" s="161"/>
      <c r="X118" s="161"/>
      <c r="Y118" s="161"/>
      <c r="Z118" s="161"/>
      <c r="AA118" s="161"/>
      <c r="AB118" s="161"/>
      <c r="AC118" s="161"/>
      <c r="AD118" s="161"/>
      <c r="AE118" s="161"/>
      <c r="AF118" s="161"/>
      <c r="AG118" s="161"/>
      <c r="AH118" s="161"/>
      <c r="AI118" s="161"/>
      <c r="AJ118" s="161"/>
      <c r="AK118" s="161"/>
      <c r="AL118" s="161"/>
      <c r="AM118" s="161"/>
      <c r="AN118" s="161"/>
      <c r="AO118" s="161"/>
      <c r="AP118" s="161"/>
      <c r="AQ118" s="161"/>
      <c r="AR118" s="161"/>
      <c r="AS118" s="161"/>
      <c r="AT118" s="161"/>
      <c r="AU118" s="161"/>
      <c r="AV118" s="161"/>
      <c r="AW118" s="161"/>
      <c r="AX118" s="161"/>
      <c r="AY118" s="161"/>
      <c r="AZ118" s="161"/>
      <c r="BA118" s="161"/>
      <c r="BB118" s="161"/>
      <c r="BC118" s="161"/>
      <c r="BD118" s="161"/>
      <c r="BE118" s="161"/>
      <c r="BF118" s="161"/>
      <c r="BG118" s="161"/>
      <c r="BH118" s="161"/>
      <c r="BI118" s="161"/>
      <c r="BJ118" s="161"/>
      <c r="BK118" s="161"/>
      <c r="BL118" s="161"/>
      <c r="BM118" s="161"/>
      <c r="BN118" s="161"/>
      <c r="BO118" s="161"/>
      <c r="BP118" s="161"/>
      <c r="BQ118" s="161"/>
      <c r="BR118" s="161"/>
      <c r="BS118" s="161"/>
      <c r="BT118" s="161"/>
      <c r="BU118" s="161"/>
      <c r="BV118" s="161"/>
      <c r="BW118" s="161"/>
    </row>
    <row r="119" spans="1:75">
      <c r="A119" s="161"/>
      <c r="B119" s="161"/>
      <c r="C119" s="161"/>
      <c r="D119" s="161"/>
      <c r="E119" s="161"/>
      <c r="F119" s="161"/>
      <c r="G119" s="161"/>
      <c r="H119" s="161"/>
      <c r="I119" s="161"/>
      <c r="J119" s="161"/>
      <c r="K119" s="161"/>
      <c r="L119" s="161"/>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161"/>
      <c r="AN119" s="161"/>
      <c r="AO119" s="161"/>
      <c r="AP119" s="161"/>
      <c r="AQ119" s="161"/>
      <c r="AR119" s="161"/>
      <c r="AS119" s="161"/>
      <c r="AT119" s="161"/>
      <c r="AU119" s="161"/>
      <c r="AV119" s="161"/>
      <c r="AW119" s="161"/>
      <c r="AX119" s="161"/>
      <c r="AY119" s="161"/>
      <c r="AZ119" s="161"/>
      <c r="BA119" s="161"/>
      <c r="BB119" s="161"/>
      <c r="BC119" s="161"/>
      <c r="BD119" s="161"/>
      <c r="BE119" s="161"/>
      <c r="BF119" s="161"/>
      <c r="BG119" s="161"/>
      <c r="BH119" s="161"/>
      <c r="BI119" s="161"/>
      <c r="BJ119" s="161"/>
      <c r="BK119" s="161"/>
      <c r="BL119" s="161"/>
      <c r="BM119" s="161"/>
      <c r="BN119" s="161"/>
      <c r="BO119" s="161"/>
      <c r="BP119" s="161"/>
      <c r="BQ119" s="161"/>
      <c r="BR119" s="161"/>
      <c r="BS119" s="161"/>
      <c r="BT119" s="161"/>
      <c r="BU119" s="161"/>
      <c r="BV119" s="161"/>
      <c r="BW119" s="161"/>
    </row>
    <row r="120" spans="1:75">
      <c r="A120" s="161"/>
      <c r="B120" s="161"/>
      <c r="C120" s="161"/>
      <c r="D120" s="161"/>
      <c r="E120" s="161"/>
      <c r="F120" s="161"/>
      <c r="G120" s="161"/>
      <c r="H120" s="161"/>
      <c r="I120" s="161"/>
      <c r="J120" s="161"/>
      <c r="K120" s="161"/>
      <c r="L120" s="161"/>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J120" s="161"/>
      <c r="AK120" s="161"/>
      <c r="AL120" s="161"/>
      <c r="AM120" s="161"/>
      <c r="AN120" s="161"/>
      <c r="AO120" s="161"/>
      <c r="AP120" s="161"/>
      <c r="AQ120" s="161"/>
      <c r="AR120" s="161"/>
      <c r="AS120" s="161"/>
      <c r="AT120" s="161"/>
      <c r="AU120" s="161"/>
      <c r="AV120" s="161"/>
      <c r="AW120" s="161"/>
      <c r="AX120" s="161"/>
      <c r="AY120" s="161"/>
      <c r="AZ120" s="161"/>
      <c r="BA120" s="161"/>
      <c r="BB120" s="161"/>
      <c r="BC120" s="161"/>
      <c r="BD120" s="161"/>
      <c r="BE120" s="161"/>
      <c r="BF120" s="161"/>
      <c r="BG120" s="161"/>
      <c r="BH120" s="161"/>
      <c r="BI120" s="161"/>
      <c r="BJ120" s="161"/>
      <c r="BK120" s="161"/>
      <c r="BL120" s="161"/>
      <c r="BM120" s="161"/>
      <c r="BN120" s="161"/>
      <c r="BO120" s="161"/>
      <c r="BP120" s="161"/>
      <c r="BQ120" s="161"/>
      <c r="BR120" s="161"/>
      <c r="BS120" s="161"/>
      <c r="BT120" s="161"/>
      <c r="BU120" s="161"/>
      <c r="BV120" s="161"/>
      <c r="BW120" s="161"/>
    </row>
    <row r="121" spans="1:75">
      <c r="A121" s="161"/>
      <c r="B121" s="307"/>
      <c r="C121" s="307"/>
      <c r="D121" s="307">
        <f t="shared" ref="D121:F126" si="91">D34-C34</f>
        <v>254.07012666048809</v>
      </c>
      <c r="E121" s="307">
        <f t="shared" si="91"/>
        <v>277.43589743589746</v>
      </c>
      <c r="F121" s="307">
        <f t="shared" si="91"/>
        <v>289</v>
      </c>
      <c r="G121" s="307">
        <f t="shared" ref="G121:N121" si="92">G34-F34</f>
        <v>251</v>
      </c>
      <c r="H121" s="307">
        <f t="shared" si="92"/>
        <v>234</v>
      </c>
      <c r="I121" s="307">
        <f t="shared" si="92"/>
        <v>279</v>
      </c>
      <c r="J121" s="307">
        <f t="shared" si="92"/>
        <v>250</v>
      </c>
      <c r="K121" s="307">
        <f t="shared" si="92"/>
        <v>274</v>
      </c>
      <c r="L121" s="307">
        <f t="shared" si="92"/>
        <v>244</v>
      </c>
      <c r="M121" s="307">
        <f t="shared" si="92"/>
        <v>223</v>
      </c>
      <c r="N121" s="307">
        <f t="shared" si="92"/>
        <v>97</v>
      </c>
      <c r="O121" s="307"/>
      <c r="P121" s="307"/>
      <c r="Q121" s="307"/>
      <c r="R121" s="307"/>
      <c r="S121" s="307"/>
      <c r="T121" s="161"/>
      <c r="U121" s="161"/>
      <c r="V121" s="161"/>
      <c r="W121" s="161"/>
      <c r="X121" s="161"/>
      <c r="Y121" s="161"/>
      <c r="Z121" s="161"/>
      <c r="AA121" s="161"/>
      <c r="AB121" s="161"/>
      <c r="AC121" s="161"/>
      <c r="AD121" s="161"/>
      <c r="AE121" s="161"/>
      <c r="AF121" s="161"/>
      <c r="AG121" s="161"/>
      <c r="AH121" s="161"/>
      <c r="AI121" s="161"/>
      <c r="AJ121" s="161"/>
      <c r="AK121" s="161"/>
      <c r="AL121" s="161"/>
      <c r="AM121" s="161"/>
      <c r="AN121" s="161"/>
      <c r="AO121" s="161"/>
      <c r="AP121" s="161"/>
      <c r="AQ121" s="161"/>
      <c r="AR121" s="161"/>
      <c r="AS121" s="161"/>
      <c r="AT121" s="161"/>
      <c r="AU121" s="161"/>
      <c r="AV121" s="161"/>
      <c r="AW121" s="161"/>
      <c r="AX121" s="161"/>
      <c r="AY121" s="161"/>
      <c r="AZ121" s="161"/>
      <c r="BA121" s="161"/>
      <c r="BB121" s="161"/>
      <c r="BC121" s="161"/>
      <c r="BD121" s="161"/>
      <c r="BE121" s="161"/>
      <c r="BF121" s="161"/>
      <c r="BG121" s="161"/>
      <c r="BH121" s="161"/>
      <c r="BI121" s="161"/>
      <c r="BJ121" s="161"/>
      <c r="BK121" s="161"/>
      <c r="BL121" s="161"/>
      <c r="BM121" s="161"/>
      <c r="BN121" s="161"/>
      <c r="BO121" s="161"/>
      <c r="BP121" s="161"/>
      <c r="BQ121" s="161"/>
      <c r="BR121" s="161"/>
      <c r="BS121" s="161"/>
      <c r="BT121" s="161"/>
      <c r="BU121" s="161"/>
      <c r="BV121" s="161"/>
      <c r="BW121" s="161"/>
    </row>
    <row r="122" spans="1:75">
      <c r="A122" s="161"/>
      <c r="B122" s="161" t="str">
        <f>B35</f>
        <v>MEGA</v>
      </c>
      <c r="C122" s="307"/>
      <c r="D122" s="307">
        <f t="shared" si="91"/>
        <v>83.019000000000233</v>
      </c>
      <c r="E122" s="307">
        <f t="shared" si="91"/>
        <v>184.5949999999998</v>
      </c>
      <c r="F122" s="307">
        <f t="shared" si="91"/>
        <v>96.329000000000178</v>
      </c>
      <c r="G122" s="307">
        <f t="shared" ref="G122:L126" si="93">G35-F35</f>
        <v>79.415999999999713</v>
      </c>
      <c r="H122" s="307">
        <f t="shared" si="93"/>
        <v>58.160000000000309</v>
      </c>
      <c r="I122" s="307">
        <f t="shared" si="93"/>
        <v>105.01199999999972</v>
      </c>
      <c r="J122" s="307">
        <f t="shared" si="93"/>
        <v>80.981000000000222</v>
      </c>
      <c r="K122" s="307">
        <f t="shared" si="93"/>
        <v>59.403999999999996</v>
      </c>
      <c r="L122" s="307">
        <f t="shared" si="93"/>
        <v>19.177999999999884</v>
      </c>
      <c r="M122" s="307">
        <f t="shared" ref="M122:N126" si="94">M35-L35</f>
        <v>100.65700000000015</v>
      </c>
      <c r="N122" s="307">
        <f t="shared" si="94"/>
        <v>124.72799999999961</v>
      </c>
      <c r="O122" s="307"/>
      <c r="P122" s="307"/>
      <c r="Q122" s="307"/>
      <c r="R122" s="307"/>
      <c r="S122" s="307"/>
      <c r="T122" s="161"/>
      <c r="U122" s="161"/>
      <c r="V122" s="161"/>
      <c r="W122" s="161"/>
      <c r="X122" s="161"/>
      <c r="Y122" s="161"/>
      <c r="Z122" s="161"/>
      <c r="AA122" s="161"/>
      <c r="AB122" s="161"/>
      <c r="AC122" s="161"/>
      <c r="AD122" s="161"/>
      <c r="AE122" s="161"/>
      <c r="AF122" s="161"/>
      <c r="AG122" s="161"/>
      <c r="AH122" s="161"/>
      <c r="AI122" s="161"/>
      <c r="AJ122" s="161"/>
      <c r="AK122" s="161"/>
      <c r="AL122" s="161"/>
      <c r="AM122" s="161"/>
      <c r="AN122" s="161"/>
      <c r="AO122" s="161"/>
      <c r="AP122" s="161"/>
      <c r="AQ122" s="161"/>
      <c r="AR122" s="161"/>
      <c r="AS122" s="161"/>
      <c r="AT122" s="161"/>
      <c r="AU122" s="161"/>
      <c r="AV122" s="161"/>
      <c r="AW122" s="161"/>
      <c r="AX122" s="161"/>
      <c r="AY122" s="161"/>
      <c r="AZ122" s="161"/>
      <c r="BA122" s="161"/>
      <c r="BB122" s="161"/>
      <c r="BC122" s="161"/>
      <c r="BD122" s="161"/>
      <c r="BE122" s="161"/>
      <c r="BF122" s="161"/>
      <c r="BG122" s="161"/>
      <c r="BH122" s="161"/>
      <c r="BI122" s="161"/>
      <c r="BJ122" s="161"/>
      <c r="BK122" s="161"/>
      <c r="BL122" s="161"/>
      <c r="BM122" s="161"/>
      <c r="BN122" s="161"/>
      <c r="BO122" s="161"/>
      <c r="BP122" s="161"/>
      <c r="BQ122" s="161"/>
      <c r="BR122" s="161"/>
      <c r="BS122" s="161"/>
      <c r="BT122" s="161"/>
      <c r="BU122" s="161"/>
      <c r="BV122" s="161"/>
      <c r="BW122" s="161"/>
    </row>
    <row r="123" spans="1:75">
      <c r="A123" s="161"/>
      <c r="B123" s="161" t="str">
        <f>B36</f>
        <v>Televisa</v>
      </c>
      <c r="C123" s="307"/>
      <c r="D123" s="307">
        <f t="shared" si="91"/>
        <v>252</v>
      </c>
      <c r="E123" s="307">
        <f t="shared" si="91"/>
        <v>234</v>
      </c>
      <c r="F123" s="307">
        <f t="shared" si="91"/>
        <v>128.80057500770636</v>
      </c>
      <c r="G123" s="307">
        <f t="shared" si="93"/>
        <v>103.19942499229364</v>
      </c>
      <c r="H123" s="307">
        <f t="shared" si="93"/>
        <v>31</v>
      </c>
      <c r="I123" s="307">
        <f t="shared" si="93"/>
        <v>25</v>
      </c>
      <c r="J123" s="307">
        <f t="shared" si="93"/>
        <v>58.101999999999862</v>
      </c>
      <c r="K123" s="307">
        <f t="shared" si="93"/>
        <v>82.923999999999978</v>
      </c>
      <c r="L123" s="307">
        <f t="shared" si="93"/>
        <v>77.564000000000306</v>
      </c>
      <c r="M123" s="307">
        <f t="shared" si="94"/>
        <v>96.233999999999469</v>
      </c>
      <c r="N123" s="307">
        <f t="shared" si="94"/>
        <v>78.176000000000386</v>
      </c>
      <c r="O123" s="307"/>
      <c r="P123" s="307"/>
      <c r="Q123" s="307"/>
      <c r="R123" s="307"/>
      <c r="S123" s="307"/>
      <c r="T123" s="161"/>
      <c r="U123" s="161"/>
      <c r="V123" s="161"/>
      <c r="W123" s="161"/>
      <c r="X123" s="161"/>
      <c r="Y123" s="161"/>
      <c r="Z123" s="161"/>
      <c r="AA123" s="161"/>
      <c r="AB123" s="161"/>
      <c r="AC123" s="161"/>
      <c r="AD123" s="161"/>
      <c r="AE123" s="161"/>
      <c r="AF123" s="161"/>
      <c r="AG123" s="161"/>
      <c r="AH123" s="161"/>
      <c r="AI123" s="161"/>
      <c r="AJ123" s="161"/>
      <c r="AK123" s="161"/>
      <c r="AL123" s="161"/>
      <c r="AM123" s="161"/>
      <c r="AN123" s="161"/>
      <c r="AO123" s="161"/>
      <c r="AP123" s="161"/>
      <c r="AQ123" s="161"/>
      <c r="AR123" s="161"/>
      <c r="AS123" s="161"/>
      <c r="AT123" s="161"/>
      <c r="AU123" s="161"/>
      <c r="AV123" s="161"/>
      <c r="AW123" s="161"/>
      <c r="AX123" s="161"/>
      <c r="AY123" s="161"/>
      <c r="AZ123" s="161"/>
      <c r="BA123" s="161"/>
      <c r="BB123" s="161"/>
      <c r="BC123" s="161"/>
      <c r="BD123" s="161"/>
      <c r="BE123" s="161"/>
      <c r="BF123" s="161"/>
      <c r="BG123" s="161"/>
      <c r="BH123" s="161"/>
      <c r="BI123" s="161"/>
      <c r="BJ123" s="161"/>
      <c r="BK123" s="161"/>
      <c r="BL123" s="161"/>
      <c r="BM123" s="161"/>
      <c r="BN123" s="161"/>
      <c r="BO123" s="161"/>
      <c r="BP123" s="161"/>
      <c r="BQ123" s="161"/>
      <c r="BR123" s="161"/>
      <c r="BS123" s="161"/>
      <c r="BT123" s="161"/>
      <c r="BU123" s="161"/>
      <c r="BV123" s="161"/>
      <c r="BW123" s="161"/>
    </row>
    <row r="124" spans="1:75">
      <c r="A124" s="161"/>
      <c r="B124" s="161" t="str">
        <f>B37</f>
        <v>Telmex total BB</v>
      </c>
      <c r="C124" s="307"/>
      <c r="D124" s="307">
        <f t="shared" si="91"/>
        <v>63</v>
      </c>
      <c r="E124" s="307">
        <f t="shared" si="91"/>
        <v>117</v>
      </c>
      <c r="F124" s="307">
        <f t="shared" si="91"/>
        <v>33</v>
      </c>
      <c r="G124" s="307">
        <f t="shared" si="93"/>
        <v>-19</v>
      </c>
      <c r="H124" s="307">
        <f t="shared" si="93"/>
        <v>-38</v>
      </c>
      <c r="I124" s="307">
        <f t="shared" si="93"/>
        <v>94</v>
      </c>
      <c r="J124" s="307">
        <f t="shared" si="93"/>
        <v>-11</v>
      </c>
      <c r="K124" s="307">
        <f t="shared" si="93"/>
        <v>63</v>
      </c>
      <c r="L124" s="307">
        <f t="shared" si="93"/>
        <v>20</v>
      </c>
      <c r="M124" s="307">
        <f t="shared" si="94"/>
        <v>1</v>
      </c>
      <c r="N124" s="307">
        <f t="shared" si="94"/>
        <v>-96</v>
      </c>
      <c r="O124" s="307"/>
      <c r="P124" s="307"/>
      <c r="Q124" s="307"/>
      <c r="R124" s="307"/>
      <c r="S124" s="307"/>
      <c r="T124" s="161"/>
      <c r="U124" s="161"/>
      <c r="V124" s="161"/>
      <c r="W124" s="161"/>
      <c r="X124" s="161"/>
      <c r="Y124" s="161"/>
      <c r="Z124" s="161"/>
      <c r="AA124" s="161"/>
      <c r="AB124" s="161"/>
      <c r="AC124" s="161"/>
      <c r="AD124" s="161"/>
      <c r="AE124" s="161"/>
      <c r="AF124" s="161"/>
      <c r="AG124" s="161"/>
      <c r="AH124" s="161"/>
      <c r="AI124" s="161"/>
      <c r="AJ124" s="161"/>
      <c r="AK124" s="161"/>
      <c r="AL124" s="161"/>
      <c r="AM124" s="161"/>
      <c r="AN124" s="161"/>
      <c r="AO124" s="161"/>
      <c r="AP124" s="161"/>
      <c r="AQ124" s="161"/>
      <c r="AR124" s="161"/>
      <c r="AS124" s="161"/>
      <c r="AT124" s="161"/>
      <c r="AU124" s="161"/>
      <c r="AV124" s="161"/>
      <c r="AW124" s="161"/>
      <c r="AX124" s="161"/>
      <c r="AY124" s="161"/>
      <c r="AZ124" s="161"/>
      <c r="BA124" s="161"/>
      <c r="BB124" s="161"/>
      <c r="BC124" s="161"/>
      <c r="BD124" s="161"/>
      <c r="BE124" s="161"/>
      <c r="BF124" s="161"/>
      <c r="BG124" s="161"/>
      <c r="BH124" s="161"/>
      <c r="BI124" s="161"/>
      <c r="BJ124" s="161"/>
      <c r="BK124" s="161"/>
      <c r="BL124" s="161"/>
      <c r="BM124" s="161"/>
      <c r="BN124" s="161"/>
      <c r="BO124" s="161"/>
      <c r="BP124" s="161"/>
      <c r="BQ124" s="161"/>
      <c r="BR124" s="161"/>
      <c r="BS124" s="161"/>
      <c r="BT124" s="161"/>
      <c r="BU124" s="161"/>
      <c r="BV124" s="161"/>
      <c r="BW124" s="161"/>
    </row>
    <row r="125" spans="1:75">
      <c r="A125" s="161"/>
      <c r="B125" s="307"/>
      <c r="C125" s="307"/>
      <c r="D125" s="307">
        <f t="shared" si="91"/>
        <v>3317</v>
      </c>
      <c r="E125" s="307">
        <f t="shared" si="91"/>
        <v>-3317</v>
      </c>
      <c r="F125" s="307">
        <f t="shared" si="91"/>
        <v>0</v>
      </c>
      <c r="G125" s="307">
        <f t="shared" si="93"/>
        <v>0</v>
      </c>
      <c r="H125" s="307">
        <f t="shared" si="93"/>
        <v>4281</v>
      </c>
      <c r="I125" s="307">
        <f t="shared" si="93"/>
        <v>-4281</v>
      </c>
      <c r="J125" s="307">
        <f t="shared" si="93"/>
        <v>0</v>
      </c>
      <c r="K125" s="307">
        <f t="shared" si="93"/>
        <v>0</v>
      </c>
      <c r="L125" s="307">
        <f t="shared" si="93"/>
        <v>0</v>
      </c>
      <c r="M125" s="307">
        <f t="shared" si="94"/>
        <v>0</v>
      </c>
      <c r="N125" s="307">
        <f t="shared" si="94"/>
        <v>0</v>
      </c>
      <c r="O125" s="307"/>
      <c r="P125" s="307"/>
      <c r="Q125" s="307"/>
      <c r="R125" s="307"/>
      <c r="S125" s="307"/>
      <c r="T125" s="161"/>
      <c r="U125" s="161"/>
      <c r="V125" s="161"/>
      <c r="W125" s="161"/>
      <c r="X125" s="161"/>
      <c r="Y125" s="161"/>
      <c r="Z125" s="161"/>
      <c r="AA125" s="161"/>
      <c r="AB125" s="161"/>
      <c r="AC125" s="161"/>
      <c r="AD125" s="161"/>
      <c r="AE125" s="161"/>
      <c r="AF125" s="161"/>
      <c r="AG125" s="161"/>
      <c r="AH125" s="161"/>
      <c r="AI125" s="161"/>
      <c r="AJ125" s="161"/>
      <c r="AK125" s="161"/>
      <c r="AL125" s="161"/>
      <c r="AM125" s="161"/>
      <c r="AN125" s="161"/>
      <c r="AO125" s="161"/>
      <c r="AP125" s="161"/>
      <c r="AQ125" s="161"/>
      <c r="AR125" s="161"/>
      <c r="AS125" s="161"/>
      <c r="AT125" s="161"/>
      <c r="AU125" s="161"/>
      <c r="AV125" s="161"/>
      <c r="AW125" s="161"/>
      <c r="AX125" s="161"/>
      <c r="AY125" s="161"/>
      <c r="AZ125" s="161"/>
      <c r="BA125" s="161"/>
      <c r="BB125" s="161"/>
      <c r="BC125" s="161"/>
      <c r="BD125" s="161"/>
      <c r="BE125" s="161"/>
      <c r="BF125" s="161"/>
      <c r="BG125" s="161"/>
      <c r="BH125" s="161"/>
      <c r="BI125" s="161"/>
      <c r="BJ125" s="161"/>
      <c r="BK125" s="161"/>
      <c r="BL125" s="161"/>
      <c r="BM125" s="161"/>
      <c r="BN125" s="161"/>
      <c r="BO125" s="161"/>
      <c r="BP125" s="161"/>
      <c r="BQ125" s="161"/>
      <c r="BR125" s="161"/>
      <c r="BS125" s="161"/>
      <c r="BT125" s="161"/>
      <c r="BU125" s="161"/>
      <c r="BV125" s="161"/>
      <c r="BW125" s="161"/>
    </row>
    <row r="126" spans="1:75">
      <c r="A126" s="161"/>
      <c r="B126" s="308"/>
      <c r="C126" s="308"/>
      <c r="D126" s="308">
        <f t="shared" si="91"/>
        <v>652.08912666048855</v>
      </c>
      <c r="E126" s="308">
        <f t="shared" si="91"/>
        <v>813.03089743589589</v>
      </c>
      <c r="F126" s="308">
        <f t="shared" si="91"/>
        <v>547.1295750077079</v>
      </c>
      <c r="G126" s="308">
        <f t="shared" si="93"/>
        <v>414.61542499229108</v>
      </c>
      <c r="H126" s="308">
        <f t="shared" si="93"/>
        <v>285.16000000000349</v>
      </c>
      <c r="I126" s="308">
        <f t="shared" si="93"/>
        <v>503.01199999999881</v>
      </c>
      <c r="J126" s="308">
        <f t="shared" si="93"/>
        <v>378.08299999999872</v>
      </c>
      <c r="K126" s="308">
        <f t="shared" si="93"/>
        <v>479.32800000000134</v>
      </c>
      <c r="L126" s="308">
        <f t="shared" si="93"/>
        <v>360.74200000000201</v>
      </c>
      <c r="M126" s="308">
        <f t="shared" si="94"/>
        <v>420.89099999999598</v>
      </c>
      <c r="N126" s="308">
        <f t="shared" si="94"/>
        <v>203.90400000000227</v>
      </c>
      <c r="O126" s="308"/>
      <c r="P126" s="308"/>
      <c r="Q126" s="308"/>
      <c r="R126" s="308"/>
      <c r="S126" s="308"/>
      <c r="T126" s="161"/>
      <c r="U126" s="161"/>
      <c r="V126" s="161"/>
      <c r="W126" s="161"/>
      <c r="X126" s="161"/>
      <c r="Y126" s="161"/>
      <c r="Z126" s="161"/>
      <c r="AA126" s="161"/>
      <c r="AB126" s="161"/>
      <c r="AC126" s="161"/>
      <c r="AD126" s="161"/>
      <c r="AE126" s="161"/>
      <c r="AF126" s="161"/>
      <c r="AG126" s="161"/>
      <c r="AH126" s="161"/>
      <c r="AI126" s="161"/>
      <c r="AJ126" s="161"/>
      <c r="AK126" s="161"/>
      <c r="AL126" s="161"/>
      <c r="AM126" s="161"/>
      <c r="AN126" s="161"/>
      <c r="AO126" s="161"/>
      <c r="AP126" s="161"/>
      <c r="AQ126" s="161"/>
      <c r="AR126" s="161"/>
      <c r="AS126" s="161"/>
      <c r="AT126" s="161"/>
      <c r="AU126" s="161"/>
      <c r="AV126" s="161"/>
      <c r="AW126" s="161"/>
      <c r="AX126" s="161"/>
      <c r="AY126" s="161"/>
      <c r="AZ126" s="161"/>
      <c r="BA126" s="161"/>
      <c r="BB126" s="161"/>
      <c r="BC126" s="161"/>
      <c r="BD126" s="161"/>
      <c r="BE126" s="161"/>
      <c r="BF126" s="161"/>
      <c r="BG126" s="161"/>
      <c r="BH126" s="161"/>
      <c r="BI126" s="161"/>
      <c r="BJ126" s="161"/>
      <c r="BK126" s="161"/>
      <c r="BL126" s="161"/>
      <c r="BM126" s="161"/>
      <c r="BN126" s="161"/>
      <c r="BO126" s="161"/>
      <c r="BP126" s="161"/>
      <c r="BQ126" s="161"/>
      <c r="BR126" s="161"/>
      <c r="BS126" s="161"/>
      <c r="BT126" s="161"/>
      <c r="BU126" s="161"/>
      <c r="BV126" s="161"/>
      <c r="BW126" s="161"/>
    </row>
    <row r="127" spans="1:75">
      <c r="A127" s="161"/>
      <c r="B127" s="161"/>
      <c r="C127" s="161"/>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1"/>
      <c r="Z127" s="161"/>
      <c r="AA127" s="161"/>
      <c r="AB127" s="161"/>
      <c r="AC127" s="161"/>
      <c r="AD127" s="161"/>
      <c r="AE127" s="161"/>
      <c r="AF127" s="161"/>
      <c r="AG127" s="161"/>
      <c r="AH127" s="161"/>
      <c r="AI127" s="161"/>
      <c r="AJ127" s="161"/>
      <c r="AK127" s="161"/>
      <c r="AL127" s="161"/>
      <c r="AM127" s="161"/>
      <c r="AN127" s="161"/>
      <c r="AO127" s="161"/>
      <c r="AP127" s="161"/>
      <c r="AQ127" s="161"/>
      <c r="AR127" s="161"/>
      <c r="AS127" s="161"/>
      <c r="AT127" s="161"/>
      <c r="AU127" s="161"/>
      <c r="AV127" s="161"/>
      <c r="AW127" s="161"/>
      <c r="AX127" s="161"/>
      <c r="AY127" s="161"/>
      <c r="AZ127" s="161"/>
      <c r="BA127" s="161"/>
      <c r="BB127" s="161"/>
      <c r="BC127" s="161"/>
      <c r="BD127" s="161"/>
      <c r="BE127" s="161"/>
      <c r="BF127" s="161"/>
      <c r="BG127" s="161"/>
      <c r="BH127" s="161"/>
      <c r="BI127" s="161"/>
      <c r="BJ127" s="161"/>
      <c r="BK127" s="161"/>
      <c r="BL127" s="161"/>
      <c r="BM127" s="161"/>
      <c r="BN127" s="161"/>
      <c r="BO127" s="161"/>
      <c r="BP127" s="161"/>
      <c r="BQ127" s="161"/>
      <c r="BR127" s="161"/>
      <c r="BS127" s="161"/>
      <c r="BT127" s="161"/>
      <c r="BU127" s="161"/>
      <c r="BV127" s="161"/>
      <c r="BW127" s="161"/>
    </row>
    <row r="128" spans="1:75">
      <c r="A128" s="161"/>
      <c r="B128" s="161"/>
      <c r="C128" s="161"/>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1"/>
      <c r="Z128" s="161"/>
      <c r="AA128" s="161"/>
      <c r="AB128" s="161"/>
      <c r="AC128" s="161"/>
      <c r="AD128" s="161"/>
      <c r="AE128" s="161"/>
      <c r="AF128" s="161"/>
      <c r="AG128" s="161"/>
      <c r="AH128" s="161"/>
      <c r="AI128" s="161"/>
      <c r="AJ128" s="161"/>
      <c r="AK128" s="161"/>
      <c r="AL128" s="161"/>
      <c r="AM128" s="161"/>
      <c r="AN128" s="161"/>
      <c r="AO128" s="161"/>
      <c r="AP128" s="161"/>
      <c r="AQ128" s="161"/>
      <c r="AR128" s="161"/>
      <c r="AS128" s="161"/>
      <c r="AT128" s="161"/>
      <c r="AU128" s="161"/>
      <c r="AV128" s="161"/>
      <c r="AW128" s="161"/>
      <c r="AX128" s="161"/>
      <c r="AY128" s="161"/>
      <c r="AZ128" s="161"/>
      <c r="BA128" s="161"/>
      <c r="BB128" s="161"/>
      <c r="BC128" s="161"/>
      <c r="BD128" s="161"/>
      <c r="BE128" s="161"/>
      <c r="BF128" s="161"/>
      <c r="BG128" s="161"/>
      <c r="BH128" s="161"/>
      <c r="BI128" s="161"/>
      <c r="BJ128" s="161"/>
      <c r="BK128" s="161"/>
      <c r="BL128" s="161"/>
      <c r="BM128" s="161"/>
      <c r="BN128" s="161"/>
      <c r="BO128" s="161"/>
      <c r="BP128" s="161"/>
      <c r="BQ128" s="161"/>
      <c r="BR128" s="161"/>
      <c r="BS128" s="161"/>
      <c r="BT128" s="161"/>
      <c r="BU128" s="161"/>
      <c r="BV128" s="161"/>
      <c r="BW128" s="161"/>
    </row>
    <row r="129" spans="1:75">
      <c r="A129" s="161"/>
      <c r="B129" s="161"/>
      <c r="C129" s="161"/>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1"/>
      <c r="Z129" s="161"/>
      <c r="AA129" s="161"/>
      <c r="AB129" s="161"/>
      <c r="AC129" s="161"/>
      <c r="AD129" s="161"/>
      <c r="AE129" s="161"/>
      <c r="AF129" s="161"/>
      <c r="AG129" s="161"/>
      <c r="AH129" s="161"/>
      <c r="AI129" s="161"/>
      <c r="AJ129" s="161"/>
      <c r="AK129" s="161"/>
      <c r="AL129" s="161"/>
      <c r="AM129" s="161"/>
      <c r="AN129" s="161"/>
      <c r="AO129" s="161"/>
      <c r="AP129" s="161"/>
      <c r="AQ129" s="161"/>
      <c r="AR129" s="161"/>
      <c r="AS129" s="161"/>
      <c r="AT129" s="161"/>
      <c r="AU129" s="161"/>
      <c r="AV129" s="161"/>
      <c r="AW129" s="161"/>
      <c r="AX129" s="161"/>
      <c r="AY129" s="161"/>
      <c r="AZ129" s="161"/>
      <c r="BA129" s="161"/>
      <c r="BB129" s="161"/>
      <c r="BC129" s="161"/>
      <c r="BD129" s="161"/>
      <c r="BE129" s="161"/>
      <c r="BF129" s="161"/>
      <c r="BG129" s="161"/>
      <c r="BH129" s="161"/>
      <c r="BI129" s="161"/>
      <c r="BJ129" s="161"/>
      <c r="BK129" s="161"/>
      <c r="BL129" s="161"/>
      <c r="BM129" s="161"/>
      <c r="BN129" s="161"/>
      <c r="BO129" s="161"/>
      <c r="BP129" s="161"/>
      <c r="BQ129" s="161"/>
      <c r="BR129" s="161"/>
      <c r="BS129" s="161"/>
      <c r="BT129" s="161"/>
      <c r="BU129" s="161"/>
      <c r="BV129" s="161"/>
      <c r="BW129" s="161"/>
    </row>
    <row r="130" spans="1:75">
      <c r="A130" s="161"/>
      <c r="B130" s="161"/>
      <c r="C130" s="161"/>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1"/>
      <c r="Z130" s="161"/>
      <c r="AA130" s="161"/>
      <c r="AB130" s="161"/>
      <c r="AC130" s="161"/>
      <c r="AD130" s="161"/>
      <c r="AE130" s="161"/>
      <c r="AF130" s="161"/>
      <c r="AG130" s="161"/>
      <c r="AH130" s="161"/>
      <c r="AI130" s="161"/>
      <c r="AJ130" s="161"/>
      <c r="AK130" s="161"/>
      <c r="AL130" s="161"/>
      <c r="AM130" s="161"/>
      <c r="AN130" s="161"/>
      <c r="AO130" s="161"/>
      <c r="AP130" s="161"/>
      <c r="AQ130" s="161"/>
      <c r="AR130" s="161"/>
      <c r="AS130" s="161"/>
      <c r="AT130" s="161"/>
      <c r="AU130" s="161"/>
      <c r="AV130" s="161"/>
      <c r="AW130" s="161"/>
      <c r="AX130" s="161"/>
      <c r="AY130" s="161"/>
      <c r="AZ130" s="161"/>
      <c r="BA130" s="161"/>
      <c r="BB130" s="161"/>
      <c r="BC130" s="161"/>
      <c r="BD130" s="161"/>
      <c r="BE130" s="161"/>
      <c r="BF130" s="161"/>
      <c r="BG130" s="161"/>
      <c r="BH130" s="161"/>
      <c r="BI130" s="161"/>
      <c r="BJ130" s="161"/>
      <c r="BK130" s="161"/>
      <c r="BL130" s="161"/>
      <c r="BM130" s="161"/>
      <c r="BN130" s="161"/>
      <c r="BO130" s="161"/>
      <c r="BP130" s="161"/>
      <c r="BQ130" s="161"/>
      <c r="BR130" s="161"/>
      <c r="BS130" s="161"/>
      <c r="BT130" s="161"/>
      <c r="BU130" s="161"/>
      <c r="BV130" s="161"/>
      <c r="BW130" s="161"/>
    </row>
    <row r="131" spans="1:75">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1"/>
      <c r="Z131" s="161"/>
      <c r="AA131" s="161"/>
      <c r="AB131" s="161"/>
      <c r="AC131" s="161"/>
      <c r="AD131" s="161"/>
      <c r="AE131" s="161"/>
      <c r="AF131" s="161"/>
      <c r="AG131" s="161"/>
      <c r="AH131" s="161"/>
      <c r="AI131" s="161"/>
      <c r="AJ131" s="161"/>
      <c r="AK131" s="161"/>
      <c r="AL131" s="161"/>
      <c r="AM131" s="161"/>
      <c r="AN131" s="161"/>
      <c r="AO131" s="161"/>
      <c r="AP131" s="161"/>
      <c r="AQ131" s="161"/>
      <c r="AR131" s="161"/>
      <c r="AS131" s="161"/>
      <c r="AT131" s="161"/>
      <c r="AU131" s="161"/>
      <c r="AV131" s="161"/>
      <c r="AW131" s="161"/>
      <c r="AX131" s="161"/>
      <c r="AY131" s="161"/>
      <c r="AZ131" s="161"/>
      <c r="BA131" s="161"/>
      <c r="BB131" s="161"/>
      <c r="BC131" s="161"/>
      <c r="BD131" s="161"/>
      <c r="BE131" s="161"/>
      <c r="BF131" s="161"/>
      <c r="BG131" s="161"/>
      <c r="BH131" s="161"/>
      <c r="BI131" s="161"/>
      <c r="BJ131" s="161"/>
      <c r="BK131" s="161"/>
      <c r="BL131" s="161"/>
      <c r="BM131" s="161"/>
      <c r="BN131" s="161"/>
      <c r="BO131" s="161"/>
      <c r="BP131" s="161"/>
      <c r="BQ131" s="161"/>
      <c r="BR131" s="161"/>
      <c r="BS131" s="161"/>
      <c r="BT131" s="161"/>
      <c r="BU131" s="161"/>
      <c r="BV131" s="161"/>
      <c r="BW131" s="161"/>
    </row>
    <row r="132" spans="1:75">
      <c r="A132" s="161"/>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1"/>
      <c r="Z132" s="161"/>
      <c r="AA132" s="161"/>
      <c r="AB132" s="161"/>
      <c r="AC132" s="161"/>
      <c r="AD132" s="161"/>
      <c r="AE132" s="161"/>
      <c r="AF132" s="161"/>
      <c r="AG132" s="161"/>
      <c r="AH132" s="161"/>
      <c r="AI132" s="161"/>
      <c r="AJ132" s="161"/>
      <c r="AK132" s="161"/>
      <c r="AL132" s="161"/>
      <c r="AM132" s="161"/>
      <c r="AN132" s="161"/>
      <c r="AO132" s="161"/>
      <c r="AP132" s="161"/>
      <c r="AQ132" s="161"/>
      <c r="AR132" s="161"/>
      <c r="AS132" s="161"/>
      <c r="AT132" s="161"/>
      <c r="AU132" s="161"/>
      <c r="AV132" s="161"/>
      <c r="AW132" s="161"/>
      <c r="AX132" s="161"/>
      <c r="AY132" s="161"/>
      <c r="AZ132" s="161"/>
      <c r="BA132" s="161"/>
      <c r="BB132" s="161"/>
      <c r="BC132" s="161"/>
      <c r="BD132" s="161"/>
      <c r="BE132" s="161"/>
      <c r="BF132" s="161"/>
      <c r="BG132" s="161"/>
      <c r="BH132" s="161"/>
      <c r="BI132" s="161"/>
      <c r="BJ132" s="161"/>
      <c r="BK132" s="161"/>
      <c r="BL132" s="161"/>
      <c r="BM132" s="161"/>
      <c r="BN132" s="161"/>
      <c r="BO132" s="161"/>
      <c r="BP132" s="161"/>
      <c r="BQ132" s="161"/>
      <c r="BR132" s="161"/>
      <c r="BS132" s="161"/>
      <c r="BT132" s="161"/>
      <c r="BU132" s="161"/>
      <c r="BV132" s="161"/>
      <c r="BW132" s="161"/>
    </row>
    <row r="133" spans="1:75">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1"/>
      <c r="Z133" s="161"/>
      <c r="AA133" s="161"/>
      <c r="AB133" s="161"/>
      <c r="AC133" s="161"/>
      <c r="AD133" s="161"/>
      <c r="AE133" s="161"/>
      <c r="AF133" s="161"/>
      <c r="AG133" s="161"/>
      <c r="AH133" s="161"/>
      <c r="AI133" s="161"/>
      <c r="AJ133" s="161"/>
      <c r="AK133" s="161"/>
      <c r="AL133" s="161"/>
      <c r="AM133" s="161"/>
      <c r="AN133" s="161"/>
      <c r="AO133" s="161"/>
      <c r="AP133" s="161"/>
      <c r="AQ133" s="161"/>
      <c r="AR133" s="161"/>
      <c r="AS133" s="161"/>
      <c r="AT133" s="161"/>
      <c r="AU133" s="161"/>
      <c r="AV133" s="161"/>
      <c r="AW133" s="161"/>
      <c r="AX133" s="161"/>
      <c r="AY133" s="161"/>
      <c r="AZ133" s="161"/>
      <c r="BA133" s="161"/>
      <c r="BB133" s="161"/>
      <c r="BC133" s="161"/>
      <c r="BD133" s="161"/>
      <c r="BE133" s="161"/>
      <c r="BF133" s="161"/>
      <c r="BG133" s="161"/>
      <c r="BH133" s="161"/>
      <c r="BI133" s="161"/>
      <c r="BJ133" s="161"/>
      <c r="BK133" s="161"/>
      <c r="BL133" s="161"/>
      <c r="BM133" s="161"/>
      <c r="BN133" s="161"/>
      <c r="BO133" s="161"/>
      <c r="BP133" s="161"/>
      <c r="BQ133" s="161"/>
      <c r="BR133" s="161"/>
      <c r="BS133" s="161"/>
      <c r="BT133" s="161"/>
      <c r="BU133" s="161"/>
      <c r="BV133" s="161"/>
      <c r="BW133" s="161"/>
    </row>
    <row r="134" spans="1:75">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1"/>
      <c r="Z134" s="161"/>
      <c r="AA134" s="161"/>
      <c r="AB134" s="161"/>
      <c r="AC134" s="161"/>
      <c r="AD134" s="161"/>
      <c r="AE134" s="161"/>
      <c r="AF134" s="161"/>
      <c r="AG134" s="161"/>
      <c r="AH134" s="161"/>
      <c r="AI134" s="161"/>
      <c r="AJ134" s="161"/>
      <c r="AK134" s="161"/>
      <c r="AL134" s="161"/>
      <c r="AM134" s="161"/>
      <c r="AN134" s="161"/>
      <c r="AO134" s="161"/>
      <c r="AP134" s="161"/>
      <c r="AQ134" s="161"/>
      <c r="AR134" s="161"/>
      <c r="AS134" s="161"/>
      <c r="AT134" s="161"/>
      <c r="AU134" s="161"/>
      <c r="AV134" s="161"/>
      <c r="AW134" s="161"/>
      <c r="AX134" s="161"/>
      <c r="AY134" s="161"/>
      <c r="AZ134" s="161"/>
      <c r="BA134" s="161"/>
      <c r="BB134" s="161"/>
      <c r="BC134" s="161"/>
      <c r="BD134" s="161"/>
      <c r="BE134" s="161"/>
      <c r="BF134" s="161"/>
      <c r="BG134" s="161"/>
      <c r="BH134" s="161"/>
      <c r="BI134" s="161"/>
      <c r="BJ134" s="161"/>
      <c r="BK134" s="161"/>
      <c r="BL134" s="161"/>
      <c r="BM134" s="161"/>
      <c r="BN134" s="161"/>
      <c r="BO134" s="161"/>
      <c r="BP134" s="161"/>
      <c r="BQ134" s="161"/>
      <c r="BR134" s="161"/>
      <c r="BS134" s="161"/>
      <c r="BT134" s="161"/>
      <c r="BU134" s="161"/>
      <c r="BV134" s="161"/>
      <c r="BW134" s="161"/>
    </row>
    <row r="135" spans="1:75">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1"/>
      <c r="Z135" s="161"/>
      <c r="AA135" s="161"/>
      <c r="AB135" s="161"/>
      <c r="AC135" s="161"/>
      <c r="AD135" s="161"/>
      <c r="AE135" s="161"/>
      <c r="AF135" s="161"/>
      <c r="AG135" s="161"/>
      <c r="AH135" s="161"/>
      <c r="AI135" s="161"/>
      <c r="AJ135" s="161"/>
      <c r="AK135" s="161"/>
      <c r="AL135" s="161"/>
      <c r="AM135" s="161"/>
      <c r="AN135" s="161"/>
      <c r="AO135" s="161"/>
      <c r="AP135" s="161"/>
      <c r="AQ135" s="161"/>
      <c r="AR135" s="161"/>
      <c r="AS135" s="161"/>
      <c r="AT135" s="161"/>
      <c r="AU135" s="161"/>
      <c r="AV135" s="161"/>
      <c r="AW135" s="161"/>
      <c r="AX135" s="161"/>
      <c r="AY135" s="161"/>
      <c r="AZ135" s="161"/>
      <c r="BA135" s="161"/>
      <c r="BB135" s="161"/>
      <c r="BC135" s="161"/>
      <c r="BD135" s="161"/>
      <c r="BE135" s="161"/>
      <c r="BF135" s="161"/>
      <c r="BG135" s="161"/>
      <c r="BH135" s="161"/>
      <c r="BI135" s="161"/>
      <c r="BJ135" s="161"/>
      <c r="BK135" s="161"/>
      <c r="BL135" s="161"/>
      <c r="BM135" s="161"/>
      <c r="BN135" s="161"/>
      <c r="BO135" s="161"/>
      <c r="BP135" s="161"/>
      <c r="BQ135" s="161"/>
      <c r="BR135" s="161"/>
      <c r="BS135" s="161"/>
      <c r="BT135" s="161"/>
      <c r="BU135" s="161"/>
      <c r="BV135" s="161"/>
      <c r="BW135" s="161"/>
    </row>
    <row r="136" spans="1:75">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1"/>
      <c r="Z136" s="161"/>
      <c r="AA136" s="161"/>
      <c r="AB136" s="161"/>
      <c r="AC136" s="161"/>
      <c r="AD136" s="161"/>
      <c r="AE136" s="161"/>
      <c r="AF136" s="161"/>
      <c r="AG136" s="161"/>
      <c r="AH136" s="161"/>
      <c r="AI136" s="161"/>
      <c r="AJ136" s="161"/>
      <c r="AK136" s="161"/>
      <c r="AL136" s="161"/>
      <c r="AM136" s="161"/>
      <c r="AN136" s="161"/>
      <c r="AO136" s="161"/>
      <c r="AP136" s="161"/>
      <c r="AQ136" s="161"/>
      <c r="AR136" s="161"/>
      <c r="AS136" s="161"/>
      <c r="AT136" s="161"/>
      <c r="AU136" s="161"/>
      <c r="AV136" s="161"/>
      <c r="AW136" s="161"/>
      <c r="AX136" s="161"/>
      <c r="AY136" s="161"/>
      <c r="AZ136" s="161"/>
      <c r="BA136" s="161"/>
      <c r="BB136" s="161"/>
      <c r="BC136" s="161"/>
      <c r="BD136" s="161"/>
      <c r="BE136" s="161"/>
      <c r="BF136" s="161"/>
      <c r="BG136" s="161"/>
      <c r="BH136" s="161"/>
      <c r="BI136" s="161"/>
      <c r="BJ136" s="161"/>
      <c r="BK136" s="161"/>
      <c r="BL136" s="161"/>
      <c r="BM136" s="161"/>
      <c r="BN136" s="161"/>
      <c r="BO136" s="161"/>
      <c r="BP136" s="161"/>
      <c r="BQ136" s="161"/>
      <c r="BR136" s="161"/>
      <c r="BS136" s="161"/>
      <c r="BT136" s="161"/>
      <c r="BU136" s="161"/>
      <c r="BV136" s="161"/>
      <c r="BW136" s="161"/>
    </row>
    <row r="137" spans="1:75">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1"/>
      <c r="Z137" s="161"/>
      <c r="AA137" s="161"/>
      <c r="AB137" s="161"/>
      <c r="AC137" s="161"/>
      <c r="AD137" s="161"/>
      <c r="AE137" s="161"/>
      <c r="AF137" s="161"/>
      <c r="AG137" s="161"/>
      <c r="AH137" s="161"/>
      <c r="AI137" s="161"/>
      <c r="AJ137" s="161"/>
      <c r="AK137" s="161"/>
      <c r="AL137" s="161"/>
      <c r="AM137" s="161"/>
      <c r="AN137" s="161"/>
      <c r="AO137" s="161"/>
      <c r="AP137" s="161"/>
      <c r="AQ137" s="161"/>
      <c r="AR137" s="161"/>
      <c r="AS137" s="161"/>
      <c r="AT137" s="161"/>
      <c r="AU137" s="161"/>
      <c r="AV137" s="161"/>
      <c r="AW137" s="161"/>
      <c r="AX137" s="161"/>
      <c r="AY137" s="161"/>
      <c r="AZ137" s="161"/>
      <c r="BA137" s="161"/>
      <c r="BB137" s="161"/>
      <c r="BC137" s="161"/>
      <c r="BD137" s="161"/>
      <c r="BE137" s="161"/>
      <c r="BF137" s="161"/>
      <c r="BG137" s="161"/>
      <c r="BH137" s="161"/>
      <c r="BI137" s="161"/>
      <c r="BJ137" s="161"/>
      <c r="BK137" s="161"/>
      <c r="BL137" s="161"/>
      <c r="BM137" s="161"/>
      <c r="BN137" s="161"/>
      <c r="BO137" s="161"/>
      <c r="BP137" s="161"/>
      <c r="BQ137" s="161"/>
      <c r="BR137" s="161"/>
      <c r="BS137" s="161"/>
      <c r="BT137" s="161"/>
      <c r="BU137" s="161"/>
      <c r="BV137" s="161"/>
      <c r="BW137" s="161"/>
    </row>
    <row r="138" spans="1:75">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1"/>
      <c r="Z138" s="161"/>
      <c r="AA138" s="161"/>
      <c r="AB138" s="161"/>
      <c r="AC138" s="161"/>
      <c r="AD138" s="161"/>
      <c r="AE138" s="161"/>
      <c r="AF138" s="161"/>
      <c r="AG138" s="161"/>
      <c r="AH138" s="161"/>
      <c r="AI138" s="161"/>
      <c r="AJ138" s="161"/>
      <c r="AK138" s="161"/>
      <c r="AL138" s="161"/>
      <c r="AM138" s="161"/>
      <c r="AN138" s="161"/>
      <c r="AO138" s="161"/>
      <c r="AP138" s="161"/>
      <c r="AQ138" s="161"/>
      <c r="AR138" s="161"/>
      <c r="AS138" s="161"/>
      <c r="AT138" s="161"/>
      <c r="AU138" s="161"/>
      <c r="AV138" s="161"/>
      <c r="AW138" s="161"/>
      <c r="AX138" s="161"/>
      <c r="AY138" s="161"/>
      <c r="AZ138" s="161"/>
      <c r="BA138" s="161"/>
      <c r="BB138" s="161"/>
      <c r="BC138" s="161"/>
      <c r="BD138" s="161"/>
      <c r="BE138" s="161"/>
      <c r="BF138" s="161"/>
      <c r="BG138" s="161"/>
      <c r="BH138" s="161"/>
      <c r="BI138" s="161"/>
      <c r="BJ138" s="161"/>
      <c r="BK138" s="161"/>
      <c r="BL138" s="161"/>
      <c r="BM138" s="161"/>
      <c r="BN138" s="161"/>
      <c r="BO138" s="161"/>
      <c r="BP138" s="161"/>
      <c r="BQ138" s="161"/>
      <c r="BR138" s="161"/>
      <c r="BS138" s="161"/>
      <c r="BT138" s="161"/>
      <c r="BU138" s="161"/>
      <c r="BV138" s="161"/>
      <c r="BW138" s="161"/>
    </row>
    <row r="139" spans="1:75">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1"/>
      <c r="Z139" s="161"/>
      <c r="AA139" s="161"/>
      <c r="AB139" s="161"/>
      <c r="AC139" s="161"/>
      <c r="AD139" s="161"/>
      <c r="AE139" s="161"/>
      <c r="AF139" s="161"/>
      <c r="AG139" s="161"/>
      <c r="AH139" s="161"/>
      <c r="AI139" s="161"/>
      <c r="AJ139" s="161"/>
      <c r="AK139" s="161"/>
      <c r="AL139" s="161"/>
      <c r="AM139" s="161"/>
      <c r="AN139" s="161"/>
      <c r="AO139" s="161"/>
      <c r="AP139" s="161"/>
      <c r="AQ139" s="161"/>
      <c r="AR139" s="161"/>
      <c r="AS139" s="161"/>
      <c r="AT139" s="161"/>
      <c r="AU139" s="161"/>
      <c r="AV139" s="161"/>
      <c r="AW139" s="161"/>
      <c r="AX139" s="161"/>
      <c r="AY139" s="161"/>
      <c r="AZ139" s="161"/>
      <c r="BA139" s="161"/>
      <c r="BB139" s="161"/>
      <c r="BC139" s="161"/>
      <c r="BD139" s="161"/>
      <c r="BE139" s="161"/>
      <c r="BF139" s="161"/>
      <c r="BG139" s="161"/>
      <c r="BH139" s="161"/>
      <c r="BI139" s="161"/>
      <c r="BJ139" s="161"/>
      <c r="BK139" s="161"/>
      <c r="BL139" s="161"/>
      <c r="BM139" s="161"/>
      <c r="BN139" s="161"/>
      <c r="BO139" s="161"/>
      <c r="BP139" s="161"/>
      <c r="BQ139" s="161"/>
      <c r="BR139" s="161"/>
      <c r="BS139" s="161"/>
      <c r="BT139" s="161"/>
      <c r="BU139" s="161"/>
      <c r="BV139" s="161"/>
      <c r="BW139" s="161"/>
    </row>
    <row r="140" spans="1:75">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1"/>
      <c r="Z140" s="161"/>
      <c r="AA140" s="161"/>
      <c r="AB140" s="161"/>
      <c r="AC140" s="161"/>
      <c r="AD140" s="161"/>
      <c r="AE140" s="161"/>
      <c r="AF140" s="161"/>
      <c r="AG140" s="161"/>
      <c r="AH140" s="161"/>
      <c r="AI140" s="161"/>
      <c r="AJ140" s="161"/>
      <c r="AK140" s="161"/>
      <c r="AL140" s="161"/>
      <c r="AM140" s="161"/>
      <c r="AN140" s="161"/>
      <c r="AO140" s="161"/>
      <c r="AP140" s="161"/>
      <c r="AQ140" s="161"/>
      <c r="AR140" s="161"/>
      <c r="AS140" s="161"/>
      <c r="AT140" s="161"/>
      <c r="AU140" s="161"/>
      <c r="AV140" s="161"/>
      <c r="AW140" s="161"/>
      <c r="AX140" s="161"/>
      <c r="AY140" s="161"/>
      <c r="AZ140" s="161"/>
      <c r="BA140" s="161"/>
      <c r="BB140" s="161"/>
      <c r="BC140" s="161"/>
      <c r="BD140" s="161"/>
      <c r="BE140" s="161"/>
      <c r="BF140" s="161"/>
      <c r="BG140" s="161"/>
      <c r="BH140" s="161"/>
      <c r="BI140" s="161"/>
      <c r="BJ140" s="161"/>
      <c r="BK140" s="161"/>
      <c r="BL140" s="161"/>
      <c r="BM140" s="161"/>
      <c r="BN140" s="161"/>
      <c r="BO140" s="161"/>
      <c r="BP140" s="161"/>
      <c r="BQ140" s="161"/>
      <c r="BR140" s="161"/>
      <c r="BS140" s="161"/>
      <c r="BT140" s="161"/>
      <c r="BU140" s="161"/>
      <c r="BV140" s="161"/>
      <c r="BW140" s="161"/>
    </row>
    <row r="141" spans="1:75">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1"/>
      <c r="Z141" s="161"/>
      <c r="AA141" s="161"/>
      <c r="AB141" s="161"/>
      <c r="AC141" s="161"/>
      <c r="AD141" s="161"/>
      <c r="AE141" s="161"/>
      <c r="AF141" s="161"/>
      <c r="AG141" s="161"/>
      <c r="AH141" s="161"/>
      <c r="AI141" s="161"/>
      <c r="AJ141" s="161"/>
      <c r="AK141" s="161"/>
      <c r="AL141" s="161"/>
      <c r="AM141" s="161"/>
      <c r="AN141" s="161"/>
      <c r="AO141" s="161"/>
      <c r="AP141" s="161"/>
      <c r="AQ141" s="161"/>
      <c r="AR141" s="161"/>
      <c r="AS141" s="161"/>
      <c r="AT141" s="161"/>
      <c r="AU141" s="161"/>
      <c r="AV141" s="161"/>
      <c r="AW141" s="161"/>
      <c r="AX141" s="161"/>
      <c r="AY141" s="161"/>
      <c r="AZ141" s="161"/>
      <c r="BA141" s="161"/>
      <c r="BB141" s="161"/>
      <c r="BC141" s="161"/>
      <c r="BD141" s="161"/>
      <c r="BE141" s="161"/>
      <c r="BF141" s="161"/>
      <c r="BG141" s="161"/>
      <c r="BH141" s="161"/>
      <c r="BI141" s="161"/>
      <c r="BJ141" s="161"/>
      <c r="BK141" s="161"/>
      <c r="BL141" s="161"/>
      <c r="BM141" s="161"/>
      <c r="BN141" s="161"/>
      <c r="BO141" s="161"/>
      <c r="BP141" s="161"/>
      <c r="BQ141" s="161"/>
      <c r="BR141" s="161"/>
      <c r="BS141" s="161"/>
      <c r="BT141" s="161"/>
      <c r="BU141" s="161"/>
      <c r="BV141" s="161"/>
      <c r="BW141" s="161"/>
    </row>
    <row r="142" spans="1:75">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1"/>
      <c r="Z142" s="161"/>
      <c r="AA142" s="161"/>
      <c r="AB142" s="161"/>
      <c r="AC142" s="161"/>
      <c r="AD142" s="161"/>
      <c r="AE142" s="161"/>
      <c r="AF142" s="161"/>
      <c r="AG142" s="161"/>
      <c r="AH142" s="161"/>
      <c r="AI142" s="161"/>
      <c r="AJ142" s="161"/>
      <c r="AK142" s="161"/>
      <c r="AL142" s="161"/>
      <c r="AM142" s="161"/>
      <c r="AN142" s="161"/>
      <c r="AO142" s="161"/>
      <c r="AP142" s="161"/>
      <c r="AQ142" s="161"/>
      <c r="AR142" s="161"/>
      <c r="AS142" s="161"/>
      <c r="AT142" s="161"/>
      <c r="AU142" s="161"/>
      <c r="AV142" s="161"/>
      <c r="AW142" s="161"/>
      <c r="AX142" s="161"/>
      <c r="AY142" s="161"/>
      <c r="AZ142" s="161"/>
      <c r="BA142" s="161"/>
      <c r="BB142" s="161"/>
      <c r="BC142" s="161"/>
      <c r="BD142" s="161"/>
      <c r="BE142" s="161"/>
      <c r="BF142" s="161"/>
      <c r="BG142" s="161"/>
      <c r="BH142" s="161"/>
      <c r="BI142" s="161"/>
      <c r="BJ142" s="161"/>
      <c r="BK142" s="161"/>
      <c r="BL142" s="161"/>
      <c r="BM142" s="161"/>
      <c r="BN142" s="161"/>
      <c r="BO142" s="161"/>
      <c r="BP142" s="161"/>
      <c r="BQ142" s="161"/>
      <c r="BR142" s="161"/>
      <c r="BS142" s="161"/>
      <c r="BT142" s="161"/>
      <c r="BU142" s="161"/>
      <c r="BV142" s="161"/>
      <c r="BW142" s="161"/>
    </row>
    <row r="143" spans="1:75">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1"/>
      <c r="Z143" s="161"/>
      <c r="AA143" s="161"/>
      <c r="AB143" s="161"/>
      <c r="AC143" s="161"/>
      <c r="AD143" s="161"/>
      <c r="AE143" s="161"/>
      <c r="AF143" s="161"/>
      <c r="AG143" s="161"/>
      <c r="AH143" s="161"/>
      <c r="AI143" s="161"/>
      <c r="AJ143" s="161"/>
      <c r="AK143" s="161"/>
      <c r="AL143" s="161"/>
      <c r="AM143" s="161"/>
      <c r="AN143" s="161"/>
      <c r="AO143" s="161"/>
      <c r="AP143" s="161"/>
      <c r="AQ143" s="161"/>
      <c r="AR143" s="161"/>
      <c r="AS143" s="161"/>
      <c r="AT143" s="161"/>
      <c r="AU143" s="161"/>
      <c r="AV143" s="161"/>
      <c r="AW143" s="161"/>
      <c r="AX143" s="161"/>
      <c r="AY143" s="161"/>
      <c r="AZ143" s="161"/>
      <c r="BA143" s="161"/>
      <c r="BB143" s="161"/>
      <c r="BC143" s="161"/>
      <c r="BD143" s="161"/>
      <c r="BE143" s="161"/>
      <c r="BF143" s="161"/>
      <c r="BG143" s="161"/>
      <c r="BH143" s="161"/>
      <c r="BI143" s="161"/>
      <c r="BJ143" s="161"/>
      <c r="BK143" s="161"/>
      <c r="BL143" s="161"/>
      <c r="BM143" s="161"/>
      <c r="BN143" s="161"/>
      <c r="BO143" s="161"/>
      <c r="BP143" s="161"/>
      <c r="BQ143" s="161"/>
      <c r="BR143" s="161"/>
      <c r="BS143" s="161"/>
      <c r="BT143" s="161"/>
      <c r="BU143" s="161"/>
      <c r="BV143" s="161"/>
      <c r="BW143" s="161"/>
    </row>
    <row r="144" spans="1:75">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1"/>
      <c r="Z144" s="161"/>
      <c r="AA144" s="161"/>
      <c r="AB144" s="161"/>
      <c r="AC144" s="161"/>
      <c r="AD144" s="161"/>
      <c r="AE144" s="161"/>
      <c r="AF144" s="161"/>
      <c r="AG144" s="161"/>
      <c r="AH144" s="161"/>
      <c r="AI144" s="161"/>
      <c r="AJ144" s="161"/>
      <c r="AK144" s="161"/>
      <c r="AL144" s="161"/>
      <c r="AM144" s="161"/>
      <c r="AN144" s="161"/>
      <c r="AO144" s="161"/>
      <c r="AP144" s="161"/>
      <c r="AQ144" s="161"/>
      <c r="AR144" s="161"/>
      <c r="AS144" s="161"/>
      <c r="AT144" s="161"/>
      <c r="AU144" s="161"/>
      <c r="AV144" s="161"/>
      <c r="AW144" s="161"/>
      <c r="AX144" s="161"/>
      <c r="AY144" s="161"/>
      <c r="AZ144" s="161"/>
      <c r="BA144" s="161"/>
      <c r="BB144" s="161"/>
      <c r="BC144" s="161"/>
      <c r="BD144" s="161"/>
      <c r="BE144" s="161"/>
      <c r="BF144" s="161"/>
      <c r="BG144" s="161"/>
      <c r="BH144" s="161"/>
      <c r="BI144" s="161"/>
      <c r="BJ144" s="161"/>
      <c r="BK144" s="161"/>
      <c r="BL144" s="161"/>
      <c r="BM144" s="161"/>
      <c r="BN144" s="161"/>
      <c r="BO144" s="161"/>
      <c r="BP144" s="161"/>
      <c r="BQ144" s="161"/>
      <c r="BR144" s="161"/>
      <c r="BS144" s="161"/>
      <c r="BT144" s="161"/>
      <c r="BU144" s="161"/>
      <c r="BV144" s="161"/>
      <c r="BW144" s="161"/>
    </row>
    <row r="145" spans="1:75">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1"/>
      <c r="Z145" s="161"/>
      <c r="AA145" s="161"/>
      <c r="AB145" s="161"/>
      <c r="AC145" s="161"/>
      <c r="AD145" s="161"/>
      <c r="AE145" s="161"/>
      <c r="AF145" s="161"/>
      <c r="AG145" s="161"/>
      <c r="AH145" s="161"/>
      <c r="AI145" s="161"/>
      <c r="AJ145" s="161"/>
      <c r="AK145" s="161"/>
      <c r="AL145" s="161"/>
      <c r="AM145" s="161"/>
      <c r="AN145" s="161"/>
      <c r="AO145" s="161"/>
      <c r="AP145" s="161"/>
      <c r="AQ145" s="161"/>
      <c r="AR145" s="161"/>
      <c r="AS145" s="161"/>
      <c r="AT145" s="161"/>
      <c r="AU145" s="161"/>
      <c r="AV145" s="161"/>
      <c r="AW145" s="161"/>
      <c r="AX145" s="161"/>
      <c r="AY145" s="161"/>
      <c r="AZ145" s="161"/>
      <c r="BA145" s="161"/>
      <c r="BB145" s="161"/>
      <c r="BC145" s="161"/>
      <c r="BD145" s="161"/>
      <c r="BE145" s="161"/>
      <c r="BF145" s="161"/>
      <c r="BG145" s="161"/>
      <c r="BH145" s="161"/>
      <c r="BI145" s="161"/>
      <c r="BJ145" s="161"/>
      <c r="BK145" s="161"/>
      <c r="BL145" s="161"/>
      <c r="BM145" s="161"/>
      <c r="BN145" s="161"/>
      <c r="BO145" s="161"/>
      <c r="BP145" s="161"/>
      <c r="BQ145" s="161"/>
      <c r="BR145" s="161"/>
      <c r="BS145" s="161"/>
      <c r="BT145" s="161"/>
      <c r="BU145" s="161"/>
      <c r="BV145" s="161"/>
      <c r="BW145" s="161"/>
    </row>
    <row r="146" spans="1:75">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1"/>
      <c r="Z146" s="161"/>
      <c r="AA146" s="161"/>
      <c r="AB146" s="161"/>
      <c r="AC146" s="161"/>
      <c r="AD146" s="161"/>
      <c r="AE146" s="161"/>
      <c r="AF146" s="161"/>
      <c r="AG146" s="161"/>
      <c r="AH146" s="161"/>
      <c r="AI146" s="161"/>
      <c r="AJ146" s="161"/>
      <c r="AK146" s="161"/>
      <c r="AL146" s="161"/>
      <c r="AM146" s="161"/>
      <c r="AN146" s="161"/>
      <c r="AO146" s="161"/>
      <c r="AP146" s="161"/>
      <c r="AQ146" s="161"/>
      <c r="AR146" s="161"/>
      <c r="AS146" s="161"/>
      <c r="AT146" s="161"/>
      <c r="AU146" s="161"/>
      <c r="AV146" s="161"/>
      <c r="AW146" s="161"/>
      <c r="AX146" s="161"/>
      <c r="AY146" s="161"/>
      <c r="AZ146" s="161"/>
      <c r="BA146" s="161"/>
      <c r="BB146" s="161"/>
      <c r="BC146" s="161"/>
      <c r="BD146" s="161"/>
      <c r="BE146" s="161"/>
      <c r="BF146" s="161"/>
      <c r="BG146" s="161"/>
      <c r="BH146" s="161"/>
      <c r="BI146" s="161"/>
      <c r="BJ146" s="161"/>
      <c r="BK146" s="161"/>
      <c r="BL146" s="161"/>
      <c r="BM146" s="161"/>
      <c r="BN146" s="161"/>
      <c r="BO146" s="161"/>
      <c r="BP146" s="161"/>
      <c r="BQ146" s="161"/>
      <c r="BR146" s="161"/>
      <c r="BS146" s="161"/>
      <c r="BT146" s="161"/>
      <c r="BU146" s="161"/>
      <c r="BV146" s="161"/>
      <c r="BW146" s="161"/>
    </row>
    <row r="147" spans="1:75">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1"/>
      <c r="Z147" s="161"/>
      <c r="AA147" s="161"/>
      <c r="AB147" s="161"/>
      <c r="AC147" s="161"/>
      <c r="AD147" s="161"/>
      <c r="AE147" s="161"/>
      <c r="AF147" s="161"/>
      <c r="AG147" s="161"/>
      <c r="AH147" s="161"/>
      <c r="AI147" s="161"/>
      <c r="AJ147" s="161"/>
      <c r="AK147" s="161"/>
      <c r="AL147" s="161"/>
      <c r="AM147" s="161"/>
      <c r="AN147" s="161"/>
      <c r="AO147" s="161"/>
      <c r="AP147" s="161"/>
      <c r="AQ147" s="161"/>
      <c r="AR147" s="161"/>
      <c r="AS147" s="161"/>
      <c r="AT147" s="161"/>
      <c r="AU147" s="161"/>
      <c r="AV147" s="161"/>
      <c r="AW147" s="161"/>
      <c r="AX147" s="161"/>
      <c r="AY147" s="161"/>
      <c r="AZ147" s="161"/>
      <c r="BA147" s="161"/>
      <c r="BB147" s="161"/>
      <c r="BC147" s="161"/>
      <c r="BD147" s="161"/>
      <c r="BE147" s="161"/>
      <c r="BF147" s="161"/>
      <c r="BG147" s="161"/>
      <c r="BH147" s="161"/>
      <c r="BI147" s="161"/>
      <c r="BJ147" s="161"/>
      <c r="BK147" s="161"/>
      <c r="BL147" s="161"/>
      <c r="BM147" s="161"/>
      <c r="BN147" s="161"/>
      <c r="BO147" s="161"/>
      <c r="BP147" s="161"/>
      <c r="BQ147" s="161"/>
      <c r="BR147" s="161"/>
      <c r="BS147" s="161"/>
      <c r="BT147" s="161"/>
      <c r="BU147" s="161"/>
      <c r="BV147" s="161"/>
      <c r="BW147" s="161"/>
    </row>
    <row r="148" spans="1:75">
      <c r="A148" s="161"/>
      <c r="B148" s="161"/>
      <c r="C148" s="161"/>
      <c r="D148" s="161"/>
      <c r="E148" s="161"/>
      <c r="F148" s="161"/>
      <c r="G148" s="161"/>
      <c r="H148" s="161"/>
      <c r="I148" s="161"/>
      <c r="J148" s="161"/>
      <c r="K148" s="161"/>
      <c r="L148" s="161"/>
      <c r="M148" s="161"/>
      <c r="N148" s="161"/>
      <c r="O148" s="161"/>
      <c r="P148" s="161"/>
      <c r="Q148" s="161"/>
      <c r="R148" s="161"/>
      <c r="S148" s="161"/>
      <c r="T148" s="161"/>
      <c r="U148" s="161"/>
      <c r="V148" s="161"/>
      <c r="W148" s="161"/>
      <c r="X148" s="161"/>
      <c r="Y148" s="161"/>
      <c r="Z148" s="161"/>
      <c r="AA148" s="161"/>
      <c r="AB148" s="161"/>
      <c r="AC148" s="161"/>
      <c r="AD148" s="161"/>
      <c r="AE148" s="161"/>
      <c r="AF148" s="161"/>
      <c r="AG148" s="161"/>
      <c r="AH148" s="161"/>
      <c r="AI148" s="161"/>
      <c r="AJ148" s="161"/>
      <c r="AK148" s="161"/>
      <c r="AL148" s="161"/>
      <c r="AM148" s="161"/>
      <c r="AN148" s="161"/>
      <c r="AO148" s="161"/>
      <c r="AP148" s="161"/>
      <c r="AQ148" s="161"/>
      <c r="AR148" s="161"/>
      <c r="AS148" s="161"/>
      <c r="AT148" s="161"/>
      <c r="AU148" s="161"/>
      <c r="AV148" s="161"/>
      <c r="AW148" s="161"/>
      <c r="AX148" s="161"/>
      <c r="AY148" s="161"/>
      <c r="AZ148" s="161"/>
      <c r="BA148" s="161"/>
      <c r="BB148" s="161"/>
      <c r="BC148" s="161"/>
      <c r="BD148" s="161"/>
      <c r="BE148" s="161"/>
      <c r="BF148" s="161"/>
      <c r="BG148" s="161"/>
      <c r="BH148" s="161"/>
      <c r="BI148" s="161"/>
      <c r="BJ148" s="161"/>
      <c r="BK148" s="161"/>
      <c r="BL148" s="161"/>
      <c r="BM148" s="161"/>
      <c r="BN148" s="161"/>
      <c r="BO148" s="161"/>
      <c r="BP148" s="161"/>
      <c r="BQ148" s="161"/>
      <c r="BR148" s="161"/>
      <c r="BS148" s="161"/>
      <c r="BT148" s="161"/>
      <c r="BU148" s="161"/>
      <c r="BV148" s="161"/>
      <c r="BW148" s="161"/>
    </row>
    <row r="149" spans="1:75">
      <c r="A149" s="161"/>
      <c r="B149" s="161"/>
      <c r="C149" s="161"/>
      <c r="D149" s="161"/>
      <c r="E149" s="161"/>
      <c r="F149" s="161"/>
      <c r="G149" s="161"/>
      <c r="H149" s="161"/>
      <c r="I149" s="161"/>
      <c r="J149" s="161"/>
      <c r="K149" s="161"/>
      <c r="L149" s="161"/>
      <c r="M149" s="161"/>
      <c r="N149" s="161"/>
      <c r="O149" s="161"/>
      <c r="P149" s="161"/>
      <c r="Q149" s="161"/>
      <c r="R149" s="161"/>
      <c r="S149" s="161"/>
      <c r="T149" s="161"/>
      <c r="U149" s="161"/>
      <c r="V149" s="161"/>
      <c r="W149" s="161"/>
      <c r="X149" s="161"/>
      <c r="Y149" s="161"/>
      <c r="Z149" s="161"/>
      <c r="AA149" s="161"/>
      <c r="AB149" s="161"/>
      <c r="AC149" s="161"/>
      <c r="AD149" s="161"/>
      <c r="AE149" s="161"/>
      <c r="AF149" s="161"/>
      <c r="AG149" s="161"/>
      <c r="AH149" s="161"/>
      <c r="AI149" s="161"/>
      <c r="AJ149" s="161"/>
      <c r="AK149" s="161"/>
      <c r="AL149" s="161"/>
      <c r="AM149" s="161"/>
      <c r="AN149" s="161"/>
      <c r="AO149" s="161"/>
      <c r="AP149" s="161"/>
      <c r="AQ149" s="161"/>
      <c r="AR149" s="161"/>
      <c r="AS149" s="161"/>
      <c r="AT149" s="161"/>
      <c r="AU149" s="161"/>
      <c r="AV149" s="161"/>
      <c r="AW149" s="161"/>
      <c r="AX149" s="161"/>
      <c r="AY149" s="161"/>
      <c r="AZ149" s="161"/>
      <c r="BA149" s="161"/>
      <c r="BB149" s="161"/>
      <c r="BC149" s="161"/>
      <c r="BD149" s="161"/>
      <c r="BE149" s="161"/>
      <c r="BF149" s="161"/>
      <c r="BG149" s="161"/>
      <c r="BH149" s="161"/>
      <c r="BI149" s="161"/>
      <c r="BJ149" s="161"/>
      <c r="BK149" s="161"/>
      <c r="BL149" s="161"/>
      <c r="BM149" s="161"/>
      <c r="BN149" s="161"/>
      <c r="BO149" s="161"/>
      <c r="BP149" s="161"/>
      <c r="BQ149" s="161"/>
      <c r="BR149" s="161"/>
      <c r="BS149" s="161"/>
      <c r="BT149" s="161"/>
      <c r="BU149" s="161"/>
      <c r="BV149" s="161"/>
      <c r="BW149" s="161"/>
    </row>
    <row r="150" spans="1:75">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161"/>
      <c r="X150" s="161"/>
      <c r="Y150" s="161"/>
      <c r="Z150" s="161"/>
      <c r="AA150" s="161"/>
      <c r="AB150" s="161"/>
      <c r="AC150" s="161"/>
      <c r="AD150" s="161"/>
      <c r="AE150" s="161"/>
      <c r="AF150" s="161"/>
      <c r="AG150" s="161"/>
      <c r="AH150" s="161"/>
      <c r="AI150" s="161"/>
      <c r="AJ150" s="161"/>
      <c r="AK150" s="161"/>
      <c r="AL150" s="161"/>
      <c r="AM150" s="161"/>
      <c r="AN150" s="161"/>
      <c r="AO150" s="161"/>
      <c r="AP150" s="161"/>
      <c r="AQ150" s="161"/>
      <c r="AR150" s="161"/>
      <c r="AS150" s="161"/>
      <c r="AT150" s="161"/>
      <c r="AU150" s="161"/>
      <c r="AV150" s="161"/>
      <c r="AW150" s="161"/>
      <c r="AX150" s="161"/>
      <c r="AY150" s="161"/>
      <c r="AZ150" s="161"/>
      <c r="BA150" s="161"/>
      <c r="BB150" s="161"/>
      <c r="BC150" s="161"/>
      <c r="BD150" s="161"/>
      <c r="BE150" s="161"/>
      <c r="BF150" s="161"/>
      <c r="BG150" s="161"/>
      <c r="BH150" s="161"/>
      <c r="BI150" s="161"/>
      <c r="BJ150" s="161"/>
      <c r="BK150" s="161"/>
      <c r="BL150" s="161"/>
      <c r="BM150" s="161"/>
      <c r="BN150" s="161"/>
      <c r="BO150" s="161"/>
      <c r="BP150" s="161"/>
      <c r="BQ150" s="161"/>
      <c r="BR150" s="161"/>
      <c r="BS150" s="161"/>
      <c r="BT150" s="161"/>
      <c r="BU150" s="161"/>
      <c r="BV150" s="161"/>
      <c r="BW150" s="161"/>
    </row>
    <row r="151" spans="1:75">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161"/>
      <c r="X151" s="161"/>
      <c r="Y151" s="161"/>
      <c r="Z151" s="161"/>
      <c r="AA151" s="161"/>
      <c r="AB151" s="161"/>
      <c r="AC151" s="161"/>
      <c r="AD151" s="161"/>
      <c r="AE151" s="161"/>
      <c r="AF151" s="161"/>
      <c r="AG151" s="161"/>
      <c r="AH151" s="161"/>
      <c r="AI151" s="161"/>
      <c r="AJ151" s="161"/>
      <c r="AK151" s="161"/>
      <c r="AL151" s="161"/>
      <c r="AM151" s="161"/>
      <c r="AN151" s="161"/>
      <c r="AO151" s="161"/>
      <c r="AP151" s="161"/>
      <c r="AQ151" s="161"/>
      <c r="AR151" s="161"/>
      <c r="AS151" s="161"/>
      <c r="AT151" s="161"/>
      <c r="AU151" s="161"/>
      <c r="AV151" s="161"/>
      <c r="AW151" s="161"/>
      <c r="AX151" s="161"/>
      <c r="AY151" s="161"/>
      <c r="AZ151" s="161"/>
      <c r="BA151" s="161"/>
      <c r="BB151" s="161"/>
      <c r="BC151" s="161"/>
      <c r="BD151" s="161"/>
      <c r="BE151" s="161"/>
      <c r="BF151" s="161"/>
      <c r="BG151" s="161"/>
      <c r="BH151" s="161"/>
      <c r="BI151" s="161"/>
      <c r="BJ151" s="161"/>
      <c r="BK151" s="161"/>
      <c r="BL151" s="161"/>
      <c r="BM151" s="161"/>
      <c r="BN151" s="161"/>
      <c r="BO151" s="161"/>
      <c r="BP151" s="161"/>
      <c r="BQ151" s="161"/>
      <c r="BR151" s="161"/>
      <c r="BS151" s="161"/>
      <c r="BT151" s="161"/>
      <c r="BU151" s="161"/>
      <c r="BV151" s="161"/>
      <c r="BW151" s="161"/>
    </row>
    <row r="152" spans="1:75">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161"/>
      <c r="X152" s="161"/>
      <c r="Y152" s="161"/>
      <c r="Z152" s="161"/>
      <c r="AA152" s="161"/>
      <c r="AB152" s="161"/>
      <c r="AC152" s="161"/>
      <c r="AD152" s="161"/>
      <c r="AE152" s="161"/>
      <c r="AF152" s="161"/>
      <c r="AG152" s="161"/>
      <c r="AH152" s="161"/>
      <c r="AI152" s="161"/>
      <c r="AJ152" s="161"/>
      <c r="AK152" s="161"/>
      <c r="AL152" s="161"/>
      <c r="AM152" s="161"/>
      <c r="AN152" s="161"/>
      <c r="AO152" s="161"/>
      <c r="AP152" s="161"/>
      <c r="AQ152" s="161"/>
      <c r="AR152" s="161"/>
      <c r="AS152" s="161"/>
      <c r="AT152" s="161"/>
      <c r="AU152" s="161"/>
      <c r="AV152" s="161"/>
      <c r="AW152" s="161"/>
      <c r="AX152" s="161"/>
      <c r="AY152" s="161"/>
      <c r="AZ152" s="161"/>
      <c r="BA152" s="161"/>
      <c r="BB152" s="161"/>
      <c r="BC152" s="161"/>
      <c r="BD152" s="161"/>
      <c r="BE152" s="161"/>
      <c r="BF152" s="161"/>
      <c r="BG152" s="161"/>
      <c r="BH152" s="161"/>
      <c r="BI152" s="161"/>
      <c r="BJ152" s="161"/>
      <c r="BK152" s="161"/>
      <c r="BL152" s="161"/>
      <c r="BM152" s="161"/>
      <c r="BN152" s="161"/>
      <c r="BO152" s="161"/>
      <c r="BP152" s="161"/>
      <c r="BQ152" s="161"/>
      <c r="BR152" s="161"/>
      <c r="BS152" s="161"/>
      <c r="BT152" s="161"/>
      <c r="BU152" s="161"/>
      <c r="BV152" s="161"/>
      <c r="BW152" s="161"/>
    </row>
    <row r="153" spans="1:75">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161"/>
      <c r="X153" s="161"/>
      <c r="Y153" s="161"/>
      <c r="Z153" s="161"/>
      <c r="AA153" s="161"/>
      <c r="AB153" s="161"/>
      <c r="AC153" s="161"/>
      <c r="AD153" s="161"/>
      <c r="AE153" s="161"/>
      <c r="AF153" s="161"/>
      <c r="AG153" s="161"/>
      <c r="AH153" s="161"/>
      <c r="AI153" s="161"/>
      <c r="AJ153" s="161"/>
      <c r="AK153" s="161"/>
      <c r="AL153" s="161"/>
      <c r="AM153" s="161"/>
      <c r="AN153" s="161"/>
      <c r="AO153" s="161"/>
      <c r="AP153" s="161"/>
      <c r="AQ153" s="161"/>
      <c r="AR153" s="161"/>
      <c r="AS153" s="161"/>
      <c r="AT153" s="161"/>
      <c r="AU153" s="161"/>
      <c r="AV153" s="161"/>
      <c r="AW153" s="161"/>
      <c r="AX153" s="161"/>
      <c r="AY153" s="161"/>
      <c r="AZ153" s="161"/>
      <c r="BA153" s="161"/>
      <c r="BB153" s="161"/>
      <c r="BC153" s="161"/>
      <c r="BD153" s="161"/>
      <c r="BE153" s="161"/>
      <c r="BF153" s="161"/>
      <c r="BG153" s="161"/>
      <c r="BH153" s="161"/>
      <c r="BI153" s="161"/>
      <c r="BJ153" s="161"/>
      <c r="BK153" s="161"/>
      <c r="BL153" s="161"/>
      <c r="BM153" s="161"/>
      <c r="BN153" s="161"/>
      <c r="BO153" s="161"/>
      <c r="BP153" s="161"/>
      <c r="BQ153" s="161"/>
      <c r="BR153" s="161"/>
      <c r="BS153" s="161"/>
      <c r="BT153" s="161"/>
      <c r="BU153" s="161"/>
      <c r="BV153" s="161"/>
      <c r="BW153" s="161"/>
    </row>
    <row r="154" spans="1:75">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c r="AM154" s="161"/>
      <c r="AN154" s="161"/>
      <c r="AO154" s="161"/>
      <c r="AP154" s="161"/>
      <c r="AQ154" s="161"/>
      <c r="AR154" s="161"/>
      <c r="AS154" s="161"/>
      <c r="AT154" s="161"/>
      <c r="AU154" s="161"/>
      <c r="AV154" s="161"/>
      <c r="AW154" s="161"/>
      <c r="AX154" s="161"/>
      <c r="AY154" s="161"/>
      <c r="AZ154" s="161"/>
      <c r="BA154" s="161"/>
      <c r="BB154" s="161"/>
      <c r="BC154" s="161"/>
      <c r="BD154" s="161"/>
      <c r="BE154" s="161"/>
      <c r="BF154" s="161"/>
      <c r="BG154" s="161"/>
      <c r="BH154" s="161"/>
      <c r="BI154" s="161"/>
      <c r="BJ154" s="161"/>
      <c r="BK154" s="161"/>
      <c r="BL154" s="161"/>
      <c r="BM154" s="161"/>
      <c r="BN154" s="161"/>
      <c r="BO154" s="161"/>
      <c r="BP154" s="161"/>
      <c r="BQ154" s="161"/>
      <c r="BR154" s="161"/>
      <c r="BS154" s="161"/>
      <c r="BT154" s="161"/>
      <c r="BU154" s="161"/>
      <c r="BV154" s="161"/>
      <c r="BW154" s="161"/>
    </row>
    <row r="155" spans="1:75">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c r="AM155" s="161"/>
      <c r="AN155" s="161"/>
      <c r="AO155" s="161"/>
      <c r="AP155" s="161"/>
      <c r="AQ155" s="161"/>
      <c r="AR155" s="161"/>
      <c r="AS155" s="161"/>
      <c r="AT155" s="161"/>
      <c r="AU155" s="161"/>
      <c r="AV155" s="161"/>
      <c r="AW155" s="161"/>
      <c r="AX155" s="161"/>
      <c r="AY155" s="161"/>
      <c r="AZ155" s="161"/>
      <c r="BA155" s="161"/>
      <c r="BB155" s="161"/>
      <c r="BC155" s="161"/>
      <c r="BD155" s="161"/>
      <c r="BE155" s="161"/>
      <c r="BF155" s="161"/>
      <c r="BG155" s="161"/>
      <c r="BH155" s="161"/>
      <c r="BI155" s="161"/>
      <c r="BJ155" s="161"/>
      <c r="BK155" s="161"/>
      <c r="BL155" s="161"/>
      <c r="BM155" s="161"/>
      <c r="BN155" s="161"/>
      <c r="BO155" s="161"/>
      <c r="BP155" s="161"/>
      <c r="BQ155" s="161"/>
      <c r="BR155" s="161"/>
      <c r="BS155" s="161"/>
      <c r="BT155" s="161"/>
      <c r="BU155" s="161"/>
      <c r="BV155" s="161"/>
      <c r="BW155" s="161"/>
    </row>
    <row r="156" spans="1:75">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161"/>
      <c r="X156" s="161"/>
      <c r="Y156" s="161"/>
      <c r="Z156" s="161"/>
      <c r="AA156" s="161"/>
      <c r="AB156" s="161"/>
      <c r="AC156" s="161"/>
      <c r="AD156" s="161"/>
      <c r="AE156" s="161"/>
      <c r="AF156" s="161"/>
      <c r="AG156" s="161"/>
      <c r="AH156" s="161"/>
      <c r="AI156" s="161"/>
      <c r="AJ156" s="161"/>
      <c r="AK156" s="161"/>
      <c r="AL156" s="161"/>
      <c r="AM156" s="161"/>
      <c r="AN156" s="161"/>
      <c r="AO156" s="161"/>
      <c r="AP156" s="161"/>
      <c r="AQ156" s="161"/>
      <c r="AR156" s="161"/>
      <c r="AS156" s="161"/>
      <c r="AT156" s="161"/>
      <c r="AU156" s="161"/>
      <c r="AV156" s="161"/>
      <c r="AW156" s="161"/>
      <c r="AX156" s="161"/>
      <c r="AY156" s="161"/>
      <c r="AZ156" s="161"/>
      <c r="BA156" s="161"/>
      <c r="BB156" s="161"/>
      <c r="BC156" s="161"/>
      <c r="BD156" s="161"/>
      <c r="BE156" s="161"/>
      <c r="BF156" s="161"/>
      <c r="BG156" s="161"/>
      <c r="BH156" s="161"/>
      <c r="BI156" s="161"/>
      <c r="BJ156" s="161"/>
      <c r="BK156" s="161"/>
      <c r="BL156" s="161"/>
      <c r="BM156" s="161"/>
      <c r="BN156" s="161"/>
      <c r="BO156" s="161"/>
      <c r="BP156" s="161"/>
      <c r="BQ156" s="161"/>
      <c r="BR156" s="161"/>
      <c r="BS156" s="161"/>
      <c r="BT156" s="161"/>
      <c r="BU156" s="161"/>
      <c r="BV156" s="161"/>
      <c r="BW156" s="161"/>
    </row>
    <row r="157" spans="1:75">
      <c r="A157" s="161"/>
      <c r="B157" s="161"/>
      <c r="C157" s="161"/>
      <c r="D157" s="161"/>
      <c r="E157" s="161" t="s">
        <v>714</v>
      </c>
      <c r="F157" s="264">
        <v>0.06</v>
      </c>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c r="AM157" s="161"/>
      <c r="AN157" s="161"/>
      <c r="AO157" s="161"/>
      <c r="AP157" s="161"/>
      <c r="AQ157" s="161"/>
      <c r="AR157" s="161"/>
      <c r="AS157" s="161"/>
      <c r="AT157" s="161"/>
      <c r="AU157" s="161"/>
      <c r="AV157" s="161"/>
      <c r="AW157" s="161"/>
      <c r="AX157" s="161"/>
      <c r="AY157" s="161"/>
      <c r="AZ157" s="161"/>
      <c r="BA157" s="161"/>
      <c r="BB157" s="161"/>
      <c r="BC157" s="161"/>
      <c r="BD157" s="161"/>
      <c r="BE157" s="161"/>
      <c r="BF157" s="161"/>
      <c r="BG157" s="161"/>
      <c r="BH157" s="161"/>
      <c r="BI157" s="161"/>
      <c r="BJ157" s="161"/>
      <c r="BK157" s="161"/>
      <c r="BL157" s="161"/>
      <c r="BM157" s="161"/>
      <c r="BN157" s="161"/>
      <c r="BO157" s="161"/>
      <c r="BP157" s="161"/>
      <c r="BQ157" s="161"/>
      <c r="BR157" s="161"/>
      <c r="BS157" s="161"/>
      <c r="BT157" s="161"/>
      <c r="BU157" s="161"/>
      <c r="BV157" s="161"/>
      <c r="BW157" s="161"/>
    </row>
    <row r="158" spans="1:75">
      <c r="A158" s="161"/>
      <c r="B158" s="161"/>
      <c r="C158" s="161" t="s">
        <v>715</v>
      </c>
      <c r="D158" s="161"/>
      <c r="E158" s="161" t="s">
        <v>716</v>
      </c>
      <c r="F158" s="264">
        <v>0.03</v>
      </c>
      <c r="G158" s="161"/>
      <c r="H158" s="161"/>
      <c r="I158" s="161"/>
      <c r="J158" s="161"/>
      <c r="K158" s="161"/>
      <c r="L158" s="161"/>
      <c r="M158" s="161"/>
      <c r="N158" s="161"/>
      <c r="O158" s="161"/>
      <c r="P158" s="161"/>
      <c r="Q158" s="161"/>
      <c r="R158" s="161"/>
      <c r="S158" s="161"/>
      <c r="T158" s="161"/>
      <c r="U158" s="161"/>
      <c r="V158" s="161"/>
      <c r="W158" s="161"/>
      <c r="X158" s="161"/>
      <c r="Y158" s="161"/>
      <c r="Z158" s="161"/>
      <c r="AA158" s="161"/>
      <c r="AB158" s="161"/>
      <c r="AC158" s="161"/>
      <c r="AD158" s="161"/>
      <c r="AE158" s="161"/>
      <c r="AF158" s="161"/>
      <c r="AG158" s="161"/>
      <c r="AH158" s="161"/>
      <c r="AI158" s="161"/>
      <c r="AJ158" s="161"/>
      <c r="AK158" s="161"/>
      <c r="AL158" s="161"/>
      <c r="AM158" s="161"/>
      <c r="AN158" s="161"/>
      <c r="AO158" s="161"/>
      <c r="AP158" s="161"/>
      <c r="AQ158" s="161"/>
      <c r="AR158" s="161"/>
      <c r="AS158" s="161"/>
      <c r="AT158" s="161"/>
      <c r="AU158" s="161"/>
      <c r="AV158" s="161"/>
      <c r="AW158" s="161"/>
      <c r="AX158" s="161"/>
      <c r="AY158" s="161"/>
      <c r="AZ158" s="161"/>
      <c r="BA158" s="161"/>
      <c r="BB158" s="161"/>
      <c r="BC158" s="161"/>
      <c r="BD158" s="161"/>
      <c r="BE158" s="161"/>
      <c r="BF158" s="161"/>
      <c r="BG158" s="161"/>
      <c r="BH158" s="161"/>
      <c r="BI158" s="161"/>
      <c r="BJ158" s="161"/>
      <c r="BK158" s="161"/>
      <c r="BL158" s="161"/>
      <c r="BM158" s="161"/>
      <c r="BN158" s="161"/>
      <c r="BO158" s="161"/>
      <c r="BP158" s="161"/>
      <c r="BQ158" s="161"/>
      <c r="BR158" s="161"/>
      <c r="BS158" s="161"/>
      <c r="BT158" s="161"/>
      <c r="BU158" s="161"/>
      <c r="BV158" s="161"/>
      <c r="BW158" s="161"/>
    </row>
    <row r="159" spans="1:75">
      <c r="A159" s="161"/>
      <c r="B159" s="161"/>
      <c r="C159" s="161"/>
      <c r="D159" s="161"/>
      <c r="E159" s="161" t="s">
        <v>717</v>
      </c>
      <c r="F159" s="264">
        <v>0.03</v>
      </c>
      <c r="G159" s="161"/>
      <c r="H159" s="161"/>
      <c r="I159" s="161"/>
      <c r="J159" s="161"/>
      <c r="K159" s="161"/>
      <c r="L159" s="161"/>
      <c r="M159" s="161"/>
      <c r="N159" s="161"/>
      <c r="O159" s="161"/>
      <c r="P159" s="161"/>
      <c r="Q159" s="161"/>
      <c r="R159" s="161"/>
      <c r="S159" s="161"/>
      <c r="T159" s="161"/>
      <c r="U159" s="161"/>
      <c r="V159" s="161"/>
      <c r="W159" s="161"/>
      <c r="X159" s="161"/>
      <c r="Y159" s="161"/>
      <c r="Z159" s="161"/>
      <c r="AA159" s="161"/>
      <c r="AB159" s="161"/>
      <c r="AC159" s="161"/>
      <c r="AD159" s="161"/>
      <c r="AE159" s="161"/>
      <c r="AF159" s="161"/>
      <c r="AG159" s="161"/>
      <c r="AH159" s="161"/>
      <c r="AI159" s="161"/>
      <c r="AJ159" s="161"/>
      <c r="AK159" s="161"/>
      <c r="AL159" s="161"/>
      <c r="AM159" s="161"/>
      <c r="AN159" s="161"/>
      <c r="AO159" s="161"/>
      <c r="AP159" s="161"/>
      <c r="AQ159" s="161"/>
      <c r="AR159" s="161"/>
      <c r="AS159" s="161"/>
      <c r="AT159" s="161"/>
      <c r="AU159" s="161"/>
      <c r="AV159" s="161"/>
      <c r="AW159" s="161"/>
      <c r="AX159" s="161"/>
      <c r="AY159" s="161"/>
      <c r="AZ159" s="161"/>
      <c r="BA159" s="161"/>
      <c r="BB159" s="161"/>
      <c r="BC159" s="161"/>
      <c r="BD159" s="161"/>
      <c r="BE159" s="161"/>
      <c r="BF159" s="161"/>
      <c r="BG159" s="161"/>
      <c r="BH159" s="161"/>
      <c r="BI159" s="161"/>
      <c r="BJ159" s="161"/>
      <c r="BK159" s="161"/>
      <c r="BL159" s="161"/>
      <c r="BM159" s="161"/>
      <c r="BN159" s="161"/>
      <c r="BO159" s="161"/>
      <c r="BP159" s="161"/>
      <c r="BQ159" s="161"/>
      <c r="BR159" s="161"/>
      <c r="BS159" s="161"/>
      <c r="BT159" s="161"/>
      <c r="BU159" s="161"/>
      <c r="BV159" s="161"/>
      <c r="BW159" s="161"/>
    </row>
    <row r="160" spans="1:75">
      <c r="A160" s="161"/>
      <c r="B160" s="161"/>
      <c r="C160" s="161"/>
      <c r="D160" s="161"/>
      <c r="E160" s="161" t="s">
        <v>718</v>
      </c>
      <c r="F160" s="264">
        <v>0.03</v>
      </c>
      <c r="G160" s="161"/>
      <c r="H160" s="161"/>
      <c r="I160" s="161"/>
      <c r="J160" s="161"/>
      <c r="K160" s="161"/>
      <c r="L160" s="161"/>
      <c r="M160" s="161"/>
      <c r="N160" s="161"/>
      <c r="O160" s="161"/>
      <c r="P160" s="161"/>
      <c r="Q160" s="161"/>
      <c r="R160" s="161"/>
      <c r="S160" s="161"/>
      <c r="T160" s="161"/>
      <c r="U160" s="161"/>
      <c r="V160" s="161"/>
      <c r="W160" s="161"/>
      <c r="X160" s="161"/>
      <c r="Y160" s="161"/>
      <c r="Z160" s="161"/>
      <c r="AA160" s="161"/>
      <c r="AB160" s="161"/>
      <c r="AC160" s="161"/>
      <c r="AD160" s="161"/>
      <c r="AE160" s="161"/>
      <c r="AF160" s="161"/>
      <c r="AG160" s="161"/>
      <c r="AH160" s="161"/>
      <c r="AI160" s="161"/>
      <c r="AJ160" s="161"/>
      <c r="AK160" s="161"/>
      <c r="AL160" s="161"/>
      <c r="AM160" s="161"/>
      <c r="AN160" s="161"/>
      <c r="AO160" s="161"/>
      <c r="AP160" s="161"/>
      <c r="AQ160" s="161"/>
      <c r="AR160" s="161"/>
      <c r="AS160" s="161"/>
      <c r="AT160" s="161"/>
      <c r="AU160" s="161"/>
      <c r="AV160" s="161"/>
      <c r="AW160" s="161"/>
      <c r="AX160" s="161"/>
      <c r="AY160" s="161"/>
      <c r="AZ160" s="161"/>
      <c r="BA160" s="161"/>
      <c r="BB160" s="161"/>
      <c r="BC160" s="161"/>
      <c r="BD160" s="161"/>
      <c r="BE160" s="161"/>
      <c r="BF160" s="161"/>
      <c r="BG160" s="161"/>
      <c r="BH160" s="161"/>
      <c r="BI160" s="161"/>
      <c r="BJ160" s="161"/>
      <c r="BK160" s="161"/>
      <c r="BL160" s="161"/>
      <c r="BM160" s="161"/>
      <c r="BN160" s="161"/>
      <c r="BO160" s="161"/>
      <c r="BP160" s="161"/>
      <c r="BQ160" s="161"/>
      <c r="BR160" s="161"/>
      <c r="BS160" s="161"/>
      <c r="BT160" s="161"/>
      <c r="BU160" s="161"/>
      <c r="BV160" s="161"/>
      <c r="BW160" s="161"/>
    </row>
    <row r="161" spans="1:75">
      <c r="A161" s="161"/>
      <c r="B161" s="161"/>
      <c r="C161" s="161"/>
      <c r="D161" s="161"/>
      <c r="E161" s="161" t="s">
        <v>677</v>
      </c>
      <c r="F161" s="264">
        <v>0</v>
      </c>
      <c r="G161" s="161"/>
      <c r="H161" s="161"/>
      <c r="I161" s="161"/>
      <c r="J161" s="161"/>
      <c r="K161" s="161"/>
      <c r="L161" s="161"/>
      <c r="M161" s="161"/>
      <c r="N161" s="161"/>
      <c r="O161" s="161"/>
      <c r="P161" s="161"/>
      <c r="Q161" s="161"/>
      <c r="R161" s="161"/>
      <c r="S161" s="161"/>
      <c r="T161" s="161"/>
      <c r="U161" s="161"/>
      <c r="V161" s="161"/>
      <c r="W161" s="161"/>
      <c r="X161" s="161"/>
      <c r="Y161" s="161"/>
      <c r="Z161" s="161"/>
      <c r="AA161" s="161"/>
      <c r="AB161" s="161"/>
      <c r="AC161" s="161"/>
      <c r="AD161" s="161"/>
      <c r="AE161" s="161"/>
      <c r="AF161" s="161"/>
      <c r="AG161" s="161"/>
      <c r="AH161" s="161"/>
      <c r="AI161" s="161"/>
      <c r="AJ161" s="161"/>
      <c r="AK161" s="161"/>
      <c r="AL161" s="161"/>
      <c r="AM161" s="161"/>
      <c r="AN161" s="161"/>
      <c r="AO161" s="161"/>
      <c r="AP161" s="161"/>
      <c r="AQ161" s="161"/>
      <c r="AR161" s="161"/>
      <c r="AS161" s="161"/>
      <c r="AT161" s="161"/>
      <c r="AU161" s="161"/>
      <c r="AV161" s="161"/>
      <c r="AW161" s="161"/>
      <c r="AX161" s="161"/>
      <c r="AY161" s="161"/>
      <c r="AZ161" s="161"/>
      <c r="BA161" s="161"/>
      <c r="BB161" s="161"/>
      <c r="BC161" s="161"/>
      <c r="BD161" s="161"/>
      <c r="BE161" s="161"/>
      <c r="BF161" s="161"/>
      <c r="BG161" s="161"/>
      <c r="BH161" s="161"/>
      <c r="BI161" s="161"/>
      <c r="BJ161" s="161"/>
      <c r="BK161" s="161"/>
      <c r="BL161" s="161"/>
      <c r="BM161" s="161"/>
      <c r="BN161" s="161"/>
      <c r="BO161" s="161"/>
      <c r="BP161" s="161"/>
      <c r="BQ161" s="161"/>
      <c r="BR161" s="161"/>
      <c r="BS161" s="161"/>
      <c r="BT161" s="161"/>
      <c r="BU161" s="161"/>
      <c r="BV161" s="161"/>
      <c r="BW161" s="161"/>
    </row>
    <row r="162" spans="1:75">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c r="AM162" s="161"/>
      <c r="AN162" s="161"/>
      <c r="AO162" s="161"/>
      <c r="AP162" s="161"/>
      <c r="AQ162" s="161"/>
      <c r="AR162" s="161"/>
      <c r="AS162" s="161"/>
      <c r="AT162" s="161"/>
      <c r="AU162" s="161"/>
      <c r="AV162" s="161"/>
      <c r="AW162" s="161"/>
      <c r="AX162" s="161"/>
      <c r="AY162" s="161"/>
      <c r="AZ162" s="161"/>
      <c r="BA162" s="161"/>
      <c r="BB162" s="161"/>
      <c r="BC162" s="161"/>
      <c r="BD162" s="161"/>
      <c r="BE162" s="161"/>
      <c r="BF162" s="161"/>
      <c r="BG162" s="161"/>
      <c r="BH162" s="161"/>
      <c r="BI162" s="161"/>
      <c r="BJ162" s="161"/>
      <c r="BK162" s="161"/>
      <c r="BL162" s="161"/>
      <c r="BM162" s="161"/>
      <c r="BN162" s="161"/>
      <c r="BO162" s="161"/>
      <c r="BP162" s="161"/>
      <c r="BQ162" s="161"/>
      <c r="BR162" s="161"/>
      <c r="BS162" s="161"/>
      <c r="BT162" s="161"/>
      <c r="BU162" s="161"/>
      <c r="BV162" s="161"/>
      <c r="BW162" s="161"/>
    </row>
    <row r="163" spans="1:75">
      <c r="A163" s="161"/>
      <c r="B163" s="161"/>
      <c r="C163" s="161"/>
      <c r="D163" s="161"/>
      <c r="E163" s="161"/>
      <c r="F163" s="161"/>
      <c r="G163" s="161"/>
      <c r="H163" s="161"/>
      <c r="I163" s="161"/>
      <c r="J163" s="161"/>
      <c r="K163" s="161"/>
      <c r="L163" s="161"/>
      <c r="M163" s="161"/>
      <c r="N163" s="161"/>
      <c r="O163" s="161"/>
      <c r="P163" s="161"/>
      <c r="Q163" s="161"/>
      <c r="R163" s="161"/>
      <c r="S163" s="161"/>
      <c r="T163" s="161"/>
      <c r="U163" s="161"/>
      <c r="V163" s="161"/>
      <c r="W163" s="161"/>
      <c r="X163" s="161"/>
      <c r="Y163" s="161"/>
      <c r="Z163" s="161"/>
      <c r="AA163" s="161"/>
      <c r="AB163" s="161"/>
      <c r="AC163" s="161"/>
      <c r="AD163" s="161"/>
      <c r="AE163" s="161"/>
      <c r="AF163" s="161"/>
      <c r="AG163" s="161"/>
      <c r="AH163" s="161"/>
      <c r="AI163" s="161"/>
      <c r="AJ163" s="161"/>
      <c r="AK163" s="161"/>
      <c r="AL163" s="161"/>
      <c r="AM163" s="161"/>
      <c r="AN163" s="161"/>
      <c r="AO163" s="161"/>
      <c r="AP163" s="161"/>
      <c r="AQ163" s="161"/>
      <c r="AR163" s="161"/>
      <c r="AS163" s="161"/>
      <c r="AT163" s="161"/>
      <c r="AU163" s="161"/>
      <c r="AV163" s="161"/>
      <c r="AW163" s="161"/>
      <c r="AX163" s="161"/>
      <c r="AY163" s="161"/>
      <c r="AZ163" s="161"/>
      <c r="BA163" s="161"/>
      <c r="BB163" s="161"/>
      <c r="BC163" s="161"/>
      <c r="BD163" s="161"/>
      <c r="BE163" s="161"/>
      <c r="BF163" s="161"/>
      <c r="BG163" s="161"/>
      <c r="BH163" s="161"/>
      <c r="BI163" s="161"/>
      <c r="BJ163" s="161"/>
      <c r="BK163" s="161"/>
      <c r="BL163" s="161"/>
      <c r="BM163" s="161"/>
      <c r="BN163" s="161"/>
      <c r="BO163" s="161"/>
      <c r="BP163" s="161"/>
      <c r="BQ163" s="161"/>
      <c r="BR163" s="161"/>
      <c r="BS163" s="161"/>
      <c r="BT163" s="161"/>
      <c r="BU163" s="161"/>
      <c r="BV163" s="161"/>
      <c r="BW163" s="161"/>
    </row>
    <row r="164" spans="1:75">
      <c r="A164" s="161"/>
      <c r="B164" s="161"/>
      <c r="C164" s="161"/>
      <c r="D164" s="161"/>
      <c r="E164" s="161"/>
      <c r="F164" s="161"/>
      <c r="G164" s="161"/>
      <c r="H164" s="161"/>
      <c r="I164" s="161"/>
      <c r="J164" s="161"/>
      <c r="K164" s="161"/>
      <c r="L164" s="161"/>
      <c r="M164" s="161"/>
      <c r="N164" s="161"/>
      <c r="O164" s="161"/>
      <c r="P164" s="161"/>
      <c r="Q164" s="161"/>
      <c r="R164" s="161"/>
      <c r="S164" s="161"/>
      <c r="T164" s="161"/>
      <c r="U164" s="161"/>
      <c r="V164" s="161"/>
      <c r="W164" s="161"/>
      <c r="X164" s="161"/>
      <c r="Y164" s="161"/>
      <c r="Z164" s="161"/>
      <c r="AA164" s="161"/>
      <c r="AB164" s="161"/>
      <c r="AC164" s="161"/>
      <c r="AD164" s="161"/>
      <c r="AE164" s="161"/>
      <c r="AF164" s="161"/>
      <c r="AG164" s="161"/>
      <c r="AH164" s="161"/>
      <c r="AI164" s="161"/>
      <c r="AJ164" s="161"/>
      <c r="AK164" s="161"/>
      <c r="AL164" s="161"/>
      <c r="AM164" s="161"/>
      <c r="AN164" s="161"/>
      <c r="AO164" s="161"/>
      <c r="AP164" s="161"/>
      <c r="AQ164" s="161"/>
      <c r="AR164" s="161"/>
      <c r="AS164" s="161"/>
      <c r="AT164" s="161"/>
      <c r="AU164" s="161"/>
      <c r="AV164" s="161"/>
      <c r="AW164" s="161"/>
      <c r="AX164" s="161"/>
      <c r="AY164" s="161"/>
      <c r="AZ164" s="161"/>
      <c r="BA164" s="161"/>
      <c r="BB164" s="161"/>
      <c r="BC164" s="161"/>
      <c r="BD164" s="161"/>
      <c r="BE164" s="161"/>
      <c r="BF164" s="161"/>
      <c r="BG164" s="161"/>
      <c r="BH164" s="161"/>
      <c r="BI164" s="161"/>
      <c r="BJ164" s="161"/>
      <c r="BK164" s="161"/>
      <c r="BL164" s="161"/>
      <c r="BM164" s="161"/>
      <c r="BN164" s="161"/>
      <c r="BO164" s="161"/>
      <c r="BP164" s="161"/>
      <c r="BQ164" s="161"/>
      <c r="BR164" s="161"/>
      <c r="BS164" s="161"/>
      <c r="BT164" s="161"/>
      <c r="BU164" s="161"/>
      <c r="BV164" s="161"/>
      <c r="BW164" s="161"/>
    </row>
    <row r="165" spans="1:75">
      <c r="A165" s="161"/>
      <c r="B165" s="161"/>
      <c r="C165" s="161"/>
      <c r="D165" s="161"/>
      <c r="E165" s="161"/>
      <c r="F165" s="161"/>
      <c r="G165" s="161"/>
      <c r="H165" s="161"/>
      <c r="I165" s="161"/>
      <c r="J165" s="161"/>
      <c r="K165" s="161"/>
      <c r="L165" s="161"/>
      <c r="M165" s="161"/>
      <c r="N165" s="161"/>
      <c r="O165" s="161"/>
      <c r="P165" s="161"/>
      <c r="Q165" s="161"/>
      <c r="R165" s="161"/>
      <c r="S165" s="161"/>
      <c r="T165" s="161"/>
      <c r="U165" s="161"/>
      <c r="V165" s="161"/>
      <c r="W165" s="161"/>
      <c r="X165" s="161"/>
      <c r="Y165" s="161"/>
      <c r="Z165" s="161"/>
      <c r="AA165" s="161"/>
      <c r="AB165" s="161"/>
      <c r="AC165" s="161"/>
      <c r="AD165" s="161"/>
      <c r="AE165" s="161"/>
      <c r="AF165" s="161"/>
      <c r="AG165" s="161"/>
      <c r="AH165" s="161"/>
      <c r="AI165" s="161"/>
      <c r="AJ165" s="161"/>
      <c r="AK165" s="161"/>
      <c r="AL165" s="161"/>
      <c r="AM165" s="161"/>
      <c r="AN165" s="161"/>
      <c r="AO165" s="161"/>
      <c r="AP165" s="161"/>
      <c r="AQ165" s="161"/>
      <c r="AR165" s="161"/>
      <c r="AS165" s="161"/>
      <c r="AT165" s="161"/>
      <c r="AU165" s="161"/>
      <c r="AV165" s="161"/>
      <c r="AW165" s="161"/>
      <c r="AX165" s="161"/>
      <c r="AY165" s="161"/>
      <c r="AZ165" s="161"/>
      <c r="BA165" s="161"/>
      <c r="BB165" s="161"/>
      <c r="BC165" s="161"/>
      <c r="BD165" s="161"/>
      <c r="BE165" s="161"/>
      <c r="BF165" s="161"/>
      <c r="BG165" s="161"/>
      <c r="BH165" s="161"/>
      <c r="BI165" s="161"/>
      <c r="BJ165" s="161"/>
      <c r="BK165" s="161"/>
      <c r="BL165" s="161"/>
      <c r="BM165" s="161"/>
      <c r="BN165" s="161"/>
      <c r="BO165" s="161"/>
      <c r="BP165" s="161"/>
      <c r="BQ165" s="161"/>
      <c r="BR165" s="161"/>
      <c r="BS165" s="161"/>
      <c r="BT165" s="161"/>
      <c r="BU165" s="161"/>
      <c r="BV165" s="161"/>
      <c r="BW165" s="161"/>
    </row>
    <row r="166" spans="1:75">
      <c r="A166" s="161"/>
      <c r="B166" s="161"/>
      <c r="C166" s="161"/>
      <c r="D166" s="161"/>
      <c r="E166" s="161"/>
      <c r="F166" s="161"/>
      <c r="G166" s="161"/>
      <c r="H166" s="161"/>
      <c r="I166" s="161"/>
      <c r="J166" s="161"/>
      <c r="K166" s="161"/>
      <c r="L166" s="161"/>
      <c r="M166" s="161"/>
      <c r="N166" s="161"/>
      <c r="O166" s="161"/>
      <c r="P166" s="161"/>
      <c r="Q166" s="161"/>
      <c r="R166" s="161"/>
      <c r="S166" s="161"/>
      <c r="T166" s="161"/>
      <c r="U166" s="161"/>
      <c r="V166" s="161"/>
      <c r="W166" s="161"/>
      <c r="X166" s="161"/>
      <c r="Y166" s="161"/>
      <c r="Z166" s="161"/>
      <c r="AA166" s="161"/>
      <c r="AB166" s="161"/>
      <c r="AC166" s="161"/>
      <c r="AD166" s="161"/>
      <c r="AE166" s="161"/>
      <c r="AF166" s="161"/>
      <c r="AG166" s="161"/>
      <c r="AH166" s="161"/>
      <c r="AI166" s="161"/>
      <c r="AJ166" s="161"/>
      <c r="AK166" s="161"/>
      <c r="AL166" s="161"/>
      <c r="AM166" s="161"/>
      <c r="AN166" s="161"/>
      <c r="AO166" s="161"/>
      <c r="AP166" s="161"/>
      <c r="AQ166" s="161"/>
      <c r="AR166" s="161"/>
      <c r="AS166" s="161"/>
      <c r="AT166" s="161"/>
      <c r="AU166" s="161"/>
      <c r="AV166" s="161"/>
      <c r="AW166" s="161"/>
      <c r="AX166" s="161"/>
      <c r="AY166" s="161"/>
      <c r="AZ166" s="161"/>
      <c r="BA166" s="161"/>
      <c r="BB166" s="161"/>
      <c r="BC166" s="161"/>
      <c r="BD166" s="161"/>
      <c r="BE166" s="161"/>
      <c r="BF166" s="161"/>
      <c r="BG166" s="161"/>
      <c r="BH166" s="161"/>
      <c r="BI166" s="161"/>
      <c r="BJ166" s="161"/>
      <c r="BK166" s="161"/>
      <c r="BL166" s="161"/>
      <c r="BM166" s="161"/>
      <c r="BN166" s="161"/>
      <c r="BO166" s="161"/>
      <c r="BP166" s="161"/>
      <c r="BQ166" s="161"/>
      <c r="BR166" s="161"/>
      <c r="BS166" s="161"/>
      <c r="BT166" s="161"/>
      <c r="BU166" s="161"/>
      <c r="BV166" s="161"/>
      <c r="BW166" s="161"/>
    </row>
    <row r="167" spans="1:75">
      <c r="A167" s="161"/>
      <c r="B167" s="161"/>
      <c r="C167" s="161"/>
      <c r="D167" s="161"/>
      <c r="E167" s="161"/>
      <c r="F167" s="161"/>
      <c r="G167" s="161"/>
      <c r="H167" s="161"/>
      <c r="I167" s="161"/>
      <c r="J167" s="161"/>
      <c r="K167" s="161"/>
      <c r="L167" s="161"/>
      <c r="M167" s="161"/>
      <c r="N167" s="161"/>
      <c r="O167" s="161"/>
      <c r="P167" s="161"/>
      <c r="Q167" s="161"/>
      <c r="R167" s="161"/>
      <c r="S167" s="161"/>
      <c r="T167" s="161"/>
      <c r="U167" s="161"/>
      <c r="V167" s="161"/>
      <c r="W167" s="161"/>
      <c r="X167" s="161"/>
      <c r="Y167" s="161"/>
      <c r="Z167" s="161"/>
      <c r="AA167" s="161"/>
      <c r="AB167" s="161"/>
      <c r="AC167" s="161"/>
      <c r="AD167" s="161"/>
      <c r="AE167" s="161"/>
      <c r="AF167" s="161"/>
      <c r="AG167" s="161"/>
      <c r="AH167" s="161"/>
      <c r="AI167" s="161"/>
      <c r="AJ167" s="161"/>
      <c r="AK167" s="161"/>
      <c r="AL167" s="161"/>
      <c r="AM167" s="161"/>
      <c r="AN167" s="161"/>
      <c r="AO167" s="161"/>
      <c r="AP167" s="161"/>
      <c r="AQ167" s="161"/>
      <c r="AR167" s="161"/>
      <c r="AS167" s="161"/>
      <c r="AT167" s="161"/>
      <c r="AU167" s="161"/>
      <c r="AV167" s="161"/>
      <c r="AW167" s="161"/>
      <c r="AX167" s="161"/>
      <c r="AY167" s="161"/>
      <c r="AZ167" s="161"/>
      <c r="BA167" s="161"/>
      <c r="BB167" s="161"/>
      <c r="BC167" s="161"/>
      <c r="BD167" s="161"/>
      <c r="BE167" s="161"/>
      <c r="BF167" s="161"/>
      <c r="BG167" s="161"/>
      <c r="BH167" s="161"/>
      <c r="BI167" s="161"/>
      <c r="BJ167" s="161"/>
      <c r="BK167" s="161"/>
      <c r="BL167" s="161"/>
      <c r="BM167" s="161"/>
      <c r="BN167" s="161"/>
      <c r="BO167" s="161"/>
      <c r="BP167" s="161"/>
      <c r="BQ167" s="161"/>
      <c r="BR167" s="161"/>
      <c r="BS167" s="161"/>
      <c r="BT167" s="161"/>
      <c r="BU167" s="161"/>
      <c r="BV167" s="161"/>
      <c r="BW167" s="161"/>
    </row>
    <row r="168" spans="1:75">
      <c r="A168" s="161"/>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161"/>
      <c r="X168" s="161"/>
      <c r="Y168" s="161"/>
      <c r="Z168" s="161"/>
      <c r="AA168" s="161"/>
      <c r="AB168" s="161"/>
      <c r="AC168" s="161"/>
      <c r="AD168" s="161"/>
      <c r="AE168" s="161"/>
      <c r="AF168" s="161"/>
      <c r="AG168" s="161"/>
      <c r="AH168" s="161"/>
      <c r="AI168" s="161"/>
      <c r="AJ168" s="161"/>
      <c r="AK168" s="161"/>
      <c r="AL168" s="161"/>
      <c r="AM168" s="161"/>
      <c r="AN168" s="161"/>
      <c r="AO168" s="161"/>
      <c r="AP168" s="161"/>
      <c r="AQ168" s="161"/>
      <c r="AR168" s="161"/>
      <c r="AS168" s="161"/>
      <c r="AT168" s="161"/>
      <c r="AU168" s="161"/>
      <c r="AV168" s="161"/>
      <c r="AW168" s="161"/>
      <c r="AX168" s="161"/>
      <c r="AY168" s="161"/>
      <c r="AZ168" s="161"/>
      <c r="BA168" s="161"/>
      <c r="BB168" s="161"/>
      <c r="BC168" s="161"/>
      <c r="BD168" s="161"/>
      <c r="BE168" s="161"/>
      <c r="BF168" s="161"/>
      <c r="BG168" s="161"/>
      <c r="BH168" s="161"/>
      <c r="BI168" s="161"/>
      <c r="BJ168" s="161"/>
      <c r="BK168" s="161"/>
      <c r="BL168" s="161"/>
      <c r="BM168" s="161"/>
      <c r="BN168" s="161"/>
      <c r="BO168" s="161"/>
      <c r="BP168" s="161"/>
      <c r="BQ168" s="161"/>
      <c r="BR168" s="161"/>
      <c r="BS168" s="161"/>
      <c r="BT168" s="161"/>
      <c r="BU168" s="161"/>
      <c r="BV168" s="161"/>
      <c r="BW168" s="161"/>
    </row>
    <row r="169" spans="1:75">
      <c r="A169" s="161"/>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161"/>
      <c r="X169" s="161"/>
      <c r="Y169" s="161"/>
      <c r="Z169" s="161"/>
      <c r="AA169" s="161"/>
      <c r="AB169" s="161"/>
      <c r="AC169" s="161"/>
      <c r="AD169" s="161"/>
      <c r="AE169" s="161"/>
      <c r="AF169" s="161"/>
      <c r="AG169" s="161"/>
      <c r="AH169" s="161"/>
      <c r="AI169" s="161"/>
      <c r="AJ169" s="161"/>
      <c r="AK169" s="161"/>
      <c r="AL169" s="161"/>
      <c r="AM169" s="161"/>
      <c r="AN169" s="161"/>
      <c r="AO169" s="161"/>
      <c r="AP169" s="161"/>
      <c r="AQ169" s="161"/>
      <c r="AR169" s="161"/>
      <c r="AS169" s="161"/>
      <c r="AT169" s="161"/>
      <c r="AU169" s="161"/>
      <c r="AV169" s="161"/>
      <c r="AW169" s="161"/>
      <c r="AX169" s="161"/>
      <c r="AY169" s="161"/>
      <c r="AZ169" s="161"/>
      <c r="BA169" s="161"/>
      <c r="BB169" s="161"/>
      <c r="BC169" s="161"/>
      <c r="BD169" s="161"/>
      <c r="BE169" s="161"/>
      <c r="BF169" s="161"/>
      <c r="BG169" s="161"/>
      <c r="BH169" s="161"/>
      <c r="BI169" s="161"/>
      <c r="BJ169" s="161"/>
      <c r="BK169" s="161"/>
      <c r="BL169" s="161"/>
      <c r="BM169" s="161"/>
      <c r="BN169" s="161"/>
      <c r="BO169" s="161"/>
      <c r="BP169" s="161"/>
      <c r="BQ169" s="161"/>
      <c r="BR169" s="161"/>
      <c r="BS169" s="161"/>
      <c r="BT169" s="161"/>
      <c r="BU169" s="161"/>
      <c r="BV169" s="161"/>
      <c r="BW169" s="161"/>
    </row>
    <row r="170" spans="1:75">
      <c r="A170" s="161"/>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161"/>
      <c r="X170" s="161"/>
      <c r="Y170" s="161"/>
      <c r="Z170" s="161"/>
      <c r="AA170" s="161"/>
      <c r="AB170" s="161"/>
      <c r="AC170" s="161"/>
      <c r="AD170" s="161"/>
      <c r="AE170" s="161"/>
      <c r="AF170" s="161"/>
      <c r="AG170" s="161"/>
      <c r="AH170" s="161"/>
      <c r="AI170" s="161"/>
      <c r="AJ170" s="161"/>
      <c r="AK170" s="161"/>
      <c r="AL170" s="161"/>
      <c r="AM170" s="161"/>
      <c r="AN170" s="161"/>
      <c r="AO170" s="161"/>
      <c r="AP170" s="161"/>
      <c r="AQ170" s="161"/>
      <c r="AR170" s="161"/>
      <c r="AS170" s="161"/>
      <c r="AT170" s="161"/>
      <c r="AU170" s="161"/>
      <c r="AV170" s="161"/>
      <c r="AW170" s="161"/>
      <c r="AX170" s="161"/>
      <c r="AY170" s="161"/>
      <c r="AZ170" s="161"/>
      <c r="BA170" s="161"/>
      <c r="BB170" s="161"/>
      <c r="BC170" s="161"/>
      <c r="BD170" s="161"/>
      <c r="BE170" s="161"/>
      <c r="BF170" s="161"/>
      <c r="BG170" s="161"/>
      <c r="BH170" s="161"/>
      <c r="BI170" s="161"/>
      <c r="BJ170" s="161"/>
      <c r="BK170" s="161"/>
      <c r="BL170" s="161"/>
      <c r="BM170" s="161"/>
      <c r="BN170" s="161"/>
      <c r="BO170" s="161"/>
      <c r="BP170" s="161"/>
      <c r="BQ170" s="161"/>
      <c r="BR170" s="161"/>
      <c r="BS170" s="161"/>
      <c r="BT170" s="161"/>
      <c r="BU170" s="161"/>
      <c r="BV170" s="161"/>
      <c r="BW170" s="161"/>
    </row>
    <row r="171" spans="1:75">
      <c r="A171" s="161"/>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161"/>
      <c r="X171" s="161"/>
      <c r="Y171" s="161"/>
      <c r="Z171" s="161"/>
      <c r="AA171" s="161"/>
      <c r="AB171" s="161"/>
      <c r="AC171" s="161"/>
      <c r="AD171" s="161"/>
      <c r="AE171" s="161"/>
      <c r="AF171" s="161"/>
      <c r="AG171" s="161"/>
      <c r="AH171" s="161"/>
      <c r="AI171" s="161"/>
      <c r="AJ171" s="161"/>
      <c r="AK171" s="161"/>
      <c r="AL171" s="161"/>
      <c r="AM171" s="161"/>
      <c r="AN171" s="161"/>
      <c r="AO171" s="161"/>
      <c r="AP171" s="161"/>
      <c r="AQ171" s="161"/>
      <c r="AR171" s="161"/>
      <c r="AS171" s="161"/>
      <c r="AT171" s="161"/>
      <c r="AU171" s="161"/>
      <c r="AV171" s="161"/>
      <c r="AW171" s="161"/>
      <c r="AX171" s="161"/>
      <c r="AY171" s="161"/>
      <c r="AZ171" s="161"/>
      <c r="BA171" s="161"/>
      <c r="BB171" s="161"/>
      <c r="BC171" s="161"/>
      <c r="BD171" s="161"/>
      <c r="BE171" s="161"/>
      <c r="BF171" s="161"/>
      <c r="BG171" s="161"/>
      <c r="BH171" s="161"/>
      <c r="BI171" s="161"/>
      <c r="BJ171" s="161"/>
      <c r="BK171" s="161"/>
      <c r="BL171" s="161"/>
      <c r="BM171" s="161"/>
      <c r="BN171" s="161"/>
      <c r="BO171" s="161"/>
      <c r="BP171" s="161"/>
      <c r="BQ171" s="161"/>
      <c r="BR171" s="161"/>
      <c r="BS171" s="161"/>
      <c r="BT171" s="161"/>
      <c r="BU171" s="161"/>
      <c r="BV171" s="161"/>
      <c r="BW171" s="161"/>
    </row>
    <row r="172" spans="1:75">
      <c r="A172" s="161"/>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161"/>
      <c r="X172" s="161"/>
      <c r="Y172" s="161"/>
      <c r="Z172" s="161"/>
      <c r="AA172" s="161"/>
      <c r="AB172" s="161"/>
      <c r="AC172" s="161"/>
      <c r="AD172" s="161"/>
      <c r="AE172" s="161"/>
      <c r="AF172" s="161"/>
      <c r="AG172" s="161"/>
      <c r="AH172" s="161"/>
      <c r="AI172" s="161"/>
      <c r="AJ172" s="161"/>
      <c r="AK172" s="161"/>
      <c r="AL172" s="161"/>
      <c r="AM172" s="161"/>
      <c r="AN172" s="161"/>
      <c r="AO172" s="161"/>
      <c r="AP172" s="161"/>
      <c r="AQ172" s="161"/>
      <c r="AR172" s="161"/>
      <c r="AS172" s="161"/>
      <c r="AT172" s="161"/>
      <c r="AU172" s="161"/>
      <c r="AV172" s="161"/>
      <c r="AW172" s="161"/>
      <c r="AX172" s="161"/>
      <c r="AY172" s="161"/>
      <c r="AZ172" s="161"/>
      <c r="BA172" s="161"/>
      <c r="BB172" s="161"/>
      <c r="BC172" s="161"/>
      <c r="BD172" s="161"/>
      <c r="BE172" s="161"/>
      <c r="BF172" s="161"/>
      <c r="BG172" s="161"/>
      <c r="BH172" s="161"/>
      <c r="BI172" s="161"/>
      <c r="BJ172" s="161"/>
      <c r="BK172" s="161"/>
      <c r="BL172" s="161"/>
      <c r="BM172" s="161"/>
      <c r="BN172" s="161"/>
      <c r="BO172" s="161"/>
      <c r="BP172" s="161"/>
      <c r="BQ172" s="161"/>
      <c r="BR172" s="161"/>
      <c r="BS172" s="161"/>
      <c r="BT172" s="161"/>
      <c r="BU172" s="161"/>
      <c r="BV172" s="161"/>
      <c r="BW172" s="161"/>
    </row>
    <row r="173" spans="1:75">
      <c r="A173" s="161"/>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161"/>
      <c r="X173" s="161"/>
      <c r="Y173" s="161"/>
      <c r="Z173" s="161"/>
      <c r="AA173" s="161"/>
      <c r="AB173" s="161"/>
      <c r="AC173" s="161"/>
      <c r="AD173" s="161"/>
      <c r="AE173" s="161"/>
      <c r="AF173" s="161"/>
      <c r="AG173" s="161"/>
      <c r="AH173" s="161"/>
      <c r="AI173" s="161"/>
      <c r="AJ173" s="161"/>
      <c r="AK173" s="161"/>
      <c r="AL173" s="161"/>
      <c r="AM173" s="161"/>
      <c r="AN173" s="161"/>
      <c r="AO173" s="161"/>
      <c r="AP173" s="161"/>
      <c r="AQ173" s="161"/>
      <c r="AR173" s="161"/>
      <c r="AS173" s="161"/>
      <c r="AT173" s="161"/>
      <c r="AU173" s="161"/>
      <c r="AV173" s="161"/>
      <c r="AW173" s="161"/>
      <c r="AX173" s="161"/>
      <c r="AY173" s="161"/>
      <c r="AZ173" s="161"/>
      <c r="BA173" s="161"/>
      <c r="BB173" s="161"/>
      <c r="BC173" s="161"/>
      <c r="BD173" s="161"/>
      <c r="BE173" s="161"/>
      <c r="BF173" s="161"/>
      <c r="BG173" s="161"/>
      <c r="BH173" s="161"/>
      <c r="BI173" s="161"/>
      <c r="BJ173" s="161"/>
      <c r="BK173" s="161"/>
      <c r="BL173" s="161"/>
      <c r="BM173" s="161"/>
      <c r="BN173" s="161"/>
      <c r="BO173" s="161"/>
      <c r="BP173" s="161"/>
      <c r="BQ173" s="161"/>
      <c r="BR173" s="161"/>
      <c r="BS173" s="161"/>
      <c r="BT173" s="161"/>
      <c r="BU173" s="161"/>
      <c r="BV173" s="161"/>
      <c r="BW173" s="161"/>
    </row>
    <row r="174" spans="1:75">
      <c r="A174" s="161"/>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161"/>
      <c r="X174" s="161"/>
      <c r="Y174" s="161"/>
      <c r="Z174" s="161"/>
      <c r="AA174" s="161"/>
      <c r="AB174" s="161"/>
      <c r="AC174" s="161"/>
      <c r="AD174" s="161"/>
      <c r="AE174" s="161"/>
      <c r="AF174" s="161"/>
      <c r="AG174" s="161"/>
      <c r="AH174" s="161"/>
      <c r="AI174" s="161"/>
      <c r="AJ174" s="161"/>
      <c r="AK174" s="161"/>
      <c r="AL174" s="161"/>
      <c r="AM174" s="161"/>
      <c r="AN174" s="161"/>
      <c r="AO174" s="161"/>
      <c r="AP174" s="161"/>
      <c r="AQ174" s="161"/>
      <c r="AR174" s="161"/>
      <c r="AS174" s="161"/>
      <c r="AT174" s="161"/>
      <c r="AU174" s="161"/>
      <c r="AV174" s="161"/>
      <c r="AW174" s="161"/>
      <c r="AX174" s="161"/>
      <c r="AY174" s="161"/>
      <c r="AZ174" s="161"/>
      <c r="BA174" s="161"/>
      <c r="BB174" s="161"/>
      <c r="BC174" s="161"/>
      <c r="BD174" s="161"/>
      <c r="BE174" s="161"/>
      <c r="BF174" s="161"/>
      <c r="BG174" s="161"/>
      <c r="BH174" s="161"/>
      <c r="BI174" s="161"/>
      <c r="BJ174" s="161"/>
      <c r="BK174" s="161"/>
      <c r="BL174" s="161"/>
      <c r="BM174" s="161"/>
      <c r="BN174" s="161"/>
      <c r="BO174" s="161"/>
      <c r="BP174" s="161"/>
      <c r="BQ174" s="161"/>
      <c r="BR174" s="161"/>
      <c r="BS174" s="161"/>
      <c r="BT174" s="161"/>
      <c r="BU174" s="161"/>
      <c r="BV174" s="161"/>
      <c r="BW174" s="161"/>
    </row>
    <row r="175" spans="1:75">
      <c r="A175" s="161"/>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161"/>
      <c r="X175" s="161"/>
      <c r="Y175" s="161"/>
      <c r="Z175" s="161"/>
      <c r="AA175" s="161"/>
      <c r="AB175" s="161"/>
      <c r="AC175" s="161"/>
      <c r="AD175" s="161"/>
      <c r="AE175" s="161"/>
      <c r="AF175" s="161"/>
      <c r="AG175" s="161"/>
      <c r="AH175" s="161"/>
      <c r="AI175" s="161"/>
      <c r="AJ175" s="161"/>
      <c r="AK175" s="161"/>
      <c r="AL175" s="161"/>
      <c r="AM175" s="161"/>
      <c r="AN175" s="161"/>
      <c r="AO175" s="161"/>
      <c r="AP175" s="161"/>
      <c r="AQ175" s="161"/>
      <c r="AR175" s="161"/>
      <c r="AS175" s="161"/>
      <c r="AT175" s="161"/>
      <c r="AU175" s="161"/>
      <c r="AV175" s="161"/>
      <c r="AW175" s="161"/>
      <c r="AX175" s="161"/>
      <c r="AY175" s="161"/>
      <c r="AZ175" s="161"/>
      <c r="BA175" s="161"/>
      <c r="BB175" s="161"/>
      <c r="BC175" s="161"/>
      <c r="BD175" s="161"/>
      <c r="BE175" s="161"/>
      <c r="BF175" s="161"/>
      <c r="BG175" s="161"/>
      <c r="BH175" s="161"/>
      <c r="BI175" s="161"/>
      <c r="BJ175" s="161"/>
      <c r="BK175" s="161"/>
      <c r="BL175" s="161"/>
      <c r="BM175" s="161"/>
      <c r="BN175" s="161"/>
      <c r="BO175" s="161"/>
      <c r="BP175" s="161"/>
      <c r="BQ175" s="161"/>
      <c r="BR175" s="161"/>
      <c r="BS175" s="161"/>
      <c r="BT175" s="161"/>
      <c r="BU175" s="161"/>
      <c r="BV175" s="161"/>
      <c r="BW175" s="161"/>
    </row>
    <row r="176" spans="1:75">
      <c r="A176" s="161"/>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161"/>
      <c r="X176" s="161"/>
      <c r="Y176" s="161"/>
      <c r="Z176" s="161"/>
      <c r="AA176" s="161"/>
      <c r="AB176" s="161"/>
      <c r="AC176" s="161"/>
      <c r="AD176" s="161"/>
      <c r="AE176" s="161"/>
      <c r="AF176" s="161"/>
      <c r="AG176" s="161"/>
      <c r="AH176" s="161"/>
      <c r="AI176" s="161"/>
      <c r="AJ176" s="161"/>
      <c r="AK176" s="161"/>
      <c r="AL176" s="161"/>
      <c r="AM176" s="161"/>
      <c r="AN176" s="161"/>
      <c r="AO176" s="161"/>
      <c r="AP176" s="161"/>
      <c r="AQ176" s="161"/>
      <c r="AR176" s="161"/>
      <c r="AS176" s="161"/>
      <c r="AT176" s="161"/>
      <c r="AU176" s="161"/>
      <c r="AV176" s="161"/>
      <c r="AW176" s="161"/>
      <c r="AX176" s="161"/>
      <c r="AY176" s="161"/>
      <c r="AZ176" s="161"/>
      <c r="BA176" s="161"/>
      <c r="BB176" s="161"/>
      <c r="BC176" s="161"/>
      <c r="BD176" s="161"/>
      <c r="BE176" s="161"/>
      <c r="BF176" s="161"/>
      <c r="BG176" s="161"/>
      <c r="BH176" s="161"/>
      <c r="BI176" s="161"/>
      <c r="BJ176" s="161"/>
      <c r="BK176" s="161"/>
      <c r="BL176" s="161"/>
      <c r="BM176" s="161"/>
      <c r="BN176" s="161"/>
      <c r="BO176" s="161"/>
      <c r="BP176" s="161"/>
      <c r="BQ176" s="161"/>
      <c r="BR176" s="161"/>
      <c r="BS176" s="161"/>
      <c r="BT176" s="161"/>
      <c r="BU176" s="161"/>
      <c r="BV176" s="161"/>
      <c r="BW176" s="161"/>
    </row>
    <row r="177" spans="1:75">
      <c r="A177" s="161"/>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161"/>
      <c r="X177" s="161"/>
      <c r="Y177" s="161"/>
      <c r="Z177" s="161"/>
      <c r="AA177" s="161"/>
      <c r="AB177" s="161"/>
      <c r="AC177" s="161"/>
      <c r="AD177" s="161"/>
      <c r="AE177" s="161"/>
      <c r="AF177" s="161"/>
      <c r="AG177" s="161"/>
      <c r="AH177" s="161"/>
      <c r="AI177" s="161"/>
      <c r="AJ177" s="161"/>
      <c r="AK177" s="161"/>
      <c r="AL177" s="161"/>
      <c r="AM177" s="161"/>
      <c r="AN177" s="161"/>
      <c r="AO177" s="161"/>
      <c r="AP177" s="161"/>
      <c r="AQ177" s="161"/>
      <c r="AR177" s="161"/>
      <c r="AS177" s="161"/>
      <c r="AT177" s="161"/>
      <c r="AU177" s="161"/>
      <c r="AV177" s="161"/>
      <c r="AW177" s="161"/>
      <c r="AX177" s="161"/>
      <c r="AY177" s="161"/>
      <c r="AZ177" s="161"/>
      <c r="BA177" s="161"/>
      <c r="BB177" s="161"/>
      <c r="BC177" s="161"/>
      <c r="BD177" s="161"/>
      <c r="BE177" s="161"/>
      <c r="BF177" s="161"/>
      <c r="BG177" s="161"/>
      <c r="BH177" s="161"/>
      <c r="BI177" s="161"/>
      <c r="BJ177" s="161"/>
      <c r="BK177" s="161"/>
      <c r="BL177" s="161"/>
      <c r="BM177" s="161"/>
      <c r="BN177" s="161"/>
      <c r="BO177" s="161"/>
      <c r="BP177" s="161"/>
      <c r="BQ177" s="161"/>
      <c r="BR177" s="161"/>
      <c r="BS177" s="161"/>
      <c r="BT177" s="161"/>
      <c r="BU177" s="161"/>
      <c r="BV177" s="161"/>
      <c r="BW177" s="161"/>
    </row>
    <row r="178" spans="1:75">
      <c r="A178" s="161"/>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161"/>
      <c r="X178" s="161"/>
      <c r="Y178" s="161"/>
      <c r="Z178" s="161"/>
      <c r="AA178" s="161"/>
      <c r="AB178" s="161"/>
      <c r="AC178" s="161"/>
      <c r="AD178" s="161"/>
      <c r="AE178" s="161"/>
      <c r="AF178" s="161"/>
      <c r="AG178" s="161"/>
      <c r="AH178" s="161"/>
      <c r="AI178" s="161"/>
      <c r="AJ178" s="161"/>
      <c r="AK178" s="161"/>
      <c r="AL178" s="161"/>
      <c r="AM178" s="161"/>
      <c r="AN178" s="161"/>
      <c r="AO178" s="161"/>
      <c r="AP178" s="161"/>
      <c r="AQ178" s="161"/>
      <c r="AR178" s="161"/>
      <c r="AS178" s="161"/>
      <c r="AT178" s="161"/>
      <c r="AU178" s="161"/>
      <c r="AV178" s="161"/>
      <c r="AW178" s="161"/>
      <c r="AX178" s="161"/>
      <c r="AY178" s="161"/>
      <c r="AZ178" s="161"/>
      <c r="BA178" s="161"/>
      <c r="BB178" s="161"/>
      <c r="BC178" s="161"/>
      <c r="BD178" s="161"/>
      <c r="BE178" s="161"/>
      <c r="BF178" s="161"/>
      <c r="BG178" s="161"/>
      <c r="BH178" s="161"/>
      <c r="BI178" s="161"/>
      <c r="BJ178" s="161"/>
      <c r="BK178" s="161"/>
      <c r="BL178" s="161"/>
      <c r="BM178" s="161"/>
      <c r="BN178" s="161"/>
      <c r="BO178" s="161"/>
      <c r="BP178" s="161"/>
      <c r="BQ178" s="161"/>
      <c r="BR178" s="161"/>
      <c r="BS178" s="161"/>
      <c r="BT178" s="161"/>
      <c r="BU178" s="161"/>
      <c r="BV178" s="161"/>
      <c r="BW178" s="161"/>
    </row>
    <row r="179" spans="1:75">
      <c r="A179" s="161"/>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161"/>
      <c r="X179" s="161"/>
      <c r="Y179" s="161"/>
      <c r="Z179" s="161"/>
      <c r="AA179" s="161"/>
      <c r="AB179" s="161"/>
      <c r="AC179" s="161"/>
      <c r="AD179" s="161"/>
      <c r="AE179" s="161"/>
      <c r="AF179" s="161"/>
      <c r="AG179" s="161"/>
      <c r="AH179" s="161"/>
      <c r="AI179" s="161"/>
      <c r="AJ179" s="161"/>
      <c r="AK179" s="161"/>
      <c r="AL179" s="161"/>
      <c r="AM179" s="161"/>
      <c r="AN179" s="161"/>
      <c r="AO179" s="161"/>
      <c r="AP179" s="161"/>
      <c r="AQ179" s="161"/>
      <c r="AR179" s="161"/>
      <c r="AS179" s="161"/>
      <c r="AT179" s="161"/>
      <c r="AU179" s="161"/>
      <c r="AV179" s="161"/>
      <c r="AW179" s="161"/>
      <c r="AX179" s="161"/>
      <c r="AY179" s="161"/>
      <c r="AZ179" s="161"/>
      <c r="BA179" s="161"/>
      <c r="BB179" s="161"/>
      <c r="BC179" s="161"/>
      <c r="BD179" s="161"/>
      <c r="BE179" s="161"/>
      <c r="BF179" s="161"/>
      <c r="BG179" s="161"/>
      <c r="BH179" s="161"/>
      <c r="BI179" s="161"/>
      <c r="BJ179" s="161"/>
      <c r="BK179" s="161"/>
      <c r="BL179" s="161"/>
      <c r="BM179" s="161"/>
      <c r="BN179" s="161"/>
      <c r="BO179" s="161"/>
      <c r="BP179" s="161"/>
      <c r="BQ179" s="161"/>
      <c r="BR179" s="161"/>
      <c r="BS179" s="161"/>
      <c r="BT179" s="161"/>
      <c r="BU179" s="161"/>
      <c r="BV179" s="161"/>
      <c r="BW179" s="161"/>
    </row>
    <row r="180" spans="1:75">
      <c r="A180" s="161"/>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161"/>
      <c r="X180" s="161"/>
      <c r="Y180" s="161"/>
      <c r="Z180" s="161"/>
      <c r="AA180" s="161"/>
      <c r="AB180" s="161"/>
      <c r="AC180" s="161"/>
      <c r="AD180" s="161"/>
      <c r="AE180" s="161"/>
      <c r="AF180" s="161"/>
      <c r="AG180" s="161"/>
      <c r="AH180" s="161"/>
      <c r="AI180" s="161"/>
      <c r="AJ180" s="161"/>
      <c r="AK180" s="161"/>
      <c r="AL180" s="161"/>
      <c r="AM180" s="161"/>
      <c r="AN180" s="161"/>
      <c r="AO180" s="161"/>
      <c r="AP180" s="161"/>
      <c r="AQ180" s="161"/>
      <c r="AR180" s="161"/>
      <c r="AS180" s="161"/>
      <c r="AT180" s="161"/>
      <c r="AU180" s="161"/>
      <c r="AV180" s="161"/>
      <c r="AW180" s="161"/>
      <c r="AX180" s="161"/>
      <c r="AY180" s="161"/>
      <c r="AZ180" s="161"/>
      <c r="BA180" s="161"/>
      <c r="BB180" s="161"/>
      <c r="BC180" s="161"/>
      <c r="BD180" s="161"/>
      <c r="BE180" s="161"/>
      <c r="BF180" s="161"/>
      <c r="BG180" s="161"/>
      <c r="BH180" s="161"/>
      <c r="BI180" s="161"/>
      <c r="BJ180" s="161"/>
      <c r="BK180" s="161"/>
      <c r="BL180" s="161"/>
      <c r="BM180" s="161"/>
      <c r="BN180" s="161"/>
      <c r="BO180" s="161"/>
      <c r="BP180" s="161"/>
      <c r="BQ180" s="161"/>
      <c r="BR180" s="161"/>
      <c r="BS180" s="161"/>
      <c r="BT180" s="161"/>
      <c r="BU180" s="161"/>
      <c r="BV180" s="161"/>
      <c r="BW180" s="161"/>
    </row>
    <row r="181" spans="1:75">
      <c r="A181" s="161"/>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161"/>
      <c r="X181" s="161"/>
      <c r="Y181" s="161"/>
      <c r="Z181" s="161"/>
      <c r="AA181" s="161"/>
      <c r="AB181" s="161"/>
      <c r="AC181" s="161"/>
      <c r="AD181" s="161"/>
      <c r="AE181" s="161"/>
      <c r="AF181" s="161"/>
      <c r="AG181" s="161"/>
      <c r="AH181" s="161"/>
      <c r="AI181" s="161"/>
      <c r="AJ181" s="161"/>
      <c r="AK181" s="161"/>
      <c r="AL181" s="161"/>
      <c r="AM181" s="161"/>
      <c r="AN181" s="161"/>
      <c r="AO181" s="161"/>
      <c r="AP181" s="161"/>
      <c r="AQ181" s="161"/>
      <c r="AR181" s="161"/>
      <c r="AS181" s="161"/>
      <c r="AT181" s="161"/>
      <c r="AU181" s="161"/>
      <c r="AV181" s="161"/>
      <c r="AW181" s="161"/>
      <c r="AX181" s="161"/>
      <c r="AY181" s="161"/>
      <c r="AZ181" s="161"/>
      <c r="BA181" s="161"/>
      <c r="BB181" s="161"/>
      <c r="BC181" s="161"/>
      <c r="BD181" s="161"/>
      <c r="BE181" s="161"/>
      <c r="BF181" s="161"/>
      <c r="BG181" s="161"/>
      <c r="BH181" s="161"/>
      <c r="BI181" s="161"/>
      <c r="BJ181" s="161"/>
      <c r="BK181" s="161"/>
      <c r="BL181" s="161"/>
      <c r="BM181" s="161"/>
      <c r="BN181" s="161"/>
      <c r="BO181" s="161"/>
      <c r="BP181" s="161"/>
      <c r="BQ181" s="161"/>
      <c r="BR181" s="161"/>
      <c r="BS181" s="161"/>
      <c r="BT181" s="161"/>
      <c r="BU181" s="161"/>
      <c r="BV181" s="161"/>
      <c r="BW181" s="161"/>
    </row>
    <row r="182" spans="1:75">
      <c r="A182" s="161"/>
      <c r="B182" s="161"/>
      <c r="C182" s="161"/>
      <c r="D182" s="161"/>
      <c r="E182" s="161"/>
      <c r="F182" s="161"/>
      <c r="G182" s="161"/>
      <c r="H182" s="161"/>
      <c r="I182" s="161"/>
      <c r="J182" s="161"/>
      <c r="K182" s="161"/>
      <c r="L182" s="161"/>
      <c r="M182" s="161"/>
      <c r="N182" s="161"/>
      <c r="O182" s="161"/>
      <c r="P182" s="161"/>
      <c r="Q182" s="161"/>
      <c r="R182" s="161"/>
      <c r="S182" s="161"/>
      <c r="T182" s="161"/>
      <c r="U182" s="161"/>
      <c r="V182" s="161"/>
      <c r="W182" s="161"/>
      <c r="X182" s="161"/>
      <c r="Y182" s="161"/>
      <c r="Z182" s="161"/>
      <c r="AA182" s="161"/>
      <c r="AB182" s="161"/>
      <c r="AC182" s="161"/>
      <c r="AD182" s="161"/>
      <c r="AE182" s="161"/>
      <c r="AF182" s="161"/>
      <c r="AG182" s="161"/>
      <c r="AH182" s="161"/>
      <c r="AI182" s="161"/>
      <c r="AJ182" s="161"/>
      <c r="AK182" s="161"/>
      <c r="AL182" s="161"/>
      <c r="AM182" s="161"/>
      <c r="AN182" s="161"/>
      <c r="AO182" s="161"/>
      <c r="AP182" s="161"/>
      <c r="AQ182" s="161"/>
      <c r="AR182" s="161"/>
      <c r="AS182" s="161"/>
      <c r="AT182" s="161"/>
      <c r="AU182" s="161"/>
      <c r="AV182" s="161"/>
      <c r="AW182" s="161"/>
      <c r="AX182" s="161"/>
      <c r="AY182" s="161"/>
      <c r="AZ182" s="161"/>
      <c r="BA182" s="161"/>
      <c r="BB182" s="161"/>
      <c r="BC182" s="161"/>
      <c r="BD182" s="161"/>
      <c r="BE182" s="161"/>
      <c r="BF182" s="161"/>
      <c r="BG182" s="161"/>
      <c r="BH182" s="161"/>
      <c r="BI182" s="161"/>
      <c r="BJ182" s="161"/>
      <c r="BK182" s="161"/>
      <c r="BL182" s="161"/>
      <c r="BM182" s="161"/>
      <c r="BN182" s="161"/>
      <c r="BO182" s="161"/>
      <c r="BP182" s="161"/>
      <c r="BQ182" s="161"/>
      <c r="BR182" s="161"/>
      <c r="BS182" s="161"/>
      <c r="BT182" s="161"/>
      <c r="BU182" s="161"/>
      <c r="BV182" s="161"/>
      <c r="BW182" s="161"/>
    </row>
    <row r="183" spans="1:75">
      <c r="A183" s="161"/>
      <c r="B183" s="161"/>
      <c r="C183" s="161"/>
      <c r="D183" s="161"/>
      <c r="E183" s="161"/>
      <c r="F183" s="161"/>
      <c r="G183" s="161"/>
      <c r="H183" s="161"/>
      <c r="I183" s="161"/>
      <c r="J183" s="161"/>
      <c r="K183" s="161"/>
      <c r="L183" s="161"/>
      <c r="M183" s="161"/>
      <c r="N183" s="161"/>
      <c r="O183" s="161"/>
      <c r="P183" s="161"/>
      <c r="Q183" s="161"/>
      <c r="R183" s="161"/>
      <c r="S183" s="161"/>
      <c r="T183" s="161"/>
      <c r="U183" s="161"/>
      <c r="V183" s="161"/>
      <c r="W183" s="161"/>
      <c r="X183" s="161"/>
      <c r="Y183" s="161"/>
      <c r="Z183" s="161"/>
      <c r="AA183" s="161"/>
      <c r="AB183" s="161"/>
      <c r="AC183" s="161"/>
      <c r="AD183" s="161"/>
      <c r="AE183" s="161"/>
      <c r="AF183" s="161"/>
      <c r="AG183" s="161"/>
      <c r="AH183" s="161"/>
      <c r="AI183" s="161"/>
      <c r="AJ183" s="161"/>
      <c r="AK183" s="161"/>
      <c r="AL183" s="161"/>
      <c r="AM183" s="161"/>
      <c r="AN183" s="161"/>
      <c r="AO183" s="161"/>
      <c r="AP183" s="161"/>
      <c r="AQ183" s="161"/>
      <c r="AR183" s="161"/>
      <c r="AS183" s="161"/>
      <c r="AT183" s="161"/>
      <c r="AU183" s="161"/>
      <c r="AV183" s="161"/>
      <c r="AW183" s="161"/>
      <c r="AX183" s="161"/>
      <c r="AY183" s="161"/>
      <c r="AZ183" s="161"/>
      <c r="BA183" s="161"/>
      <c r="BB183" s="161"/>
      <c r="BC183" s="161"/>
      <c r="BD183" s="161"/>
      <c r="BE183" s="161"/>
      <c r="BF183" s="161"/>
      <c r="BG183" s="161"/>
      <c r="BH183" s="161"/>
      <c r="BI183" s="161"/>
      <c r="BJ183" s="161"/>
      <c r="BK183" s="161"/>
      <c r="BL183" s="161"/>
      <c r="BM183" s="161"/>
      <c r="BN183" s="161"/>
      <c r="BO183" s="161"/>
      <c r="BP183" s="161"/>
      <c r="BQ183" s="161"/>
      <c r="BR183" s="161"/>
      <c r="BS183" s="161"/>
      <c r="BT183" s="161"/>
      <c r="BU183" s="161"/>
      <c r="BV183" s="161"/>
      <c r="BW183" s="161"/>
    </row>
    <row r="184" spans="1:75">
      <c r="A184" s="161"/>
      <c r="B184" s="161"/>
      <c r="C184" s="161"/>
      <c r="D184" s="161"/>
      <c r="E184" s="161"/>
      <c r="F184" s="161"/>
      <c r="G184" s="161"/>
      <c r="H184" s="161"/>
      <c r="I184" s="161"/>
      <c r="J184" s="161"/>
      <c r="K184" s="161"/>
      <c r="L184" s="161"/>
      <c r="M184" s="161"/>
      <c r="N184" s="161"/>
      <c r="O184" s="161"/>
      <c r="P184" s="161"/>
      <c r="Q184" s="161"/>
      <c r="R184" s="161"/>
      <c r="S184" s="161"/>
      <c r="T184" s="161"/>
      <c r="U184" s="161"/>
      <c r="V184" s="161"/>
      <c r="W184" s="161"/>
      <c r="X184" s="161"/>
      <c r="Y184" s="161"/>
      <c r="Z184" s="161"/>
      <c r="AA184" s="161"/>
      <c r="AB184" s="161"/>
      <c r="AC184" s="161"/>
      <c r="AD184" s="161"/>
      <c r="AE184" s="161"/>
      <c r="AF184" s="161"/>
      <c r="AG184" s="161"/>
      <c r="AH184" s="161"/>
      <c r="AI184" s="161"/>
      <c r="AJ184" s="161"/>
      <c r="AK184" s="161"/>
      <c r="AL184" s="161"/>
      <c r="AM184" s="161"/>
      <c r="AN184" s="161"/>
      <c r="AO184" s="161"/>
      <c r="AP184" s="161"/>
      <c r="AQ184" s="161"/>
      <c r="AR184" s="161"/>
      <c r="AS184" s="161"/>
      <c r="AT184" s="161"/>
      <c r="AU184" s="161"/>
      <c r="AV184" s="161"/>
      <c r="AW184" s="161"/>
      <c r="AX184" s="161"/>
      <c r="AY184" s="161"/>
      <c r="AZ184" s="161"/>
      <c r="BA184" s="161"/>
      <c r="BB184" s="161"/>
      <c r="BC184" s="161"/>
      <c r="BD184" s="161"/>
      <c r="BE184" s="161"/>
      <c r="BF184" s="161"/>
      <c r="BG184" s="161"/>
      <c r="BH184" s="161"/>
      <c r="BI184" s="161"/>
      <c r="BJ184" s="161"/>
      <c r="BK184" s="161"/>
      <c r="BL184" s="161"/>
      <c r="BM184" s="161"/>
      <c r="BN184" s="161"/>
      <c r="BO184" s="161"/>
      <c r="BP184" s="161"/>
      <c r="BQ184" s="161"/>
      <c r="BR184" s="161"/>
      <c r="BS184" s="161"/>
      <c r="BT184" s="161"/>
      <c r="BU184" s="161"/>
      <c r="BV184" s="161"/>
      <c r="BW184" s="161"/>
    </row>
    <row r="185" spans="1:75">
      <c r="A185" s="161"/>
      <c r="B185" s="161"/>
      <c r="C185" s="161"/>
      <c r="D185" s="161"/>
      <c r="E185" s="161"/>
      <c r="F185" s="161"/>
      <c r="G185" s="161"/>
      <c r="H185" s="161"/>
      <c r="I185" s="161"/>
      <c r="J185" s="161"/>
      <c r="K185" s="161"/>
      <c r="L185" s="161"/>
      <c r="M185" s="161"/>
      <c r="N185" s="161"/>
      <c r="O185" s="161"/>
      <c r="P185" s="161"/>
      <c r="Q185" s="161"/>
      <c r="R185" s="161"/>
      <c r="S185" s="161"/>
      <c r="T185" s="161"/>
      <c r="U185" s="161"/>
      <c r="V185" s="161"/>
      <c r="W185" s="161"/>
      <c r="X185" s="161"/>
      <c r="Y185" s="161"/>
      <c r="Z185" s="161"/>
      <c r="AA185" s="161"/>
      <c r="AB185" s="161"/>
      <c r="AC185" s="161"/>
      <c r="AD185" s="161"/>
      <c r="AE185" s="161"/>
      <c r="AF185" s="161"/>
      <c r="AG185" s="161"/>
      <c r="AH185" s="161"/>
      <c r="AI185" s="161"/>
      <c r="AJ185" s="161"/>
      <c r="AK185" s="161"/>
      <c r="AL185" s="161"/>
      <c r="AM185" s="161"/>
      <c r="AN185" s="161"/>
      <c r="AO185" s="161"/>
      <c r="AP185" s="161"/>
      <c r="AQ185" s="161"/>
      <c r="AR185" s="161"/>
      <c r="AS185" s="161"/>
      <c r="AT185" s="161"/>
      <c r="AU185" s="161"/>
      <c r="AV185" s="161"/>
      <c r="AW185" s="161"/>
      <c r="AX185" s="161"/>
      <c r="AY185" s="161"/>
      <c r="AZ185" s="161"/>
      <c r="BA185" s="161"/>
      <c r="BB185" s="161"/>
      <c r="BC185" s="161"/>
      <c r="BD185" s="161"/>
      <c r="BE185" s="161"/>
      <c r="BF185" s="161"/>
      <c r="BG185" s="161"/>
      <c r="BH185" s="161"/>
      <c r="BI185" s="161"/>
      <c r="BJ185" s="161"/>
      <c r="BK185" s="161"/>
      <c r="BL185" s="161"/>
      <c r="BM185" s="161"/>
      <c r="BN185" s="161"/>
      <c r="BO185" s="161"/>
      <c r="BP185" s="161"/>
      <c r="BQ185" s="161"/>
      <c r="BR185" s="161"/>
      <c r="BS185" s="161"/>
      <c r="BT185" s="161"/>
      <c r="BU185" s="161"/>
      <c r="BV185" s="161"/>
      <c r="BW185" s="161"/>
    </row>
    <row r="186" spans="1:75">
      <c r="A186" s="161"/>
      <c r="B186" s="163" t="s">
        <v>320</v>
      </c>
      <c r="C186" s="310" t="str">
        <f>Quarts!AR4</f>
        <v>1Q19</v>
      </c>
      <c r="D186" s="310" t="str">
        <f>Quarts!AS4</f>
        <v>2Q19</v>
      </c>
      <c r="E186" s="310" t="str">
        <f>Quarts!AT4</f>
        <v>3Q19</v>
      </c>
      <c r="F186" s="310" t="str">
        <f>Quarts!AU4</f>
        <v>4Q19</v>
      </c>
      <c r="G186" s="310" t="str">
        <f>Quarts!AV4</f>
        <v>1Q20</v>
      </c>
      <c r="H186" s="310" t="str">
        <f>Quarts!AW4</f>
        <v>2Q20</v>
      </c>
      <c r="I186" s="310" t="str">
        <f>Quarts!AX4</f>
        <v>3Q20</v>
      </c>
      <c r="J186" s="310" t="str">
        <f>Quarts!AY4</f>
        <v>4Q20</v>
      </c>
      <c r="K186" s="310" t="str">
        <f>Quarts!AZ4</f>
        <v>1Q21</v>
      </c>
      <c r="L186" s="310" t="str">
        <f>Quarts!BA4</f>
        <v>2Q21</v>
      </c>
      <c r="M186" s="310" t="str">
        <f>Quarts!BB4</f>
        <v>3Q21</v>
      </c>
      <c r="N186" s="310" t="str">
        <f>Quarts!BC4</f>
        <v>4Q21</v>
      </c>
      <c r="O186" s="310" t="str">
        <f>Quarts!BD4</f>
        <v>1Q22</v>
      </c>
      <c r="P186" s="310" t="str">
        <f>Quarts!BE4</f>
        <v>2Q22</v>
      </c>
      <c r="Q186" s="310" t="str">
        <f>Quarts!BF4</f>
        <v>3Q22</v>
      </c>
      <c r="R186" s="310" t="str">
        <f>Quarts!BG4</f>
        <v>4Q22</v>
      </c>
      <c r="S186" s="310" t="str">
        <f>Quarts!BH4</f>
        <v>1Q23</v>
      </c>
      <c r="T186" s="310" t="str">
        <f>Quarts!BI4</f>
        <v>2Q23</v>
      </c>
      <c r="U186" s="310" t="str">
        <f>Quarts!BJ4</f>
        <v>3Q23</v>
      </c>
      <c r="V186" s="310" t="str">
        <f>Quarts!BK4</f>
        <v>4Q23</v>
      </c>
      <c r="W186" s="310"/>
      <c r="X186" s="310"/>
      <c r="Y186" s="310"/>
      <c r="Z186" s="310"/>
      <c r="AA186" s="310"/>
      <c r="AD186" s="176"/>
      <c r="AE186" s="176"/>
      <c r="AF186" s="176"/>
      <c r="AG186" s="176"/>
      <c r="AH186" s="176"/>
      <c r="AI186" s="176"/>
      <c r="AJ186" s="161"/>
      <c r="AK186" s="161"/>
      <c r="AL186" s="161"/>
      <c r="AM186" s="161"/>
      <c r="AN186" s="161"/>
      <c r="AO186" s="161"/>
      <c r="AP186" s="161"/>
      <c r="AQ186" s="161"/>
      <c r="AR186" s="161"/>
      <c r="AS186" s="161"/>
      <c r="AT186" s="161"/>
      <c r="AU186" s="161"/>
      <c r="AV186" s="161"/>
      <c r="AW186" s="161"/>
      <c r="AX186" s="161"/>
      <c r="AY186" s="161"/>
      <c r="AZ186" s="161"/>
      <c r="BA186" s="161"/>
      <c r="BB186" s="161"/>
      <c r="BC186" s="161"/>
      <c r="BD186" s="161"/>
      <c r="BE186" s="161"/>
      <c r="BF186" s="161"/>
      <c r="BG186" s="161"/>
      <c r="BH186" s="161"/>
      <c r="BI186" s="161"/>
      <c r="BJ186" s="161"/>
      <c r="BK186" s="161"/>
      <c r="BL186" s="161"/>
      <c r="BM186" s="161"/>
      <c r="BN186" s="161"/>
      <c r="BO186" s="161"/>
      <c r="BP186" s="161"/>
      <c r="BQ186" s="161"/>
      <c r="BR186" s="161"/>
      <c r="BS186" s="161"/>
      <c r="BT186" s="161"/>
      <c r="BU186" s="161"/>
      <c r="BV186" s="161"/>
      <c r="BW186" s="161"/>
    </row>
    <row r="187" spans="1:75">
      <c r="A187" s="161"/>
      <c r="B187" s="161" t="s">
        <v>719</v>
      </c>
      <c r="C187" s="309">
        <f>Quarts!AR8</f>
        <v>8057</v>
      </c>
      <c r="D187" s="309">
        <f>Quarts!AS8</f>
        <v>8702.1319999999996</v>
      </c>
      <c r="E187" s="309">
        <f>Quarts!AT8</f>
        <v>8764</v>
      </c>
      <c r="F187" s="309">
        <f>Quarts!AU8</f>
        <v>8836.6749999999993</v>
      </c>
      <c r="G187" s="309">
        <f>Quarts!AV8</f>
        <v>8853.7849999999999</v>
      </c>
      <c r="H187" s="309">
        <f>Quarts!AW8</f>
        <v>8876.2999999999993</v>
      </c>
      <c r="I187" s="309">
        <f>Quarts!AX8</f>
        <v>8901.7469999999994</v>
      </c>
      <c r="J187" s="309">
        <f>Quarts!AY8</f>
        <v>8955.4570000000003</v>
      </c>
      <c r="K187" s="309">
        <f>Quarts!AZ8</f>
        <v>9007.223</v>
      </c>
      <c r="L187" s="309">
        <f>Quarts!BA8</f>
        <v>9097</v>
      </c>
      <c r="M187" s="309">
        <f>Quarts!BB8</f>
        <v>9292.1260000000002</v>
      </c>
      <c r="N187" s="309">
        <f>Quarts!BC8</f>
        <v>9568.6</v>
      </c>
      <c r="O187" s="309">
        <f>Quarts!BD8</f>
        <v>9686.3050000000003</v>
      </c>
      <c r="P187" s="309">
        <f>Quarts!BE8</f>
        <v>10114.51</v>
      </c>
      <c r="Q187" s="309">
        <f>Quarts!BF8</f>
        <v>10566.498</v>
      </c>
      <c r="R187" s="309">
        <f>Quarts!BG8</f>
        <v>11560.218000000001</v>
      </c>
      <c r="S187" s="309">
        <f>Quarts!BH8</f>
        <v>12487.578</v>
      </c>
      <c r="T187" s="309">
        <f>Quarts!BI8</f>
        <v>13450.7</v>
      </c>
      <c r="U187" s="309">
        <f>Quarts!BJ8</f>
        <v>14552.598</v>
      </c>
      <c r="V187" s="309">
        <f>Quarts!BK8</f>
        <v>15437.906999999999</v>
      </c>
      <c r="W187" s="309"/>
      <c r="X187" s="309"/>
      <c r="Y187" s="309"/>
      <c r="Z187" s="309"/>
      <c r="AA187" s="309"/>
      <c r="AD187" s="309"/>
      <c r="AE187" s="309"/>
      <c r="AF187" s="309"/>
      <c r="AG187" s="309"/>
      <c r="AH187" s="309"/>
      <c r="AI187" s="309"/>
      <c r="AJ187" s="161"/>
      <c r="AK187" s="161"/>
      <c r="AL187" s="161"/>
      <c r="AM187" s="161"/>
      <c r="AN187" s="161"/>
      <c r="AO187" s="161"/>
      <c r="AP187" s="161"/>
      <c r="AQ187" s="161"/>
      <c r="AR187" s="161"/>
      <c r="AS187" s="161"/>
      <c r="AT187" s="161"/>
      <c r="AU187" s="161"/>
      <c r="AV187" s="161"/>
      <c r="AW187" s="161"/>
      <c r="AX187" s="161"/>
      <c r="AY187" s="161"/>
      <c r="AZ187" s="161"/>
      <c r="BA187" s="161"/>
      <c r="BB187" s="161"/>
      <c r="BC187" s="161"/>
      <c r="BD187" s="161"/>
      <c r="BE187" s="161"/>
      <c r="BF187" s="161"/>
      <c r="BG187" s="161"/>
      <c r="BH187" s="161"/>
      <c r="BI187" s="161"/>
      <c r="BJ187" s="161"/>
      <c r="BK187" s="161"/>
      <c r="BL187" s="161"/>
      <c r="BM187" s="161"/>
      <c r="BN187" s="161"/>
      <c r="BO187" s="161"/>
      <c r="BP187" s="161"/>
      <c r="BQ187" s="161"/>
      <c r="BR187" s="161"/>
      <c r="BS187" s="161"/>
      <c r="BT187" s="161"/>
      <c r="BU187" s="161"/>
      <c r="BV187" s="161"/>
      <c r="BW187" s="161"/>
    </row>
    <row r="188" spans="1:75">
      <c r="A188" s="161"/>
      <c r="B188" s="161" t="s">
        <v>720</v>
      </c>
      <c r="C188" s="161"/>
      <c r="D188" s="309">
        <f>D187-C187</f>
        <v>645.13199999999961</v>
      </c>
      <c r="E188" s="309">
        <f t="shared" ref="E188:T188" si="95">E187-D187</f>
        <v>61.868000000000393</v>
      </c>
      <c r="F188" s="309">
        <f t="shared" si="95"/>
        <v>72.674999999999272</v>
      </c>
      <c r="G188" s="309">
        <f t="shared" si="95"/>
        <v>17.110000000000582</v>
      </c>
      <c r="H188" s="309">
        <f t="shared" si="95"/>
        <v>22.514999999999418</v>
      </c>
      <c r="I188" s="309">
        <f t="shared" si="95"/>
        <v>25.447000000000116</v>
      </c>
      <c r="J188" s="309">
        <f t="shared" si="95"/>
        <v>53.710000000000946</v>
      </c>
      <c r="K188" s="309">
        <f t="shared" si="95"/>
        <v>51.765999999999622</v>
      </c>
      <c r="L188" s="309">
        <f t="shared" si="95"/>
        <v>89.777000000000044</v>
      </c>
      <c r="M188" s="309">
        <f t="shared" si="95"/>
        <v>195.1260000000002</v>
      </c>
      <c r="N188" s="309">
        <f t="shared" si="95"/>
        <v>276.47400000000016</v>
      </c>
      <c r="O188" s="309">
        <f t="shared" si="95"/>
        <v>117.70499999999993</v>
      </c>
      <c r="P188" s="309">
        <f t="shared" si="95"/>
        <v>428.20499999999993</v>
      </c>
      <c r="Q188" s="309">
        <f t="shared" si="95"/>
        <v>451.98799999999937</v>
      </c>
      <c r="R188" s="309">
        <f t="shared" si="95"/>
        <v>993.72000000000116</v>
      </c>
      <c r="S188" s="309">
        <f t="shared" si="95"/>
        <v>927.35999999999876</v>
      </c>
      <c r="T188" s="309">
        <f t="shared" si="95"/>
        <v>963.12200000000121</v>
      </c>
      <c r="U188" s="309">
        <f>U187-T187</f>
        <v>1101.8979999999992</v>
      </c>
      <c r="V188" s="309">
        <f>V187-U187</f>
        <v>885.30899999999929</v>
      </c>
      <c r="W188" s="309"/>
      <c r="X188" s="309"/>
      <c r="Y188" s="309"/>
      <c r="Z188" s="309"/>
      <c r="AA188" s="309"/>
      <c r="AD188" s="161"/>
      <c r="AE188" s="161"/>
      <c r="AF188" s="161"/>
      <c r="AG188" s="161"/>
      <c r="AH188" s="161"/>
      <c r="AI188" s="161"/>
      <c r="AJ188" s="161"/>
      <c r="AK188" s="161"/>
      <c r="AL188" s="161"/>
      <c r="AM188" s="161"/>
      <c r="AN188" s="161"/>
      <c r="AO188" s="161"/>
      <c r="AP188" s="161"/>
      <c r="AQ188" s="161"/>
      <c r="AR188" s="161"/>
      <c r="AS188" s="161"/>
      <c r="AT188" s="161"/>
      <c r="AU188" s="161"/>
      <c r="AV188" s="161"/>
      <c r="AW188" s="161"/>
      <c r="AX188" s="161"/>
      <c r="AY188" s="161"/>
      <c r="AZ188" s="161"/>
      <c r="BA188" s="161"/>
      <c r="BB188" s="161"/>
      <c r="BC188" s="161"/>
      <c r="BD188" s="161"/>
      <c r="BE188" s="161"/>
      <c r="BF188" s="161"/>
      <c r="BG188" s="161"/>
      <c r="BH188" s="161"/>
      <c r="BI188" s="161"/>
      <c r="BJ188" s="161"/>
      <c r="BK188" s="161"/>
      <c r="BL188" s="161"/>
      <c r="BM188" s="161"/>
      <c r="BN188" s="161"/>
      <c r="BO188" s="161"/>
      <c r="BP188" s="161"/>
      <c r="BQ188" s="161"/>
      <c r="BR188" s="161"/>
      <c r="BS188" s="161"/>
      <c r="BT188" s="161"/>
      <c r="BU188" s="161"/>
      <c r="BV188" s="161"/>
      <c r="BW188" s="161"/>
    </row>
    <row r="189" spans="1:75">
      <c r="A189" s="161"/>
      <c r="B189" s="161"/>
      <c r="C189" s="161"/>
      <c r="D189" s="161"/>
      <c r="E189" s="161"/>
      <c r="F189" s="161"/>
      <c r="G189" s="161"/>
      <c r="H189" s="161"/>
      <c r="I189" s="161"/>
      <c r="J189" s="307">
        <f>SUM(G188:J188)</f>
        <v>118.78200000000106</v>
      </c>
      <c r="K189" s="161"/>
      <c r="L189" s="161"/>
      <c r="M189" s="161"/>
      <c r="N189" s="307">
        <f>SUM(K188:N188)</f>
        <v>613.14300000000003</v>
      </c>
      <c r="O189" s="161"/>
      <c r="P189" s="161"/>
      <c r="Q189" s="161"/>
      <c r="R189" s="307">
        <f>SUM(O188:R188)</f>
        <v>1991.6180000000004</v>
      </c>
      <c r="S189" s="161"/>
      <c r="T189" s="161"/>
      <c r="U189" s="161"/>
      <c r="V189" s="307">
        <f>SUM(S188:AB188)</f>
        <v>3877.6889999999985</v>
      </c>
      <c r="W189" s="161"/>
      <c r="X189" s="161"/>
      <c r="Y189" s="161"/>
      <c r="Z189" s="161"/>
      <c r="AA189" s="161"/>
      <c r="AB189" s="161"/>
      <c r="AD189" s="161"/>
      <c r="AE189" s="161"/>
      <c r="AF189" s="161"/>
      <c r="AG189" s="161"/>
      <c r="AH189" s="161"/>
      <c r="AI189" s="161"/>
      <c r="AJ189" s="161"/>
      <c r="AK189" s="161"/>
      <c r="AL189" s="161"/>
      <c r="AM189" s="161"/>
      <c r="AN189" s="161"/>
      <c r="AO189" s="161"/>
      <c r="AP189" s="161"/>
      <c r="AQ189" s="161"/>
      <c r="AR189" s="161"/>
      <c r="AS189" s="161"/>
      <c r="AT189" s="161"/>
      <c r="AU189" s="161"/>
      <c r="AV189" s="161"/>
      <c r="AW189" s="161"/>
      <c r="AX189" s="161"/>
      <c r="AY189" s="161"/>
      <c r="AZ189" s="161"/>
      <c r="BA189" s="161"/>
      <c r="BB189" s="161"/>
      <c r="BC189" s="161"/>
      <c r="BD189" s="161"/>
      <c r="BE189" s="161"/>
      <c r="BF189" s="161"/>
      <c r="BG189" s="161"/>
      <c r="BH189" s="161"/>
      <c r="BI189" s="161"/>
      <c r="BJ189" s="161"/>
      <c r="BK189" s="161"/>
      <c r="BL189" s="161"/>
      <c r="BM189" s="161"/>
      <c r="BN189" s="161"/>
      <c r="BO189" s="161"/>
      <c r="BP189" s="161"/>
      <c r="BQ189" s="161"/>
      <c r="BR189" s="161"/>
      <c r="BS189" s="161"/>
      <c r="BT189" s="161"/>
      <c r="BU189" s="161"/>
      <c r="BV189" s="161"/>
      <c r="BW189" s="161"/>
    </row>
    <row r="190" spans="1:75">
      <c r="A190" s="161"/>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c r="AA190" s="161"/>
      <c r="AB190" s="161"/>
      <c r="AC190" s="161"/>
      <c r="AD190" s="161"/>
      <c r="AE190" s="161"/>
      <c r="AF190" s="161"/>
      <c r="AG190" s="161"/>
      <c r="AH190" s="161"/>
      <c r="AI190" s="161"/>
      <c r="AJ190" s="161"/>
      <c r="AK190" s="161"/>
      <c r="AL190" s="161"/>
      <c r="AM190" s="161"/>
      <c r="AN190" s="161"/>
      <c r="AO190" s="161"/>
      <c r="AP190" s="161"/>
      <c r="AQ190" s="161"/>
      <c r="AR190" s="161"/>
      <c r="AS190" s="161"/>
      <c r="AT190" s="161"/>
      <c r="AU190" s="161"/>
      <c r="AV190" s="161"/>
      <c r="AW190" s="161"/>
      <c r="AX190" s="161"/>
      <c r="AY190" s="161"/>
      <c r="AZ190" s="161"/>
      <c r="BA190" s="161"/>
      <c r="BB190" s="161"/>
      <c r="BC190" s="161"/>
      <c r="BD190" s="161"/>
      <c r="BE190" s="161"/>
      <c r="BF190" s="161"/>
      <c r="BG190" s="161"/>
      <c r="BH190" s="161"/>
      <c r="BI190" s="161"/>
      <c r="BJ190" s="161"/>
      <c r="BK190" s="161"/>
      <c r="BL190" s="161"/>
      <c r="BM190" s="161"/>
      <c r="BN190" s="161"/>
      <c r="BO190" s="161"/>
      <c r="BP190" s="161"/>
      <c r="BQ190" s="161"/>
      <c r="BR190" s="161"/>
      <c r="BS190" s="161"/>
      <c r="BT190" s="161"/>
      <c r="BU190" s="161"/>
      <c r="BV190" s="161"/>
      <c r="BW190" s="161"/>
    </row>
    <row r="191" spans="1:75">
      <c r="A191" s="161"/>
      <c r="B191" s="161"/>
      <c r="C191" s="161"/>
      <c r="D191" s="161"/>
      <c r="E191" s="161"/>
      <c r="F191" s="161"/>
      <c r="G191" s="161"/>
      <c r="H191" s="161"/>
      <c r="I191" s="161"/>
      <c r="J191" s="161"/>
      <c r="K191" s="161"/>
      <c r="L191" s="161"/>
      <c r="M191" s="161"/>
      <c r="N191" s="161"/>
      <c r="O191" s="161"/>
      <c r="P191" s="161"/>
      <c r="Q191" s="161"/>
      <c r="R191" s="161"/>
      <c r="S191" s="161"/>
      <c r="T191" s="161"/>
      <c r="U191" s="161"/>
      <c r="V191" s="161"/>
      <c r="W191" s="161"/>
      <c r="X191" s="161"/>
      <c r="Y191" s="161"/>
      <c r="Z191" s="161"/>
      <c r="AA191" s="161"/>
      <c r="AB191" s="161"/>
      <c r="AC191" s="161"/>
      <c r="AD191" s="161"/>
      <c r="AE191" s="161"/>
      <c r="AF191" s="161"/>
      <c r="AG191" s="161"/>
      <c r="AH191" s="161"/>
      <c r="AI191" s="161"/>
      <c r="AJ191" s="161"/>
      <c r="AK191" s="161"/>
      <c r="AL191" s="161"/>
      <c r="AM191" s="161"/>
      <c r="AN191" s="161"/>
      <c r="AO191" s="161"/>
      <c r="AP191" s="161"/>
      <c r="AQ191" s="161"/>
      <c r="AR191" s="161"/>
      <c r="AS191" s="161"/>
      <c r="AT191" s="161"/>
      <c r="AU191" s="161"/>
      <c r="AV191" s="161"/>
      <c r="AW191" s="161"/>
      <c r="AX191" s="161"/>
      <c r="AY191" s="161"/>
      <c r="AZ191" s="161"/>
      <c r="BA191" s="161"/>
      <c r="BB191" s="161"/>
      <c r="BC191" s="161"/>
      <c r="BD191" s="161"/>
      <c r="BE191" s="161"/>
      <c r="BF191" s="161"/>
      <c r="BG191" s="161"/>
      <c r="BH191" s="161"/>
      <c r="BI191" s="161"/>
      <c r="BJ191" s="161"/>
      <c r="BK191" s="161"/>
      <c r="BL191" s="161"/>
      <c r="BM191" s="161"/>
      <c r="BN191" s="161"/>
      <c r="BO191" s="161"/>
      <c r="BP191" s="161"/>
      <c r="BQ191" s="161"/>
      <c r="BR191" s="161"/>
      <c r="BS191" s="161"/>
      <c r="BT191" s="161"/>
      <c r="BU191" s="161"/>
      <c r="BV191" s="161"/>
      <c r="BW191" s="161"/>
    </row>
    <row r="192" spans="1:75">
      <c r="A192" s="161"/>
      <c r="B192" s="161"/>
      <c r="C192" s="161"/>
      <c r="D192" s="161"/>
      <c r="E192" s="161"/>
      <c r="F192" s="161"/>
      <c r="G192" s="161"/>
      <c r="H192" s="161"/>
      <c r="I192" s="161"/>
      <c r="J192" s="161"/>
      <c r="K192" s="161"/>
      <c r="L192" s="161"/>
      <c r="M192" s="161"/>
      <c r="N192" s="161"/>
      <c r="O192" s="161"/>
      <c r="P192" s="161"/>
      <c r="Q192" s="161"/>
      <c r="R192" s="161"/>
      <c r="S192" s="161"/>
      <c r="T192" s="161"/>
      <c r="U192" s="161"/>
      <c r="V192" s="161"/>
      <c r="W192" s="161"/>
      <c r="X192" s="161"/>
      <c r="Y192" s="161"/>
      <c r="Z192" s="161"/>
      <c r="AA192" s="161"/>
      <c r="AB192" s="161"/>
      <c r="AC192" s="161"/>
      <c r="AD192" s="161"/>
      <c r="AE192" s="161"/>
      <c r="AF192" s="161"/>
      <c r="AG192" s="161"/>
      <c r="AH192" s="161"/>
      <c r="AI192" s="161"/>
      <c r="AJ192" s="161"/>
      <c r="AK192" s="161"/>
      <c r="AL192" s="161"/>
      <c r="AM192" s="161"/>
      <c r="AN192" s="161"/>
      <c r="AO192" s="161"/>
      <c r="AP192" s="161"/>
      <c r="AQ192" s="161"/>
      <c r="AR192" s="161"/>
      <c r="AS192" s="161"/>
      <c r="AT192" s="161"/>
      <c r="AU192" s="161"/>
      <c r="AV192" s="161"/>
      <c r="AW192" s="161"/>
      <c r="AX192" s="161"/>
      <c r="AY192" s="161"/>
      <c r="AZ192" s="161"/>
      <c r="BA192" s="161"/>
      <c r="BB192" s="161"/>
      <c r="BC192" s="161"/>
      <c r="BD192" s="161"/>
      <c r="BE192" s="161"/>
      <c r="BF192" s="161"/>
      <c r="BG192" s="161"/>
      <c r="BH192" s="161"/>
      <c r="BI192" s="161"/>
      <c r="BJ192" s="161"/>
      <c r="BK192" s="161"/>
      <c r="BL192" s="161"/>
      <c r="BM192" s="161"/>
      <c r="BN192" s="161"/>
      <c r="BO192" s="161"/>
      <c r="BP192" s="161"/>
      <c r="BQ192" s="161"/>
      <c r="BR192" s="161"/>
      <c r="BS192" s="161"/>
      <c r="BT192" s="161"/>
      <c r="BU192" s="161"/>
      <c r="BV192" s="161"/>
      <c r="BW192" s="161"/>
    </row>
    <row r="193" spans="1:75">
      <c r="A193" s="161"/>
      <c r="B193" s="161"/>
      <c r="C193" s="161"/>
      <c r="D193" s="161"/>
      <c r="E193" s="161"/>
      <c r="F193" s="161"/>
      <c r="G193" s="161"/>
      <c r="H193" s="161"/>
      <c r="I193" s="161"/>
      <c r="J193" s="161"/>
      <c r="K193" s="161"/>
      <c r="L193" s="161"/>
      <c r="M193" s="161"/>
      <c r="N193" s="161"/>
      <c r="O193" s="161"/>
      <c r="P193" s="161"/>
      <c r="Q193" s="161"/>
      <c r="R193" s="161"/>
      <c r="S193" s="161"/>
      <c r="T193" s="161"/>
      <c r="U193" s="161"/>
      <c r="V193" s="161"/>
      <c r="W193" s="161"/>
      <c r="X193" s="161"/>
      <c r="Y193" s="161"/>
      <c r="Z193" s="161"/>
      <c r="AA193" s="161"/>
      <c r="AB193" s="161"/>
      <c r="AC193" s="161"/>
      <c r="AD193" s="161"/>
      <c r="AE193" s="161"/>
      <c r="AF193" s="161"/>
      <c r="AG193" s="161"/>
      <c r="AH193" s="161"/>
      <c r="AI193" s="161"/>
      <c r="AJ193" s="161"/>
      <c r="AK193" s="161"/>
      <c r="AL193" s="161"/>
      <c r="AM193" s="161"/>
      <c r="AN193" s="161"/>
      <c r="AO193" s="161"/>
      <c r="AP193" s="161"/>
      <c r="AQ193" s="161"/>
      <c r="AR193" s="161"/>
      <c r="AS193" s="161"/>
      <c r="AT193" s="161"/>
      <c r="AU193" s="161"/>
      <c r="AV193" s="161"/>
      <c r="AW193" s="161"/>
      <c r="AX193" s="161"/>
      <c r="AY193" s="161"/>
      <c r="AZ193" s="161"/>
      <c r="BA193" s="161"/>
      <c r="BB193" s="161"/>
      <c r="BC193" s="161"/>
      <c r="BD193" s="161"/>
      <c r="BE193" s="161"/>
      <c r="BF193" s="161"/>
      <c r="BG193" s="161"/>
      <c r="BH193" s="161"/>
      <c r="BI193" s="161"/>
      <c r="BJ193" s="161"/>
      <c r="BK193" s="161"/>
      <c r="BL193" s="161"/>
      <c r="BM193" s="161"/>
      <c r="BN193" s="161"/>
      <c r="BO193" s="161"/>
      <c r="BP193" s="161"/>
      <c r="BQ193" s="161"/>
      <c r="BR193" s="161"/>
      <c r="BS193" s="161"/>
      <c r="BT193" s="161"/>
      <c r="BU193" s="161"/>
      <c r="BV193" s="161"/>
      <c r="BW193" s="161"/>
    </row>
    <row r="194" spans="1:75">
      <c r="A194" s="161"/>
      <c r="B194" s="161"/>
      <c r="C194" s="161"/>
      <c r="D194" s="161"/>
      <c r="E194" s="161"/>
      <c r="F194" s="161"/>
      <c r="G194" s="161"/>
      <c r="H194" s="161"/>
      <c r="I194" s="161"/>
      <c r="J194" s="161"/>
      <c r="K194" s="161"/>
      <c r="L194" s="161"/>
      <c r="M194" s="161"/>
      <c r="N194" s="161"/>
      <c r="O194" s="161"/>
      <c r="P194" s="161"/>
      <c r="Q194" s="161"/>
      <c r="R194" s="161"/>
      <c r="S194" s="161"/>
      <c r="T194" s="161"/>
      <c r="U194" s="161"/>
      <c r="V194" s="161"/>
      <c r="W194" s="161"/>
      <c r="X194" s="161"/>
      <c r="Y194" s="161"/>
      <c r="Z194" s="161"/>
      <c r="AA194" s="161"/>
      <c r="AB194" s="161"/>
      <c r="AC194" s="161"/>
      <c r="AD194" s="161"/>
      <c r="AE194" s="161"/>
      <c r="AF194" s="161"/>
      <c r="AG194" s="161"/>
      <c r="AH194" s="161"/>
      <c r="AI194" s="161"/>
      <c r="AJ194" s="161"/>
      <c r="AK194" s="161"/>
      <c r="AL194" s="161"/>
      <c r="AM194" s="161"/>
      <c r="AN194" s="161"/>
      <c r="AO194" s="161"/>
      <c r="AP194" s="161"/>
      <c r="AQ194" s="161"/>
      <c r="AR194" s="161"/>
      <c r="AS194" s="161"/>
      <c r="AT194" s="161"/>
      <c r="AU194" s="161"/>
      <c r="AV194" s="161"/>
      <c r="AW194" s="161"/>
      <c r="AX194" s="161"/>
      <c r="AY194" s="161"/>
      <c r="AZ194" s="161"/>
      <c r="BA194" s="161"/>
      <c r="BB194" s="161"/>
      <c r="BC194" s="161"/>
      <c r="BD194" s="161"/>
      <c r="BE194" s="161"/>
      <c r="BF194" s="161"/>
      <c r="BG194" s="161"/>
      <c r="BH194" s="161"/>
      <c r="BI194" s="161"/>
      <c r="BJ194" s="161"/>
      <c r="BK194" s="161"/>
      <c r="BL194" s="161"/>
      <c r="BM194" s="161"/>
      <c r="BN194" s="161"/>
      <c r="BO194" s="161"/>
      <c r="BP194" s="161"/>
      <c r="BQ194" s="161"/>
      <c r="BR194" s="161"/>
      <c r="BS194" s="161"/>
      <c r="BT194" s="161"/>
      <c r="BU194" s="161"/>
      <c r="BV194" s="161"/>
      <c r="BW194" s="161"/>
    </row>
    <row r="195" spans="1:75">
      <c r="A195" s="161"/>
      <c r="B195" s="161"/>
      <c r="C195" s="161"/>
      <c r="D195" s="161"/>
      <c r="E195" s="161"/>
      <c r="F195" s="161"/>
      <c r="G195" s="161"/>
      <c r="H195" s="161"/>
      <c r="I195" s="161"/>
      <c r="J195" s="161"/>
      <c r="K195" s="161"/>
      <c r="L195" s="161"/>
      <c r="M195" s="161"/>
      <c r="N195" s="161"/>
      <c r="O195" s="161"/>
      <c r="P195" s="161"/>
      <c r="Q195" s="161"/>
      <c r="R195" s="161"/>
      <c r="S195" s="161"/>
      <c r="T195" s="161"/>
      <c r="U195" s="161"/>
      <c r="V195" s="161"/>
      <c r="W195" s="161"/>
      <c r="X195" s="161"/>
      <c r="Y195" s="161"/>
      <c r="Z195" s="161"/>
      <c r="AA195" s="161"/>
      <c r="AB195" s="161"/>
      <c r="AC195" s="161"/>
      <c r="AD195" s="161"/>
      <c r="AE195" s="161"/>
      <c r="AF195" s="161"/>
      <c r="AG195" s="161"/>
      <c r="AH195" s="161"/>
      <c r="AI195" s="161"/>
      <c r="AJ195" s="161"/>
      <c r="AK195" s="161"/>
      <c r="AL195" s="161"/>
      <c r="AM195" s="161"/>
      <c r="AN195" s="161"/>
      <c r="AO195" s="161"/>
      <c r="AP195" s="161"/>
      <c r="AQ195" s="161"/>
      <c r="AR195" s="161"/>
      <c r="AS195" s="161"/>
      <c r="AT195" s="161"/>
      <c r="AU195" s="161"/>
      <c r="AV195" s="161"/>
      <c r="AW195" s="161"/>
      <c r="AX195" s="161"/>
      <c r="AY195" s="161"/>
      <c r="AZ195" s="161"/>
      <c r="BA195" s="161"/>
      <c r="BB195" s="161"/>
      <c r="BC195" s="161"/>
      <c r="BD195" s="161"/>
      <c r="BE195" s="161"/>
      <c r="BF195" s="161"/>
      <c r="BG195" s="161"/>
      <c r="BH195" s="161"/>
      <c r="BI195" s="161"/>
      <c r="BJ195" s="161"/>
      <c r="BK195" s="161"/>
      <c r="BL195" s="161"/>
      <c r="BM195" s="161"/>
      <c r="BN195" s="161"/>
      <c r="BO195" s="161"/>
      <c r="BP195" s="161"/>
      <c r="BQ195" s="161"/>
      <c r="BR195" s="161"/>
      <c r="BS195" s="161"/>
      <c r="BT195" s="161"/>
      <c r="BU195" s="161"/>
      <c r="BV195" s="161"/>
      <c r="BW195" s="161"/>
    </row>
    <row r="196" spans="1:75">
      <c r="A196" s="161"/>
      <c r="B196" s="161"/>
      <c r="C196" s="161"/>
      <c r="D196" s="161"/>
      <c r="E196" s="161"/>
      <c r="F196" s="161"/>
      <c r="G196" s="161"/>
      <c r="H196" s="161"/>
      <c r="I196" s="161"/>
      <c r="J196" s="161"/>
      <c r="K196" s="161"/>
      <c r="L196" s="161"/>
      <c r="M196" s="161"/>
      <c r="N196" s="161"/>
      <c r="O196" s="161"/>
      <c r="P196" s="161"/>
      <c r="Q196" s="161"/>
      <c r="R196" s="161"/>
      <c r="S196" s="161"/>
      <c r="T196" s="161"/>
      <c r="U196" s="161"/>
      <c r="V196" s="161"/>
      <c r="W196" s="161"/>
      <c r="X196" s="161"/>
      <c r="Y196" s="161"/>
      <c r="Z196" s="161"/>
      <c r="AA196" s="161"/>
      <c r="AB196" s="161"/>
      <c r="AC196" s="161"/>
      <c r="AD196" s="161"/>
      <c r="AE196" s="161"/>
      <c r="AF196" s="161"/>
      <c r="AG196" s="161"/>
      <c r="AH196" s="161"/>
      <c r="AI196" s="161"/>
      <c r="AJ196" s="161"/>
      <c r="AK196" s="161"/>
      <c r="AL196" s="161"/>
      <c r="AM196" s="161"/>
      <c r="AN196" s="161"/>
      <c r="AO196" s="161"/>
      <c r="AP196" s="161"/>
      <c r="AQ196" s="161"/>
      <c r="AR196" s="161"/>
      <c r="AS196" s="161"/>
      <c r="AT196" s="161"/>
      <c r="AU196" s="161"/>
      <c r="AV196" s="161"/>
      <c r="AW196" s="161"/>
      <c r="AX196" s="161"/>
      <c r="AY196" s="161"/>
      <c r="AZ196" s="161"/>
      <c r="BA196" s="161"/>
      <c r="BB196" s="161"/>
      <c r="BC196" s="161"/>
      <c r="BD196" s="161"/>
      <c r="BE196" s="161"/>
      <c r="BF196" s="161"/>
      <c r="BG196" s="161"/>
      <c r="BH196" s="161"/>
      <c r="BI196" s="161"/>
      <c r="BJ196" s="161"/>
      <c r="BK196" s="161"/>
      <c r="BL196" s="161"/>
      <c r="BM196" s="161"/>
      <c r="BN196" s="161"/>
      <c r="BO196" s="161"/>
      <c r="BP196" s="161"/>
      <c r="BQ196" s="161"/>
      <c r="BR196" s="161"/>
      <c r="BS196" s="161"/>
      <c r="BT196" s="161"/>
      <c r="BU196" s="161"/>
      <c r="BV196" s="161"/>
      <c r="BW196" s="161"/>
    </row>
    <row r="197" spans="1:75">
      <c r="A197" s="161"/>
      <c r="B197" s="161"/>
      <c r="C197" s="161"/>
      <c r="D197" s="161"/>
      <c r="E197" s="161"/>
      <c r="F197" s="161"/>
      <c r="G197" s="161"/>
      <c r="H197" s="161"/>
      <c r="I197" s="161"/>
      <c r="J197" s="161"/>
      <c r="K197" s="161"/>
      <c r="L197" s="161"/>
      <c r="M197" s="161"/>
      <c r="N197" s="161"/>
      <c r="O197" s="161"/>
      <c r="P197" s="161"/>
      <c r="Q197" s="161"/>
      <c r="R197" s="161"/>
      <c r="S197" s="161"/>
      <c r="T197" s="161"/>
      <c r="U197" s="161"/>
      <c r="V197" s="161"/>
      <c r="W197" s="161"/>
      <c r="X197" s="161"/>
      <c r="Y197" s="161"/>
      <c r="Z197" s="161"/>
      <c r="AA197" s="161"/>
      <c r="AB197" s="161"/>
      <c r="AC197" s="161"/>
      <c r="AD197" s="161"/>
      <c r="AE197" s="161"/>
      <c r="AF197" s="161"/>
      <c r="AG197" s="161"/>
      <c r="AH197" s="161"/>
      <c r="AI197" s="161"/>
      <c r="AJ197" s="161"/>
      <c r="AK197" s="161"/>
      <c r="AL197" s="161"/>
      <c r="AM197" s="161"/>
      <c r="AN197" s="161"/>
      <c r="AO197" s="161"/>
      <c r="AP197" s="161"/>
      <c r="AQ197" s="161"/>
      <c r="AR197" s="161"/>
      <c r="AS197" s="161"/>
      <c r="AT197" s="161"/>
      <c r="AU197" s="161"/>
      <c r="AV197" s="161"/>
      <c r="AW197" s="161"/>
      <c r="AX197" s="161"/>
      <c r="AY197" s="161"/>
      <c r="AZ197" s="161"/>
      <c r="BA197" s="161"/>
      <c r="BB197" s="161"/>
      <c r="BC197" s="161"/>
      <c r="BD197" s="161"/>
      <c r="BE197" s="161"/>
      <c r="BF197" s="161"/>
      <c r="BG197" s="161"/>
      <c r="BH197" s="161"/>
      <c r="BI197" s="161"/>
      <c r="BJ197" s="161"/>
      <c r="BK197" s="161"/>
      <c r="BL197" s="161"/>
      <c r="BM197" s="161"/>
      <c r="BN197" s="161"/>
      <c r="BO197" s="161"/>
      <c r="BP197" s="161"/>
      <c r="BQ197" s="161"/>
      <c r="BR197" s="161"/>
      <c r="BS197" s="161"/>
      <c r="BT197" s="161"/>
      <c r="BU197" s="161"/>
      <c r="BV197" s="161"/>
      <c r="BW197" s="161"/>
    </row>
    <row r="198" spans="1:75">
      <c r="A198" s="161"/>
      <c r="B198" s="161"/>
      <c r="C198" s="161"/>
      <c r="D198" s="161"/>
      <c r="E198" s="161"/>
      <c r="F198" s="161"/>
      <c r="G198" s="161"/>
      <c r="H198" s="161"/>
      <c r="I198" s="161"/>
      <c r="J198" s="161"/>
      <c r="K198" s="161"/>
      <c r="L198" s="161"/>
      <c r="M198" s="161"/>
      <c r="N198" s="161"/>
      <c r="O198" s="161"/>
      <c r="P198" s="161"/>
      <c r="Q198" s="161"/>
      <c r="R198" s="161"/>
      <c r="S198" s="161"/>
      <c r="T198" s="161"/>
      <c r="U198" s="161"/>
      <c r="V198" s="161"/>
      <c r="W198" s="161"/>
      <c r="X198" s="161"/>
      <c r="Y198" s="161"/>
      <c r="Z198" s="161"/>
      <c r="AA198" s="161"/>
      <c r="AB198" s="161"/>
      <c r="AC198" s="161"/>
      <c r="AD198" s="161"/>
      <c r="AE198" s="161"/>
      <c r="AF198" s="161"/>
      <c r="AG198" s="161"/>
      <c r="AH198" s="161"/>
      <c r="AI198" s="161"/>
      <c r="AJ198" s="161"/>
      <c r="AK198" s="161"/>
      <c r="AL198" s="161"/>
      <c r="AM198" s="161"/>
      <c r="AN198" s="161"/>
      <c r="AO198" s="161"/>
      <c r="AP198" s="161"/>
      <c r="AQ198" s="161"/>
      <c r="AR198" s="161"/>
      <c r="AS198" s="161"/>
      <c r="AT198" s="161"/>
      <c r="AU198" s="161"/>
      <c r="AV198" s="161"/>
      <c r="AW198" s="161"/>
      <c r="AX198" s="161"/>
      <c r="AY198" s="161"/>
      <c r="AZ198" s="161"/>
      <c r="BA198" s="161"/>
      <c r="BB198" s="161"/>
      <c r="BC198" s="161"/>
      <c r="BD198" s="161"/>
      <c r="BE198" s="161"/>
      <c r="BF198" s="161"/>
      <c r="BG198" s="161"/>
      <c r="BH198" s="161"/>
      <c r="BI198" s="161"/>
      <c r="BJ198" s="161"/>
      <c r="BK198" s="161"/>
      <c r="BL198" s="161"/>
      <c r="BM198" s="161"/>
      <c r="BN198" s="161"/>
      <c r="BO198" s="161"/>
      <c r="BP198" s="161"/>
      <c r="BQ198" s="161"/>
      <c r="BR198" s="161"/>
      <c r="BS198" s="161"/>
      <c r="BT198" s="161"/>
      <c r="BU198" s="161"/>
      <c r="BV198" s="161"/>
      <c r="BW198" s="161"/>
    </row>
    <row r="199" spans="1:75">
      <c r="A199" s="161"/>
      <c r="B199" s="161"/>
      <c r="C199" s="161"/>
      <c r="D199" s="161"/>
      <c r="E199" s="161"/>
      <c r="F199" s="161"/>
      <c r="G199" s="161"/>
      <c r="H199" s="161"/>
      <c r="I199" s="161"/>
      <c r="J199" s="161"/>
      <c r="K199" s="161"/>
      <c r="L199" s="161"/>
      <c r="M199" s="161"/>
      <c r="N199" s="161"/>
      <c r="O199" s="161"/>
      <c r="P199" s="161"/>
      <c r="Q199" s="161"/>
      <c r="R199" s="161"/>
      <c r="S199" s="161"/>
      <c r="T199" s="161"/>
      <c r="U199" s="161"/>
      <c r="V199" s="161"/>
      <c r="W199" s="161"/>
      <c r="X199" s="161"/>
      <c r="Y199" s="161"/>
      <c r="Z199" s="161"/>
      <c r="AA199" s="161"/>
      <c r="AB199" s="161"/>
      <c r="AC199" s="161"/>
      <c r="AD199" s="161"/>
      <c r="AE199" s="161"/>
      <c r="AF199" s="161"/>
      <c r="AG199" s="161"/>
      <c r="AH199" s="161"/>
      <c r="AI199" s="161"/>
      <c r="AJ199" s="161"/>
      <c r="AK199" s="161"/>
      <c r="AL199" s="161"/>
      <c r="AM199" s="161"/>
      <c r="AN199" s="161"/>
      <c r="AO199" s="161"/>
      <c r="AP199" s="161"/>
      <c r="AQ199" s="161"/>
      <c r="AR199" s="161"/>
      <c r="AS199" s="161"/>
      <c r="AT199" s="161"/>
      <c r="AU199" s="161"/>
      <c r="AV199" s="161"/>
      <c r="AW199" s="161"/>
      <c r="AX199" s="161"/>
      <c r="AY199" s="161"/>
      <c r="AZ199" s="161"/>
      <c r="BA199" s="161"/>
      <c r="BB199" s="161"/>
      <c r="BC199" s="161"/>
      <c r="BD199" s="161"/>
      <c r="BE199" s="161"/>
      <c r="BF199" s="161"/>
      <c r="BG199" s="161"/>
      <c r="BH199" s="161"/>
      <c r="BI199" s="161"/>
      <c r="BJ199" s="161"/>
      <c r="BK199" s="161"/>
      <c r="BL199" s="161"/>
      <c r="BM199" s="161"/>
      <c r="BN199" s="161"/>
      <c r="BO199" s="161"/>
      <c r="BP199" s="161"/>
      <c r="BQ199" s="161"/>
      <c r="BR199" s="161"/>
      <c r="BS199" s="161"/>
      <c r="BT199" s="161"/>
      <c r="BU199" s="161"/>
      <c r="BV199" s="161"/>
      <c r="BW199" s="161"/>
    </row>
    <row r="200" spans="1:75">
      <c r="A200" s="161"/>
      <c r="B200" s="161"/>
      <c r="C200" s="161"/>
      <c r="D200" s="161"/>
      <c r="E200" s="161"/>
      <c r="F200" s="161"/>
      <c r="G200" s="161"/>
      <c r="H200" s="161"/>
      <c r="I200" s="161"/>
      <c r="J200" s="161"/>
      <c r="K200" s="161"/>
      <c r="L200" s="161"/>
      <c r="M200" s="161"/>
      <c r="N200" s="161"/>
      <c r="O200" s="161"/>
      <c r="P200" s="161"/>
      <c r="Q200" s="161"/>
      <c r="R200" s="161"/>
      <c r="S200" s="161"/>
      <c r="T200" s="161"/>
      <c r="U200" s="161"/>
      <c r="V200" s="161"/>
      <c r="W200" s="161"/>
      <c r="X200" s="161"/>
      <c r="Y200" s="161"/>
      <c r="Z200" s="161"/>
      <c r="AA200" s="161"/>
      <c r="AB200" s="161"/>
      <c r="AC200" s="161"/>
      <c r="AD200" s="161"/>
      <c r="AE200" s="161"/>
      <c r="AF200" s="161"/>
      <c r="AG200" s="161"/>
      <c r="AH200" s="161"/>
      <c r="AI200" s="161"/>
      <c r="AJ200" s="161"/>
      <c r="AK200" s="161"/>
      <c r="AL200" s="161"/>
      <c r="AM200" s="161"/>
      <c r="AN200" s="161"/>
      <c r="AO200" s="161"/>
      <c r="AP200" s="161"/>
      <c r="AQ200" s="161"/>
      <c r="AR200" s="161"/>
      <c r="AS200" s="161"/>
      <c r="AT200" s="161"/>
      <c r="AU200" s="161"/>
      <c r="AV200" s="161"/>
      <c r="AW200" s="161"/>
      <c r="AX200" s="161"/>
      <c r="AY200" s="161"/>
      <c r="AZ200" s="161"/>
      <c r="BA200" s="161"/>
      <c r="BB200" s="161"/>
      <c r="BC200" s="161"/>
      <c r="BD200" s="161"/>
      <c r="BE200" s="161"/>
      <c r="BF200" s="161"/>
      <c r="BG200" s="161"/>
      <c r="BH200" s="161"/>
      <c r="BI200" s="161"/>
      <c r="BJ200" s="161"/>
      <c r="BK200" s="161"/>
      <c r="BL200" s="161"/>
      <c r="BM200" s="161"/>
      <c r="BN200" s="161"/>
      <c r="BO200" s="161"/>
      <c r="BP200" s="161"/>
      <c r="BQ200" s="161"/>
      <c r="BR200" s="161"/>
      <c r="BS200" s="161"/>
      <c r="BT200" s="161"/>
      <c r="BU200" s="161"/>
      <c r="BV200" s="161"/>
      <c r="BW200" s="161"/>
    </row>
    <row r="201" spans="1:75">
      <c r="A201" s="161"/>
      <c r="B201" s="161"/>
      <c r="C201" s="161"/>
      <c r="D201" s="161"/>
      <c r="E201" s="161"/>
      <c r="F201" s="161"/>
      <c r="G201" s="161"/>
      <c r="H201" s="161"/>
      <c r="I201" s="161"/>
      <c r="J201" s="161"/>
      <c r="K201" s="161"/>
      <c r="L201" s="161"/>
      <c r="M201" s="161"/>
      <c r="N201" s="161"/>
      <c r="O201" s="161"/>
      <c r="P201" s="161"/>
      <c r="Q201" s="161"/>
      <c r="R201" s="161"/>
      <c r="S201" s="161"/>
      <c r="T201" s="161"/>
      <c r="U201" s="161"/>
      <c r="V201" s="161"/>
      <c r="W201" s="161"/>
      <c r="X201" s="161"/>
      <c r="Y201" s="161"/>
      <c r="Z201" s="161"/>
      <c r="AA201" s="161"/>
      <c r="AB201" s="161"/>
      <c r="AC201" s="161"/>
      <c r="AD201" s="161"/>
      <c r="AE201" s="161"/>
      <c r="AF201" s="161"/>
      <c r="AG201" s="161"/>
      <c r="AH201" s="161"/>
      <c r="AI201" s="161"/>
      <c r="AJ201" s="161"/>
      <c r="AK201" s="161"/>
      <c r="AL201" s="161"/>
      <c r="AM201" s="161"/>
      <c r="AN201" s="161"/>
      <c r="AO201" s="161"/>
      <c r="AP201" s="161"/>
      <c r="AQ201" s="161"/>
      <c r="AR201" s="161"/>
      <c r="AS201" s="161"/>
      <c r="AT201" s="161"/>
      <c r="AU201" s="161"/>
      <c r="AV201" s="161"/>
      <c r="AW201" s="161"/>
      <c r="AX201" s="161"/>
      <c r="AY201" s="161"/>
      <c r="AZ201" s="161"/>
      <c r="BA201" s="161"/>
      <c r="BB201" s="161"/>
      <c r="BC201" s="161"/>
      <c r="BD201" s="161"/>
      <c r="BE201" s="161"/>
      <c r="BF201" s="161"/>
      <c r="BG201" s="161"/>
      <c r="BH201" s="161"/>
      <c r="BI201" s="161"/>
      <c r="BJ201" s="161"/>
      <c r="BK201" s="161"/>
      <c r="BL201" s="161"/>
      <c r="BM201" s="161"/>
      <c r="BN201" s="161"/>
      <c r="BO201" s="161"/>
      <c r="BP201" s="161"/>
      <c r="BQ201" s="161"/>
      <c r="BR201" s="161"/>
      <c r="BS201" s="161"/>
      <c r="BT201" s="161"/>
      <c r="BU201" s="161"/>
      <c r="BV201" s="161"/>
      <c r="BW201" s="161"/>
    </row>
    <row r="202" spans="1:75">
      <c r="A202" s="161"/>
      <c r="B202" s="161"/>
      <c r="C202" s="161"/>
      <c r="D202" s="161"/>
      <c r="E202" s="161"/>
      <c r="F202" s="161"/>
      <c r="G202" s="161"/>
      <c r="H202" s="161"/>
      <c r="I202" s="161"/>
      <c r="J202" s="161"/>
      <c r="K202" s="161"/>
      <c r="L202" s="161"/>
      <c r="M202" s="161"/>
      <c r="N202" s="161"/>
      <c r="O202" s="161"/>
      <c r="P202" s="161"/>
      <c r="Q202" s="161"/>
      <c r="R202" s="161"/>
      <c r="S202" s="161"/>
      <c r="T202" s="161"/>
      <c r="U202" s="161"/>
      <c r="V202" s="161"/>
      <c r="W202" s="161"/>
      <c r="X202" s="161"/>
      <c r="Y202" s="161"/>
      <c r="Z202" s="161"/>
      <c r="AA202" s="161"/>
      <c r="AB202" s="161"/>
      <c r="AC202" s="161"/>
      <c r="AD202" s="161"/>
      <c r="AE202" s="161"/>
      <c r="AF202" s="161"/>
      <c r="AG202" s="161"/>
      <c r="AH202" s="161"/>
      <c r="AI202" s="161"/>
      <c r="AJ202" s="161"/>
      <c r="AK202" s="161"/>
      <c r="AL202" s="161"/>
      <c r="AM202" s="161"/>
      <c r="AN202" s="161"/>
      <c r="AO202" s="161"/>
      <c r="AP202" s="161"/>
      <c r="AQ202" s="161"/>
      <c r="AR202" s="161"/>
      <c r="AS202" s="161"/>
      <c r="AT202" s="161"/>
      <c r="AU202" s="161"/>
      <c r="AV202" s="161"/>
      <c r="AW202" s="161"/>
      <c r="AX202" s="161"/>
      <c r="AY202" s="161"/>
      <c r="AZ202" s="161"/>
      <c r="BA202" s="161"/>
      <c r="BB202" s="161"/>
      <c r="BC202" s="161"/>
      <c r="BD202" s="161"/>
      <c r="BE202" s="161"/>
      <c r="BF202" s="161"/>
      <c r="BG202" s="161"/>
      <c r="BH202" s="161"/>
      <c r="BI202" s="161"/>
      <c r="BJ202" s="161"/>
      <c r="BK202" s="161"/>
      <c r="BL202" s="161"/>
      <c r="BM202" s="161"/>
      <c r="BN202" s="161"/>
      <c r="BO202" s="161"/>
      <c r="BP202" s="161"/>
      <c r="BQ202" s="161"/>
      <c r="BR202" s="161"/>
      <c r="BS202" s="161"/>
      <c r="BT202" s="161"/>
      <c r="BU202" s="161"/>
      <c r="BV202" s="161"/>
      <c r="BW202" s="161"/>
    </row>
    <row r="203" spans="1:75">
      <c r="A203" s="161"/>
      <c r="B203" s="161"/>
      <c r="C203" s="161"/>
      <c r="D203" s="161"/>
      <c r="E203" s="161"/>
      <c r="F203" s="161"/>
      <c r="G203" s="161"/>
      <c r="H203" s="161"/>
      <c r="I203" s="161"/>
      <c r="J203" s="161"/>
      <c r="K203" s="161"/>
      <c r="L203" s="161"/>
      <c r="M203" s="161"/>
      <c r="N203" s="161"/>
      <c r="O203" s="161"/>
      <c r="P203" s="161"/>
      <c r="Q203" s="161"/>
      <c r="R203" s="161"/>
      <c r="S203" s="161"/>
      <c r="T203" s="161"/>
      <c r="U203" s="161"/>
      <c r="V203" s="161"/>
      <c r="W203" s="161"/>
      <c r="X203" s="161"/>
      <c r="Y203" s="161"/>
      <c r="Z203" s="161"/>
      <c r="AA203" s="161"/>
      <c r="AB203" s="161"/>
      <c r="AC203" s="161"/>
      <c r="AD203" s="161"/>
      <c r="AE203" s="161"/>
      <c r="AF203" s="161"/>
      <c r="AG203" s="161"/>
      <c r="AH203" s="161"/>
      <c r="AI203" s="161"/>
      <c r="AJ203" s="161"/>
      <c r="AK203" s="161"/>
      <c r="AL203" s="161"/>
      <c r="AM203" s="161"/>
      <c r="AN203" s="161"/>
      <c r="AO203" s="161"/>
      <c r="AP203" s="161"/>
      <c r="AQ203" s="161"/>
      <c r="AR203" s="161"/>
      <c r="AS203" s="161"/>
      <c r="AT203" s="161"/>
      <c r="AU203" s="161"/>
      <c r="AV203" s="161"/>
      <c r="AW203" s="161"/>
      <c r="AX203" s="161"/>
      <c r="AY203" s="161"/>
      <c r="AZ203" s="161"/>
      <c r="BA203" s="161"/>
      <c r="BB203" s="161"/>
      <c r="BC203" s="161"/>
      <c r="BD203" s="161"/>
      <c r="BE203" s="161"/>
      <c r="BF203" s="161"/>
      <c r="BG203" s="161"/>
      <c r="BH203" s="161"/>
      <c r="BI203" s="161"/>
      <c r="BJ203" s="161"/>
      <c r="BK203" s="161"/>
      <c r="BL203" s="161"/>
      <c r="BM203" s="161"/>
      <c r="BN203" s="161"/>
      <c r="BO203" s="161"/>
      <c r="BP203" s="161"/>
      <c r="BQ203" s="161"/>
      <c r="BR203" s="161"/>
      <c r="BS203" s="161"/>
      <c r="BT203" s="161"/>
      <c r="BU203" s="161"/>
      <c r="BV203" s="161"/>
      <c r="BW203" s="161"/>
    </row>
    <row r="204" spans="1:75">
      <c r="A204" s="161"/>
      <c r="B204" s="161"/>
      <c r="C204" s="161"/>
      <c r="D204" s="161"/>
      <c r="E204" s="161"/>
      <c r="F204" s="161"/>
      <c r="G204" s="161"/>
      <c r="H204" s="161"/>
      <c r="I204" s="161"/>
      <c r="J204" s="161"/>
      <c r="K204" s="161"/>
      <c r="L204" s="161"/>
      <c r="M204" s="161"/>
      <c r="N204" s="161"/>
      <c r="O204" s="161"/>
      <c r="P204" s="161"/>
      <c r="Q204" s="161"/>
      <c r="R204" s="161"/>
      <c r="S204" s="161"/>
      <c r="T204" s="161"/>
      <c r="U204" s="161"/>
      <c r="V204" s="161"/>
      <c r="W204" s="161"/>
      <c r="X204" s="161"/>
      <c r="Y204" s="161"/>
      <c r="Z204" s="161"/>
      <c r="AA204" s="161"/>
      <c r="AB204" s="161"/>
      <c r="AC204" s="161"/>
      <c r="AD204" s="161"/>
      <c r="AE204" s="161"/>
      <c r="AF204" s="161"/>
      <c r="AG204" s="161"/>
      <c r="AH204" s="161"/>
      <c r="AI204" s="161"/>
      <c r="AJ204" s="161"/>
      <c r="AK204" s="161"/>
      <c r="AL204" s="161"/>
      <c r="AM204" s="161"/>
      <c r="AN204" s="161"/>
      <c r="AO204" s="161"/>
      <c r="AP204" s="161"/>
      <c r="AQ204" s="161"/>
      <c r="AR204" s="161"/>
      <c r="AS204" s="161"/>
      <c r="AT204" s="161"/>
      <c r="AU204" s="161"/>
      <c r="AV204" s="161"/>
      <c r="AW204" s="161"/>
      <c r="AX204" s="161"/>
      <c r="AY204" s="161"/>
      <c r="AZ204" s="161"/>
      <c r="BA204" s="161"/>
      <c r="BB204" s="161"/>
      <c r="BC204" s="161"/>
      <c r="BD204" s="161"/>
      <c r="BE204" s="161"/>
      <c r="BF204" s="161"/>
      <c r="BG204" s="161"/>
      <c r="BH204" s="161"/>
      <c r="BI204" s="161"/>
      <c r="BJ204" s="161"/>
      <c r="BK204" s="161"/>
      <c r="BL204" s="161"/>
      <c r="BM204" s="161"/>
      <c r="BN204" s="161"/>
      <c r="BO204" s="161"/>
      <c r="BP204" s="161"/>
      <c r="BQ204" s="161"/>
      <c r="BR204" s="161"/>
      <c r="BS204" s="161"/>
      <c r="BT204" s="161"/>
      <c r="BU204" s="161"/>
      <c r="BV204" s="161"/>
      <c r="BW204" s="161"/>
    </row>
    <row r="205" spans="1:75">
      <c r="A205" s="161"/>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161"/>
      <c r="X205" s="161"/>
      <c r="Y205" s="161"/>
      <c r="Z205" s="161"/>
      <c r="AA205" s="161"/>
      <c r="AB205" s="161"/>
      <c r="AC205" s="161"/>
      <c r="AD205" s="161"/>
      <c r="AE205" s="161"/>
      <c r="AF205" s="161"/>
      <c r="AG205" s="161"/>
      <c r="AH205" s="161"/>
      <c r="AI205" s="161"/>
      <c r="AJ205" s="161"/>
      <c r="AK205" s="161"/>
      <c r="AL205" s="161"/>
      <c r="AM205" s="161"/>
      <c r="AN205" s="161"/>
      <c r="AO205" s="161"/>
      <c r="AP205" s="161"/>
      <c r="AQ205" s="161"/>
      <c r="AR205" s="161"/>
      <c r="AS205" s="161"/>
      <c r="AT205" s="161"/>
      <c r="AU205" s="161"/>
      <c r="AV205" s="161"/>
      <c r="AW205" s="161"/>
      <c r="AX205" s="161"/>
      <c r="AY205" s="161"/>
      <c r="AZ205" s="161"/>
      <c r="BA205" s="161"/>
      <c r="BB205" s="161"/>
      <c r="BC205" s="161"/>
      <c r="BD205" s="161"/>
      <c r="BE205" s="161"/>
      <c r="BF205" s="161"/>
      <c r="BG205" s="161"/>
      <c r="BH205" s="161"/>
      <c r="BI205" s="161"/>
      <c r="BJ205" s="161"/>
      <c r="BK205" s="161"/>
      <c r="BL205" s="161"/>
      <c r="BM205" s="161"/>
      <c r="BN205" s="161"/>
      <c r="BO205" s="161"/>
      <c r="BP205" s="161"/>
      <c r="BQ205" s="161"/>
      <c r="BR205" s="161"/>
      <c r="BS205" s="161"/>
      <c r="BT205" s="161"/>
      <c r="BU205" s="161"/>
      <c r="BV205" s="161"/>
      <c r="BW205" s="161"/>
    </row>
    <row r="206" spans="1:75">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161"/>
      <c r="X206" s="161"/>
      <c r="Y206" s="161"/>
      <c r="Z206" s="161"/>
      <c r="AA206" s="161"/>
      <c r="AB206" s="161"/>
      <c r="AC206" s="161"/>
      <c r="AD206" s="161"/>
      <c r="AE206" s="161"/>
      <c r="AF206" s="161"/>
      <c r="AG206" s="161"/>
      <c r="AH206" s="161"/>
      <c r="AI206" s="161"/>
      <c r="AJ206" s="161"/>
      <c r="AK206" s="161"/>
      <c r="AL206" s="161"/>
      <c r="AM206" s="161"/>
      <c r="AN206" s="161"/>
      <c r="AO206" s="161"/>
      <c r="AP206" s="161"/>
      <c r="AQ206" s="161"/>
      <c r="AR206" s="161"/>
      <c r="AS206" s="161"/>
      <c r="AT206" s="161"/>
      <c r="AU206" s="161"/>
      <c r="AV206" s="161"/>
      <c r="AW206" s="161"/>
      <c r="AX206" s="161"/>
      <c r="AY206" s="161"/>
      <c r="AZ206" s="161"/>
      <c r="BA206" s="161"/>
      <c r="BB206" s="161"/>
      <c r="BC206" s="161"/>
      <c r="BD206" s="161"/>
      <c r="BE206" s="161"/>
      <c r="BF206" s="161"/>
      <c r="BG206" s="161"/>
      <c r="BH206" s="161"/>
      <c r="BI206" s="161"/>
      <c r="BJ206" s="161"/>
      <c r="BK206" s="161"/>
      <c r="BL206" s="161"/>
      <c r="BM206" s="161"/>
      <c r="BN206" s="161"/>
      <c r="BO206" s="161"/>
      <c r="BP206" s="161"/>
      <c r="BQ206" s="161"/>
      <c r="BR206" s="161"/>
      <c r="BS206" s="161"/>
      <c r="BT206" s="161"/>
      <c r="BU206" s="161"/>
      <c r="BV206" s="161"/>
      <c r="BW206" s="161"/>
    </row>
    <row r="207" spans="1:75">
      <c r="A207" s="161"/>
      <c r="B207" s="161"/>
      <c r="C207" s="161"/>
      <c r="D207" s="161"/>
      <c r="E207" s="161"/>
      <c r="F207" s="161"/>
      <c r="G207" s="161"/>
      <c r="H207" s="161"/>
      <c r="I207" s="161"/>
      <c r="J207" s="161"/>
      <c r="K207" s="161"/>
      <c r="L207" s="161"/>
      <c r="M207" s="161"/>
      <c r="N207" s="161"/>
      <c r="O207" s="161"/>
      <c r="P207" s="161"/>
      <c r="Q207" s="161"/>
      <c r="R207" s="161"/>
      <c r="S207" s="161"/>
      <c r="T207" s="161"/>
      <c r="U207" s="161"/>
      <c r="V207" s="161"/>
      <c r="W207" s="161"/>
      <c r="X207" s="161"/>
      <c r="Y207" s="161"/>
      <c r="Z207" s="161"/>
      <c r="AA207" s="161"/>
      <c r="AB207" s="161"/>
      <c r="AC207" s="161"/>
      <c r="AD207" s="161"/>
      <c r="AE207" s="161"/>
      <c r="AF207" s="161"/>
      <c r="AG207" s="161"/>
      <c r="AH207" s="161"/>
      <c r="AI207" s="161"/>
      <c r="AJ207" s="161"/>
      <c r="AK207" s="161"/>
      <c r="AL207" s="161"/>
      <c r="AM207" s="161"/>
      <c r="AN207" s="161"/>
      <c r="AO207" s="161"/>
      <c r="AP207" s="161"/>
      <c r="AQ207" s="161"/>
      <c r="AR207" s="161"/>
      <c r="AS207" s="161"/>
      <c r="AT207" s="161"/>
      <c r="AU207" s="161"/>
      <c r="AV207" s="161"/>
      <c r="AW207" s="161"/>
      <c r="AX207" s="161"/>
      <c r="AY207" s="161"/>
      <c r="AZ207" s="161"/>
      <c r="BA207" s="161"/>
      <c r="BB207" s="161"/>
      <c r="BC207" s="161"/>
      <c r="BD207" s="161"/>
      <c r="BE207" s="161"/>
      <c r="BF207" s="161"/>
      <c r="BG207" s="161"/>
      <c r="BH207" s="161"/>
      <c r="BI207" s="161"/>
      <c r="BJ207" s="161"/>
      <c r="BK207" s="161"/>
      <c r="BL207" s="161"/>
      <c r="BM207" s="161"/>
      <c r="BN207" s="161"/>
      <c r="BO207" s="161"/>
      <c r="BP207" s="161"/>
      <c r="BQ207" s="161"/>
      <c r="BR207" s="161"/>
      <c r="BS207" s="161"/>
      <c r="BT207" s="161"/>
      <c r="BU207" s="161"/>
      <c r="BV207" s="161"/>
      <c r="BW207" s="161"/>
    </row>
    <row r="208" spans="1:75">
      <c r="A208" s="161"/>
      <c r="B208" s="161"/>
      <c r="C208" s="161"/>
      <c r="D208" s="161"/>
      <c r="E208" s="161"/>
      <c r="F208" s="161"/>
      <c r="G208" s="161"/>
      <c r="H208" s="161"/>
      <c r="I208" s="161"/>
      <c r="J208" s="161"/>
      <c r="K208" s="161"/>
      <c r="L208" s="161"/>
      <c r="M208" s="161"/>
      <c r="N208" s="161"/>
      <c r="O208" s="161"/>
      <c r="P208" s="161"/>
      <c r="Q208" s="161"/>
      <c r="R208" s="161"/>
      <c r="S208" s="161"/>
      <c r="T208" s="161"/>
      <c r="U208" s="161"/>
      <c r="V208" s="161"/>
      <c r="W208" s="161"/>
      <c r="X208" s="161"/>
      <c r="Y208" s="161"/>
      <c r="Z208" s="161"/>
      <c r="AA208" s="161"/>
      <c r="AB208" s="161"/>
      <c r="AC208" s="161"/>
      <c r="AD208" s="161"/>
      <c r="AE208" s="161"/>
      <c r="AF208" s="161"/>
      <c r="AG208" s="161"/>
      <c r="AH208" s="161"/>
      <c r="AI208" s="161"/>
      <c r="AJ208" s="161"/>
      <c r="AK208" s="161"/>
      <c r="AL208" s="161"/>
      <c r="AM208" s="161"/>
      <c r="AN208" s="161"/>
      <c r="AO208" s="161"/>
      <c r="AP208" s="161"/>
      <c r="AQ208" s="161"/>
      <c r="AR208" s="161"/>
      <c r="AS208" s="161"/>
      <c r="AT208" s="161"/>
      <c r="AU208" s="161"/>
      <c r="AV208" s="161"/>
      <c r="AW208" s="161"/>
      <c r="AX208" s="161"/>
      <c r="AY208" s="161"/>
      <c r="AZ208" s="161"/>
      <c r="BA208" s="161"/>
      <c r="BB208" s="161"/>
      <c r="BC208" s="161"/>
      <c r="BD208" s="161"/>
      <c r="BE208" s="161"/>
      <c r="BF208" s="161"/>
      <c r="BG208" s="161"/>
      <c r="BH208" s="161"/>
      <c r="BI208" s="161"/>
      <c r="BJ208" s="161"/>
      <c r="BK208" s="161"/>
      <c r="BL208" s="161"/>
      <c r="BM208" s="161"/>
      <c r="BN208" s="161"/>
      <c r="BO208" s="161"/>
      <c r="BP208" s="161"/>
      <c r="BQ208" s="161"/>
      <c r="BR208" s="161"/>
      <c r="BS208" s="161"/>
      <c r="BT208" s="161"/>
      <c r="BU208" s="161"/>
      <c r="BV208" s="161"/>
      <c r="BW208" s="161"/>
    </row>
    <row r="209" spans="1:75">
      <c r="A209" s="161"/>
      <c r="B209" s="161"/>
      <c r="C209" s="161"/>
      <c r="D209" s="161"/>
      <c r="E209" s="161"/>
      <c r="F209" s="161"/>
      <c r="G209" s="161"/>
      <c r="H209" s="161"/>
      <c r="I209" s="161"/>
      <c r="J209" s="161"/>
      <c r="K209" s="161"/>
      <c r="L209" s="161"/>
      <c r="M209" s="161"/>
      <c r="N209" s="161"/>
      <c r="O209" s="161"/>
      <c r="P209" s="161"/>
      <c r="Q209" s="161"/>
      <c r="R209" s="161"/>
      <c r="S209" s="161"/>
      <c r="T209" s="161"/>
      <c r="U209" s="161"/>
      <c r="V209" s="161"/>
      <c r="W209" s="161"/>
      <c r="X209" s="161"/>
      <c r="Y209" s="161"/>
      <c r="Z209" s="161"/>
      <c r="AA209" s="161"/>
      <c r="AB209" s="161"/>
      <c r="AC209" s="161"/>
      <c r="AD209" s="161"/>
      <c r="AE209" s="161"/>
      <c r="AF209" s="161"/>
      <c r="AG209" s="161"/>
      <c r="AH209" s="161"/>
      <c r="AI209" s="161"/>
      <c r="AJ209" s="161"/>
      <c r="AK209" s="161"/>
      <c r="AL209" s="161"/>
      <c r="AM209" s="161"/>
      <c r="AN209" s="161"/>
      <c r="AO209" s="161"/>
      <c r="AP209" s="161"/>
      <c r="AQ209" s="161"/>
      <c r="AR209" s="161"/>
      <c r="AS209" s="161"/>
      <c r="AT209" s="161"/>
      <c r="AU209" s="161"/>
      <c r="AV209" s="161"/>
      <c r="AW209" s="161"/>
      <c r="AX209" s="161"/>
      <c r="AY209" s="161"/>
      <c r="AZ209" s="161"/>
      <c r="BA209" s="161"/>
      <c r="BB209" s="161"/>
      <c r="BC209" s="161"/>
      <c r="BD209" s="161"/>
      <c r="BE209" s="161"/>
      <c r="BF209" s="161"/>
      <c r="BG209" s="161"/>
      <c r="BH209" s="161"/>
      <c r="BI209" s="161"/>
      <c r="BJ209" s="161"/>
      <c r="BK209" s="161"/>
      <c r="BL209" s="161"/>
      <c r="BM209" s="161"/>
      <c r="BN209" s="161"/>
      <c r="BO209" s="161"/>
      <c r="BP209" s="161"/>
      <c r="BQ209" s="161"/>
      <c r="BR209" s="161"/>
      <c r="BS209" s="161"/>
      <c r="BT209" s="161"/>
      <c r="BU209" s="161"/>
      <c r="BV209" s="161"/>
      <c r="BW209" s="161"/>
    </row>
    <row r="210" spans="1:75">
      <c r="A210" s="161"/>
      <c r="B210" s="161"/>
      <c r="C210" s="161"/>
      <c r="D210" s="161"/>
      <c r="E210" s="161"/>
      <c r="F210" s="161"/>
      <c r="G210" s="161"/>
      <c r="H210" s="161"/>
      <c r="I210" s="161"/>
      <c r="J210" s="161"/>
      <c r="K210" s="161"/>
      <c r="L210" s="161"/>
      <c r="M210" s="161"/>
      <c r="N210" s="161"/>
      <c r="O210" s="161"/>
      <c r="P210" s="161"/>
      <c r="Q210" s="161"/>
      <c r="R210" s="161"/>
      <c r="S210" s="161"/>
      <c r="T210" s="161"/>
      <c r="U210" s="161"/>
      <c r="V210" s="161"/>
      <c r="W210" s="161"/>
      <c r="X210" s="161"/>
      <c r="Y210" s="161"/>
      <c r="Z210" s="161"/>
      <c r="AA210" s="161"/>
      <c r="AB210" s="161"/>
      <c r="AC210" s="161"/>
      <c r="AD210" s="161"/>
      <c r="AE210" s="161"/>
      <c r="AF210" s="161"/>
      <c r="AG210" s="161"/>
      <c r="AH210" s="161"/>
      <c r="AI210" s="161"/>
      <c r="AJ210" s="161"/>
      <c r="AK210" s="161"/>
      <c r="AL210" s="161"/>
      <c r="AM210" s="161"/>
      <c r="AN210" s="161"/>
      <c r="AO210" s="161"/>
      <c r="AP210" s="161"/>
      <c r="AQ210" s="161"/>
      <c r="AR210" s="161"/>
      <c r="AS210" s="161"/>
      <c r="AT210" s="161"/>
      <c r="AU210" s="161"/>
      <c r="AV210" s="161"/>
      <c r="AW210" s="161"/>
      <c r="AX210" s="161"/>
      <c r="AY210" s="161"/>
      <c r="AZ210" s="161"/>
      <c r="BA210" s="161"/>
      <c r="BB210" s="161"/>
      <c r="BC210" s="161"/>
      <c r="BD210" s="161"/>
      <c r="BE210" s="161"/>
      <c r="BF210" s="161"/>
      <c r="BG210" s="161"/>
      <c r="BH210" s="161"/>
      <c r="BI210" s="161"/>
      <c r="BJ210" s="161"/>
      <c r="BK210" s="161"/>
      <c r="BL210" s="161"/>
      <c r="BM210" s="161"/>
      <c r="BN210" s="161"/>
      <c r="BO210" s="161"/>
      <c r="BP210" s="161"/>
      <c r="BQ210" s="161"/>
      <c r="BR210" s="161"/>
      <c r="BS210" s="161"/>
      <c r="BT210" s="161"/>
      <c r="BU210" s="161"/>
      <c r="BV210" s="161"/>
      <c r="BW210" s="161"/>
    </row>
    <row r="211" spans="1:75">
      <c r="A211" s="161"/>
      <c r="B211" s="163" t="s">
        <v>320</v>
      </c>
      <c r="C211" s="310">
        <v>2022</v>
      </c>
      <c r="D211" s="310" t="s">
        <v>721</v>
      </c>
      <c r="E211" s="310" t="s">
        <v>722</v>
      </c>
      <c r="F211" s="310" t="s">
        <v>723</v>
      </c>
      <c r="G211" s="161"/>
      <c r="H211" s="161"/>
      <c r="I211" s="161"/>
      <c r="J211" s="161"/>
      <c r="K211" s="161"/>
      <c r="L211" s="161"/>
      <c r="M211" s="161"/>
      <c r="N211" s="161"/>
      <c r="O211" s="161"/>
      <c r="P211" s="161"/>
      <c r="Q211" s="161"/>
      <c r="R211" s="161"/>
      <c r="S211" s="161"/>
      <c r="T211" s="161"/>
      <c r="U211" s="161"/>
      <c r="V211" s="161"/>
      <c r="W211" s="161"/>
      <c r="X211" s="161"/>
      <c r="Y211" s="161"/>
      <c r="Z211" s="161"/>
      <c r="AA211" s="161"/>
      <c r="AB211" s="161"/>
      <c r="AC211" s="161"/>
      <c r="AD211" s="161"/>
      <c r="AE211" s="161"/>
      <c r="AF211" s="161"/>
      <c r="AG211" s="161"/>
      <c r="AH211" s="161"/>
      <c r="AI211" s="161"/>
      <c r="AJ211" s="161"/>
      <c r="AK211" s="161"/>
      <c r="AL211" s="161"/>
      <c r="AM211" s="161"/>
      <c r="AN211" s="161"/>
      <c r="AO211" s="161"/>
      <c r="AP211" s="161"/>
      <c r="AQ211" s="161"/>
      <c r="AR211" s="161"/>
      <c r="AS211" s="161"/>
      <c r="AT211" s="161"/>
      <c r="AU211" s="161"/>
      <c r="AV211" s="161"/>
      <c r="AW211" s="161"/>
      <c r="AX211" s="161"/>
      <c r="AY211" s="161"/>
      <c r="AZ211" s="161"/>
      <c r="BA211" s="161"/>
      <c r="BB211" s="161"/>
      <c r="BC211" s="161"/>
      <c r="BD211" s="161"/>
      <c r="BE211" s="161"/>
      <c r="BF211" s="161"/>
      <c r="BG211" s="161"/>
      <c r="BH211" s="161"/>
      <c r="BI211" s="161"/>
      <c r="BJ211" s="161"/>
      <c r="BK211" s="161"/>
      <c r="BL211" s="161"/>
      <c r="BM211" s="161"/>
      <c r="BN211" s="161"/>
      <c r="BO211" s="161"/>
      <c r="BP211" s="161"/>
      <c r="BQ211" s="161"/>
      <c r="BR211" s="161"/>
      <c r="BS211" s="161"/>
      <c r="BT211" s="161"/>
      <c r="BU211" s="161"/>
      <c r="BV211" s="161"/>
      <c r="BW211" s="161"/>
    </row>
    <row r="212" spans="1:75">
      <c r="A212" s="161"/>
      <c r="B212" s="161" t="s">
        <v>36</v>
      </c>
      <c r="C212" s="309">
        <v>18600</v>
      </c>
      <c r="D212" s="309">
        <v>19100</v>
      </c>
      <c r="E212" s="309">
        <v>19600</v>
      </c>
      <c r="F212" s="309">
        <v>20100</v>
      </c>
      <c r="G212" s="161"/>
      <c r="H212" s="161"/>
      <c r="I212" s="161"/>
      <c r="J212" s="161"/>
      <c r="K212" s="161"/>
      <c r="L212" s="161"/>
      <c r="M212" s="161"/>
      <c r="N212" s="161"/>
      <c r="O212" s="161"/>
      <c r="P212" s="161"/>
      <c r="Q212" s="161"/>
      <c r="R212" s="161"/>
      <c r="S212" s="161"/>
      <c r="T212" s="161"/>
      <c r="U212" s="161"/>
      <c r="V212" s="161"/>
      <c r="W212" s="161"/>
      <c r="X212" s="161"/>
      <c r="Y212" s="161"/>
      <c r="Z212" s="161"/>
      <c r="AA212" s="161"/>
      <c r="AB212" s="161"/>
      <c r="AC212" s="161"/>
      <c r="AD212" s="161"/>
      <c r="AE212" s="161"/>
      <c r="AF212" s="161"/>
      <c r="AG212" s="161"/>
      <c r="AH212" s="161"/>
      <c r="AI212" s="161"/>
      <c r="AJ212" s="161"/>
      <c r="AK212" s="161"/>
      <c r="AL212" s="161"/>
      <c r="AM212" s="161"/>
      <c r="AN212" s="161"/>
      <c r="AO212" s="161"/>
      <c r="AP212" s="161"/>
      <c r="AQ212" s="161"/>
      <c r="AR212" s="161"/>
      <c r="AS212" s="161"/>
      <c r="AT212" s="161"/>
      <c r="AU212" s="161"/>
      <c r="AV212" s="161"/>
      <c r="AW212" s="161"/>
      <c r="AX212" s="161"/>
      <c r="AY212" s="161"/>
      <c r="AZ212" s="161"/>
      <c r="BA212" s="161"/>
      <c r="BB212" s="161"/>
      <c r="BC212" s="161"/>
      <c r="BD212" s="161"/>
      <c r="BE212" s="161"/>
      <c r="BF212" s="161"/>
      <c r="BG212" s="161"/>
      <c r="BH212" s="161"/>
      <c r="BI212" s="161"/>
      <c r="BJ212" s="161"/>
      <c r="BK212" s="161"/>
      <c r="BL212" s="161"/>
      <c r="BM212" s="161"/>
      <c r="BN212" s="161"/>
      <c r="BO212" s="161"/>
      <c r="BP212" s="161"/>
      <c r="BQ212" s="161"/>
      <c r="BR212" s="161"/>
      <c r="BS212" s="161"/>
      <c r="BT212" s="161"/>
      <c r="BU212" s="161"/>
      <c r="BV212" s="161"/>
      <c r="BW212" s="161"/>
    </row>
    <row r="213" spans="1:75">
      <c r="A213" s="161"/>
      <c r="B213" s="161" t="s">
        <v>678</v>
      </c>
      <c r="C213" s="309">
        <v>17300</v>
      </c>
      <c r="D213" s="309">
        <v>17992.015999999996</v>
      </c>
      <c r="E213" s="309">
        <v>18225.234999999993</v>
      </c>
      <c r="F213" s="309">
        <v>18548.453999999991</v>
      </c>
      <c r="G213" s="161"/>
      <c r="H213" s="161"/>
      <c r="I213" s="161"/>
      <c r="J213" s="161"/>
      <c r="K213" s="161"/>
      <c r="L213" s="161"/>
      <c r="M213" s="161"/>
      <c r="N213" s="161"/>
      <c r="O213" s="161"/>
      <c r="P213" s="161"/>
      <c r="Q213" s="161"/>
      <c r="R213" s="161"/>
      <c r="S213" s="161"/>
      <c r="T213" s="161"/>
      <c r="U213" s="161"/>
      <c r="V213" s="161"/>
      <c r="W213" s="161"/>
      <c r="X213" s="161"/>
      <c r="Y213" s="161"/>
      <c r="Z213" s="161"/>
      <c r="AA213" s="161"/>
      <c r="AB213" s="161"/>
      <c r="AC213" s="161"/>
      <c r="AD213" s="161"/>
      <c r="AE213" s="161"/>
      <c r="AF213" s="161"/>
      <c r="AG213" s="161"/>
      <c r="AH213" s="161"/>
      <c r="AI213" s="161"/>
      <c r="AJ213" s="161"/>
      <c r="AK213" s="161"/>
      <c r="AL213" s="161"/>
      <c r="AM213" s="161"/>
      <c r="AN213" s="161"/>
      <c r="AO213" s="161"/>
      <c r="AP213" s="161"/>
      <c r="AQ213" s="161"/>
      <c r="AR213" s="161"/>
      <c r="AS213" s="161"/>
      <c r="AT213" s="161"/>
      <c r="AU213" s="161"/>
      <c r="AV213" s="161"/>
      <c r="AW213" s="161"/>
      <c r="AX213" s="161"/>
      <c r="AY213" s="161"/>
      <c r="AZ213" s="161"/>
      <c r="BA213" s="161"/>
      <c r="BB213" s="161"/>
      <c r="BC213" s="161"/>
      <c r="BD213" s="161"/>
      <c r="BE213" s="161"/>
      <c r="BF213" s="161"/>
      <c r="BG213" s="161"/>
      <c r="BH213" s="161"/>
      <c r="BI213" s="161"/>
      <c r="BJ213" s="161"/>
      <c r="BK213" s="161"/>
      <c r="BL213" s="161"/>
      <c r="BM213" s="161"/>
      <c r="BN213" s="161"/>
      <c r="BO213" s="161"/>
      <c r="BP213" s="161"/>
      <c r="BQ213" s="161"/>
      <c r="BR213" s="161"/>
      <c r="BS213" s="161"/>
      <c r="BT213" s="161"/>
      <c r="BU213" s="161"/>
      <c r="BV213" s="161"/>
      <c r="BW213" s="161"/>
    </row>
    <row r="214" spans="1:75">
      <c r="A214" s="161"/>
      <c r="B214" s="161" t="s">
        <v>122</v>
      </c>
      <c r="C214" s="309">
        <f>Fixed!Q5</f>
        <v>11560.218000000001</v>
      </c>
      <c r="D214" s="309">
        <f>Fixed!R5</f>
        <v>15437.906999999999</v>
      </c>
      <c r="E214" s="309">
        <f>Fixed!S5</f>
        <v>17429.384999999998</v>
      </c>
      <c r="F214" s="309">
        <f>Fixed!T5</f>
        <v>19246.286</v>
      </c>
      <c r="G214" s="161"/>
      <c r="H214" s="161"/>
      <c r="I214" s="161"/>
      <c r="J214" s="161"/>
      <c r="K214" s="161"/>
      <c r="L214" s="161"/>
      <c r="M214" s="161"/>
      <c r="N214" s="161"/>
      <c r="O214" s="161"/>
      <c r="P214" s="161"/>
      <c r="Q214" s="161"/>
      <c r="R214" s="161"/>
      <c r="S214" s="161"/>
      <c r="T214" s="161"/>
      <c r="U214" s="161"/>
      <c r="V214" s="161"/>
      <c r="W214" s="161"/>
      <c r="X214" s="161"/>
      <c r="Y214" s="161"/>
      <c r="Z214" s="161"/>
      <c r="AA214" s="161"/>
      <c r="AB214" s="161"/>
      <c r="AC214" s="161"/>
      <c r="AD214" s="161"/>
      <c r="AE214" s="161"/>
      <c r="AF214" s="161"/>
      <c r="AG214" s="161"/>
      <c r="AH214" s="161"/>
      <c r="AI214" s="161"/>
      <c r="AJ214" s="161"/>
      <c r="AK214" s="161"/>
      <c r="AL214" s="161"/>
      <c r="AM214" s="161"/>
      <c r="AN214" s="161"/>
      <c r="AO214" s="161"/>
      <c r="AP214" s="161"/>
      <c r="AQ214" s="161"/>
      <c r="AR214" s="161"/>
      <c r="AS214" s="161"/>
      <c r="AT214" s="161"/>
      <c r="AU214" s="161"/>
      <c r="AV214" s="161"/>
      <c r="AW214" s="161"/>
      <c r="AX214" s="161"/>
      <c r="AY214" s="161"/>
      <c r="AZ214" s="161"/>
      <c r="BA214" s="161"/>
      <c r="BB214" s="161"/>
      <c r="BC214" s="161"/>
      <c r="BD214" s="161"/>
      <c r="BE214" s="161"/>
      <c r="BF214" s="161"/>
      <c r="BG214" s="161"/>
      <c r="BH214" s="161"/>
      <c r="BI214" s="161"/>
      <c r="BJ214" s="161"/>
      <c r="BK214" s="161"/>
      <c r="BL214" s="161"/>
      <c r="BM214" s="161"/>
      <c r="BN214" s="161"/>
      <c r="BO214" s="161"/>
      <c r="BP214" s="161"/>
      <c r="BQ214" s="161"/>
      <c r="BR214" s="161"/>
      <c r="BS214" s="161"/>
      <c r="BT214" s="161"/>
      <c r="BU214" s="161"/>
      <c r="BV214" s="161"/>
      <c r="BW214" s="161"/>
    </row>
    <row r="215" spans="1:75">
      <c r="A215" s="161"/>
      <c r="B215" s="161" t="s">
        <v>677</v>
      </c>
      <c r="C215" s="309">
        <v>11500</v>
      </c>
      <c r="D215" s="309">
        <v>13000</v>
      </c>
      <c r="E215" s="309">
        <v>14500</v>
      </c>
      <c r="F215" s="309">
        <v>16000</v>
      </c>
      <c r="G215" s="161"/>
      <c r="H215" s="161"/>
      <c r="I215" s="161"/>
      <c r="J215" s="161"/>
      <c r="K215" s="161"/>
      <c r="L215" s="161"/>
      <c r="M215" s="161"/>
      <c r="N215" s="161"/>
      <c r="O215" s="161"/>
      <c r="P215" s="161"/>
      <c r="Q215" s="161"/>
      <c r="R215" s="161"/>
      <c r="S215" s="161"/>
      <c r="T215" s="161"/>
      <c r="U215" s="161"/>
      <c r="V215" s="161"/>
      <c r="W215" s="161"/>
      <c r="X215" s="161"/>
      <c r="Y215" s="161"/>
      <c r="Z215" s="161"/>
      <c r="AA215" s="161"/>
      <c r="AB215" s="161"/>
      <c r="AC215" s="161"/>
      <c r="AD215" s="161"/>
      <c r="AE215" s="161"/>
      <c r="AF215" s="161"/>
      <c r="AG215" s="161"/>
      <c r="AH215" s="161"/>
      <c r="AI215" s="161"/>
      <c r="AJ215" s="161"/>
      <c r="AK215" s="161"/>
      <c r="AL215" s="161"/>
      <c r="AM215" s="161"/>
      <c r="AN215" s="161"/>
      <c r="AO215" s="161"/>
      <c r="AP215" s="161"/>
      <c r="AQ215" s="161"/>
      <c r="AR215" s="161"/>
      <c r="AS215" s="161"/>
      <c r="AT215" s="161"/>
      <c r="AU215" s="161"/>
      <c r="AV215" s="161"/>
      <c r="AW215" s="161"/>
      <c r="AX215" s="161"/>
      <c r="AY215" s="161"/>
      <c r="AZ215" s="161"/>
      <c r="BA215" s="161"/>
      <c r="BB215" s="161"/>
      <c r="BC215" s="161"/>
      <c r="BD215" s="161"/>
      <c r="BE215" s="161"/>
      <c r="BF215" s="161"/>
      <c r="BG215" s="161"/>
      <c r="BH215" s="161"/>
      <c r="BI215" s="161"/>
      <c r="BJ215" s="161"/>
      <c r="BK215" s="161"/>
      <c r="BL215" s="161"/>
      <c r="BM215" s="161"/>
      <c r="BN215" s="161"/>
      <c r="BO215" s="161"/>
      <c r="BP215" s="161"/>
      <c r="BQ215" s="161"/>
      <c r="BR215" s="161"/>
      <c r="BS215" s="161"/>
      <c r="BT215" s="161"/>
      <c r="BU215" s="161"/>
      <c r="BV215" s="161"/>
      <c r="BW215" s="161"/>
    </row>
    <row r="216" spans="1:75">
      <c r="A216" s="161"/>
      <c r="B216" s="161"/>
      <c r="C216" s="309"/>
      <c r="D216" s="309"/>
      <c r="E216" s="309"/>
      <c r="F216" s="309"/>
      <c r="G216" s="161"/>
      <c r="H216" s="161"/>
      <c r="I216" s="161"/>
      <c r="J216" s="161"/>
      <c r="K216" s="161"/>
      <c r="L216" s="161"/>
      <c r="M216" s="161"/>
      <c r="N216" s="161"/>
      <c r="O216" s="161"/>
      <c r="P216" s="161"/>
      <c r="Q216" s="161"/>
      <c r="R216" s="161"/>
      <c r="S216" s="161"/>
      <c r="T216" s="161"/>
      <c r="U216" s="161"/>
      <c r="V216" s="161"/>
      <c r="W216" s="161"/>
      <c r="X216" s="161"/>
      <c r="Y216" s="161"/>
      <c r="Z216" s="161"/>
      <c r="AA216" s="161"/>
      <c r="AB216" s="161"/>
      <c r="AC216" s="161"/>
      <c r="AD216" s="161"/>
      <c r="AE216" s="161"/>
      <c r="AF216" s="161"/>
      <c r="AG216" s="161"/>
      <c r="AH216" s="161"/>
      <c r="AI216" s="161"/>
      <c r="AJ216" s="161"/>
      <c r="AK216" s="161"/>
      <c r="AL216" s="161"/>
      <c r="AM216" s="161"/>
      <c r="AN216" s="161"/>
      <c r="AO216" s="161"/>
      <c r="AP216" s="161"/>
      <c r="AQ216" s="161"/>
      <c r="AR216" s="161"/>
      <c r="AS216" s="161"/>
      <c r="AT216" s="161"/>
      <c r="AU216" s="161"/>
      <c r="AV216" s="161"/>
      <c r="AW216" s="161"/>
      <c r="AX216" s="161"/>
      <c r="AY216" s="161"/>
      <c r="AZ216" s="161"/>
      <c r="BA216" s="161"/>
      <c r="BB216" s="161"/>
      <c r="BC216" s="161"/>
      <c r="BD216" s="161"/>
      <c r="BE216" s="161"/>
      <c r="BF216" s="161"/>
      <c r="BG216" s="161"/>
      <c r="BH216" s="161"/>
      <c r="BI216" s="161"/>
      <c r="BJ216" s="161"/>
      <c r="BK216" s="161"/>
      <c r="BL216" s="161"/>
      <c r="BM216" s="161"/>
      <c r="BN216" s="161"/>
      <c r="BO216" s="161"/>
      <c r="BP216" s="161"/>
      <c r="BQ216" s="161"/>
      <c r="BR216" s="161"/>
      <c r="BS216" s="161"/>
      <c r="BT216" s="161"/>
      <c r="BU216" s="161"/>
      <c r="BV216" s="161"/>
      <c r="BW216" s="161"/>
    </row>
    <row r="217" spans="1:75">
      <c r="A217" s="161"/>
      <c r="B217" s="161"/>
      <c r="C217" s="161"/>
      <c r="D217" s="161"/>
      <c r="E217" s="161"/>
      <c r="F217" s="161"/>
      <c r="G217" s="161"/>
      <c r="H217" s="161"/>
      <c r="I217" s="161"/>
      <c r="J217" s="161"/>
      <c r="K217" s="161"/>
      <c r="L217" s="161"/>
      <c r="M217" s="161"/>
      <c r="N217" s="161"/>
      <c r="O217" s="161"/>
      <c r="P217" s="161"/>
      <c r="Q217" s="161"/>
      <c r="R217" s="161"/>
      <c r="S217" s="161"/>
      <c r="T217" s="161"/>
      <c r="U217" s="161"/>
      <c r="V217" s="161"/>
      <c r="W217" s="161"/>
      <c r="X217" s="161"/>
      <c r="Y217" s="161"/>
      <c r="Z217" s="161"/>
      <c r="AA217" s="161"/>
      <c r="AB217" s="161"/>
      <c r="AC217" s="161"/>
      <c r="AD217" s="161"/>
      <c r="AE217" s="161"/>
      <c r="AF217" s="161"/>
      <c r="AG217" s="161"/>
      <c r="AH217" s="161"/>
      <c r="AI217" s="161"/>
      <c r="AJ217" s="161"/>
      <c r="AK217" s="161"/>
      <c r="AL217" s="161"/>
      <c r="AM217" s="161"/>
      <c r="AN217" s="161"/>
      <c r="AO217" s="161"/>
      <c r="AP217" s="161"/>
      <c r="AQ217" s="161"/>
      <c r="AR217" s="161"/>
      <c r="AS217" s="161"/>
      <c r="AT217" s="161"/>
      <c r="AU217" s="161"/>
      <c r="AV217" s="161"/>
      <c r="AW217" s="161"/>
      <c r="AX217" s="161"/>
      <c r="AY217" s="161"/>
      <c r="AZ217" s="161"/>
      <c r="BA217" s="161"/>
      <c r="BB217" s="161"/>
      <c r="BC217" s="161"/>
      <c r="BD217" s="161"/>
      <c r="BE217" s="161"/>
      <c r="BF217" s="161"/>
      <c r="BG217" s="161"/>
      <c r="BH217" s="161"/>
      <c r="BI217" s="161"/>
      <c r="BJ217" s="161"/>
      <c r="BK217" s="161"/>
      <c r="BL217" s="161"/>
      <c r="BM217" s="161"/>
      <c r="BN217" s="161"/>
      <c r="BO217" s="161"/>
      <c r="BP217" s="161"/>
      <c r="BQ217" s="161"/>
      <c r="BR217" s="161"/>
      <c r="BS217" s="161"/>
      <c r="BT217" s="161"/>
      <c r="BU217" s="161"/>
      <c r="BV217" s="161"/>
      <c r="BW217" s="161"/>
    </row>
    <row r="218" spans="1:75">
      <c r="A218" s="161"/>
      <c r="B218" s="161"/>
      <c r="C218" s="161"/>
      <c r="D218" s="161"/>
      <c r="E218" s="161"/>
      <c r="F218" s="161"/>
      <c r="G218" s="161"/>
      <c r="H218" s="161"/>
      <c r="I218" s="161"/>
      <c r="J218" s="161"/>
      <c r="K218" s="161"/>
      <c r="L218" s="161"/>
      <c r="M218" s="161"/>
      <c r="N218" s="161"/>
      <c r="O218" s="161"/>
      <c r="P218" s="161"/>
      <c r="Q218" s="161"/>
      <c r="R218" s="161"/>
      <c r="S218" s="161"/>
      <c r="T218" s="161"/>
      <c r="U218" s="161"/>
      <c r="V218" s="161"/>
      <c r="W218" s="161"/>
      <c r="X218" s="161"/>
      <c r="Y218" s="161"/>
      <c r="Z218" s="161"/>
      <c r="AA218" s="161"/>
      <c r="AB218" s="161"/>
      <c r="AC218" s="161"/>
      <c r="AD218" s="161"/>
      <c r="AE218" s="161"/>
      <c r="AF218" s="161"/>
      <c r="AG218" s="161"/>
      <c r="AH218" s="161"/>
      <c r="AI218" s="161"/>
      <c r="AJ218" s="161"/>
      <c r="AK218" s="161"/>
      <c r="AL218" s="161"/>
      <c r="AM218" s="161"/>
      <c r="AN218" s="161"/>
      <c r="AO218" s="161"/>
      <c r="AP218" s="161"/>
      <c r="AQ218" s="161"/>
      <c r="AR218" s="161"/>
      <c r="AS218" s="161"/>
      <c r="AT218" s="161"/>
      <c r="AU218" s="161"/>
      <c r="AV218" s="161"/>
      <c r="AW218" s="161"/>
      <c r="AX218" s="161"/>
      <c r="AY218" s="161"/>
      <c r="AZ218" s="161"/>
      <c r="BA218" s="161"/>
      <c r="BB218" s="161"/>
      <c r="BC218" s="161"/>
      <c r="BD218" s="161"/>
      <c r="BE218" s="161"/>
      <c r="BF218" s="161"/>
      <c r="BG218" s="161"/>
      <c r="BH218" s="161"/>
      <c r="BI218" s="161"/>
      <c r="BJ218" s="161"/>
      <c r="BK218" s="161"/>
      <c r="BL218" s="161"/>
      <c r="BM218" s="161"/>
      <c r="BN218" s="161"/>
      <c r="BO218" s="161"/>
      <c r="BP218" s="161"/>
      <c r="BQ218" s="161"/>
      <c r="BR218" s="161"/>
      <c r="BS218" s="161"/>
      <c r="BT218" s="161"/>
      <c r="BU218" s="161"/>
      <c r="BV218" s="161"/>
      <c r="BW218" s="161"/>
    </row>
    <row r="219" spans="1:75">
      <c r="A219" s="161"/>
      <c r="B219" s="161"/>
      <c r="C219" s="161"/>
      <c r="D219" s="161"/>
      <c r="E219" s="161"/>
      <c r="F219" s="161"/>
      <c r="G219" s="161"/>
      <c r="H219" s="161"/>
      <c r="I219" s="161"/>
      <c r="J219" s="161"/>
      <c r="K219" s="161"/>
      <c r="L219" s="161"/>
      <c r="M219" s="161"/>
      <c r="N219" s="161"/>
      <c r="O219" s="161"/>
      <c r="P219" s="161"/>
      <c r="Q219" s="161"/>
      <c r="R219" s="161"/>
      <c r="S219" s="161"/>
      <c r="T219" s="161"/>
      <c r="U219" s="161"/>
      <c r="V219" s="161"/>
      <c r="W219" s="161"/>
      <c r="X219" s="161"/>
      <c r="Y219" s="161"/>
      <c r="Z219" s="161"/>
      <c r="AA219" s="161"/>
      <c r="AB219" s="161"/>
      <c r="AC219" s="161"/>
      <c r="AD219" s="161"/>
      <c r="AE219" s="161"/>
      <c r="AF219" s="161"/>
      <c r="AG219" s="161"/>
      <c r="AH219" s="161"/>
      <c r="AI219" s="161"/>
      <c r="AJ219" s="161"/>
      <c r="AK219" s="161"/>
      <c r="AL219" s="161"/>
      <c r="AM219" s="161"/>
      <c r="AN219" s="161"/>
      <c r="AO219" s="161"/>
      <c r="AP219" s="161"/>
      <c r="AQ219" s="161"/>
      <c r="AR219" s="161"/>
      <c r="AS219" s="161"/>
      <c r="AT219" s="161"/>
      <c r="AU219" s="161"/>
      <c r="AV219" s="161"/>
      <c r="AW219" s="161"/>
      <c r="AX219" s="161"/>
      <c r="AY219" s="161"/>
      <c r="AZ219" s="161"/>
      <c r="BA219" s="161"/>
      <c r="BB219" s="161"/>
      <c r="BC219" s="161"/>
      <c r="BD219" s="161"/>
      <c r="BE219" s="161"/>
      <c r="BF219" s="161"/>
      <c r="BG219" s="161"/>
      <c r="BH219" s="161"/>
      <c r="BI219" s="161"/>
      <c r="BJ219" s="161"/>
      <c r="BK219" s="161"/>
      <c r="BL219" s="161"/>
      <c r="BM219" s="161"/>
      <c r="BN219" s="161"/>
      <c r="BO219" s="161"/>
      <c r="BP219" s="161"/>
      <c r="BQ219" s="161"/>
      <c r="BR219" s="161"/>
      <c r="BS219" s="161"/>
      <c r="BT219" s="161"/>
      <c r="BU219" s="161"/>
      <c r="BV219" s="161"/>
    </row>
    <row r="220" spans="1:75">
      <c r="A220" s="161"/>
      <c r="B220" s="161"/>
      <c r="C220" s="161"/>
      <c r="D220" s="161"/>
      <c r="E220" s="161"/>
      <c r="F220" s="161"/>
      <c r="G220" s="161"/>
      <c r="H220" s="161"/>
      <c r="I220" s="161"/>
      <c r="J220" s="161"/>
      <c r="K220" s="161"/>
      <c r="L220" s="161"/>
      <c r="M220" s="161"/>
      <c r="N220" s="161"/>
      <c r="O220" s="161"/>
      <c r="P220" s="161"/>
      <c r="Q220" s="161"/>
      <c r="R220" s="161"/>
      <c r="S220" s="161"/>
      <c r="T220" s="161"/>
      <c r="U220" s="161"/>
      <c r="V220" s="161"/>
      <c r="W220" s="161"/>
      <c r="X220" s="161"/>
      <c r="Y220" s="161"/>
      <c r="Z220" s="161"/>
      <c r="AA220" s="161"/>
      <c r="AB220" s="161"/>
      <c r="AC220" s="161"/>
      <c r="AD220" s="161"/>
      <c r="AE220" s="161"/>
      <c r="AF220" s="161"/>
      <c r="AG220" s="161"/>
      <c r="AH220" s="161"/>
      <c r="AI220" s="161"/>
      <c r="AJ220" s="161"/>
      <c r="AK220" s="161"/>
      <c r="AL220" s="161"/>
      <c r="AM220" s="161"/>
      <c r="AN220" s="161"/>
      <c r="AO220" s="161"/>
      <c r="AP220" s="161"/>
      <c r="AQ220" s="161"/>
      <c r="AR220" s="161"/>
      <c r="AS220" s="161"/>
      <c r="AT220" s="161"/>
      <c r="AU220" s="161"/>
      <c r="AV220" s="161"/>
      <c r="AW220" s="161"/>
      <c r="AX220" s="161"/>
      <c r="AY220" s="161"/>
      <c r="AZ220" s="161"/>
      <c r="BA220" s="161"/>
      <c r="BB220" s="161"/>
      <c r="BC220" s="161"/>
      <c r="BD220" s="161"/>
      <c r="BE220" s="161"/>
      <c r="BF220" s="161"/>
      <c r="BG220" s="161"/>
      <c r="BH220" s="161"/>
      <c r="BI220" s="161"/>
      <c r="BJ220" s="161"/>
      <c r="BK220" s="161"/>
      <c r="BL220" s="161"/>
      <c r="BM220" s="161"/>
      <c r="BN220" s="161"/>
      <c r="BO220" s="161"/>
      <c r="BP220" s="161"/>
      <c r="BQ220" s="161"/>
      <c r="BR220" s="161"/>
      <c r="BS220" s="161"/>
      <c r="BT220" s="161"/>
      <c r="BU220" s="161"/>
      <c r="BV220" s="161"/>
    </row>
    <row r="221" spans="1:75">
      <c r="A221" s="161"/>
      <c r="B221" s="161"/>
      <c r="C221" s="161"/>
      <c r="D221" s="161"/>
      <c r="E221" s="161"/>
      <c r="F221" s="161"/>
      <c r="G221" s="161"/>
      <c r="H221" s="161"/>
      <c r="I221" s="161"/>
      <c r="J221" s="161"/>
      <c r="K221" s="161"/>
      <c r="L221" s="161"/>
      <c r="M221" s="161"/>
      <c r="N221" s="161"/>
      <c r="O221" s="161"/>
      <c r="P221" s="161"/>
      <c r="Q221" s="161"/>
      <c r="R221" s="161"/>
      <c r="S221" s="161"/>
      <c r="T221" s="161"/>
      <c r="U221" s="161"/>
      <c r="V221" s="161"/>
      <c r="W221" s="161"/>
      <c r="X221" s="161"/>
      <c r="Y221" s="161"/>
      <c r="Z221" s="161"/>
      <c r="AA221" s="161"/>
      <c r="AB221" s="161"/>
      <c r="AC221" s="161"/>
      <c r="AD221" s="161"/>
      <c r="AE221" s="161"/>
      <c r="AF221" s="161"/>
      <c r="AG221" s="161"/>
      <c r="AH221" s="161"/>
      <c r="AI221" s="161"/>
      <c r="AJ221" s="161"/>
      <c r="AK221" s="161"/>
      <c r="AL221" s="161"/>
      <c r="AM221" s="161"/>
      <c r="AN221" s="161"/>
      <c r="AO221" s="161"/>
      <c r="AP221" s="161"/>
      <c r="AQ221" s="161"/>
      <c r="AR221" s="161"/>
      <c r="AS221" s="161"/>
      <c r="AT221" s="161"/>
      <c r="AU221" s="161"/>
      <c r="AV221" s="161"/>
      <c r="AW221" s="161"/>
      <c r="AX221" s="161"/>
      <c r="AY221" s="161"/>
      <c r="AZ221" s="161"/>
      <c r="BA221" s="161"/>
      <c r="BB221" s="161"/>
      <c r="BC221" s="161"/>
      <c r="BD221" s="161"/>
      <c r="BE221" s="161"/>
      <c r="BF221" s="161"/>
      <c r="BG221" s="161"/>
      <c r="BH221" s="161"/>
      <c r="BI221" s="161"/>
      <c r="BJ221" s="161"/>
      <c r="BK221" s="161"/>
      <c r="BL221" s="161"/>
      <c r="BM221" s="161"/>
      <c r="BN221" s="161"/>
      <c r="BO221" s="161"/>
      <c r="BP221" s="161"/>
      <c r="BQ221" s="161"/>
      <c r="BR221" s="161"/>
      <c r="BS221" s="161"/>
      <c r="BT221" s="161"/>
      <c r="BU221" s="161"/>
      <c r="BV221" s="161"/>
    </row>
    <row r="222" spans="1:75">
      <c r="A222" s="161"/>
      <c r="B222" s="161"/>
      <c r="C222" s="161"/>
      <c r="D222" s="161"/>
      <c r="E222" s="161"/>
      <c r="F222" s="161"/>
      <c r="G222" s="161"/>
      <c r="H222" s="161"/>
      <c r="I222" s="161"/>
      <c r="J222" s="161"/>
      <c r="K222" s="161"/>
      <c r="L222" s="161"/>
      <c r="M222" s="161"/>
      <c r="N222" s="161"/>
      <c r="O222" s="161"/>
      <c r="P222" s="161"/>
      <c r="Q222" s="161"/>
      <c r="R222" s="161"/>
      <c r="S222" s="161"/>
      <c r="T222" s="161"/>
      <c r="U222" s="161"/>
      <c r="V222" s="161"/>
      <c r="W222" s="161"/>
      <c r="X222" s="161"/>
      <c r="Y222" s="161"/>
      <c r="Z222" s="161"/>
      <c r="AA222" s="161"/>
      <c r="AB222" s="161"/>
      <c r="AC222" s="161"/>
      <c r="AD222" s="161"/>
      <c r="AE222" s="161"/>
      <c r="AF222" s="161"/>
      <c r="AG222" s="161"/>
      <c r="AH222" s="161"/>
      <c r="AI222" s="161"/>
      <c r="AJ222" s="161"/>
      <c r="AK222" s="161"/>
      <c r="AL222" s="161"/>
      <c r="AM222" s="161"/>
      <c r="AN222" s="161"/>
      <c r="AO222" s="161"/>
      <c r="AP222" s="161"/>
      <c r="AQ222" s="161"/>
      <c r="AR222" s="161"/>
      <c r="AS222" s="161"/>
      <c r="AT222" s="161"/>
      <c r="AU222" s="161"/>
      <c r="AV222" s="161"/>
      <c r="AW222" s="161"/>
      <c r="AX222" s="161"/>
      <c r="AY222" s="161"/>
      <c r="AZ222" s="161"/>
      <c r="BA222" s="161"/>
      <c r="BB222" s="161"/>
      <c r="BC222" s="161"/>
      <c r="BD222" s="161"/>
      <c r="BE222" s="161"/>
      <c r="BF222" s="161"/>
      <c r="BG222" s="161"/>
      <c r="BH222" s="161"/>
      <c r="BI222" s="161"/>
      <c r="BJ222" s="161"/>
      <c r="BK222" s="161"/>
      <c r="BL222" s="161"/>
      <c r="BM222" s="161"/>
      <c r="BN222" s="161"/>
      <c r="BO222" s="161"/>
      <c r="BP222" s="161"/>
      <c r="BQ222" s="161"/>
      <c r="BR222" s="161"/>
      <c r="BS222" s="161"/>
      <c r="BT222" s="161"/>
      <c r="BU222" s="161"/>
      <c r="BV222" s="161"/>
    </row>
    <row r="223" spans="1:75">
      <c r="A223" s="161"/>
      <c r="B223" s="161"/>
      <c r="C223" s="161"/>
      <c r="D223" s="161"/>
      <c r="E223" s="161"/>
      <c r="F223" s="161"/>
      <c r="G223" s="161"/>
      <c r="H223" s="161"/>
      <c r="I223" s="161"/>
      <c r="J223" s="161"/>
      <c r="K223" s="161"/>
      <c r="L223" s="161"/>
      <c r="M223" s="161"/>
      <c r="N223" s="161"/>
      <c r="O223" s="161"/>
      <c r="P223" s="161"/>
      <c r="Q223" s="161"/>
      <c r="R223" s="161"/>
      <c r="S223" s="161"/>
      <c r="T223" s="161"/>
      <c r="U223" s="161"/>
      <c r="V223" s="161"/>
      <c r="W223" s="161"/>
      <c r="X223" s="161"/>
      <c r="Y223" s="161"/>
      <c r="Z223" s="161"/>
      <c r="AA223" s="161"/>
      <c r="AB223" s="161"/>
      <c r="AC223" s="161"/>
      <c r="AD223" s="161"/>
      <c r="AE223" s="161"/>
      <c r="AF223" s="161"/>
      <c r="AG223" s="161"/>
      <c r="AH223" s="161"/>
      <c r="AI223" s="161"/>
      <c r="AJ223" s="161"/>
      <c r="AK223" s="161"/>
      <c r="AL223" s="161"/>
      <c r="AM223" s="161"/>
      <c r="AN223" s="161"/>
      <c r="AO223" s="161"/>
      <c r="AP223" s="161"/>
      <c r="AQ223" s="161"/>
      <c r="AR223" s="161"/>
      <c r="AS223" s="161"/>
      <c r="AT223" s="161"/>
      <c r="AU223" s="161"/>
      <c r="AV223" s="161"/>
      <c r="AW223" s="161"/>
      <c r="AX223" s="161"/>
      <c r="AY223" s="161"/>
      <c r="AZ223" s="161"/>
      <c r="BA223" s="161"/>
      <c r="BB223" s="161"/>
      <c r="BC223" s="161"/>
      <c r="BD223" s="161"/>
      <c r="BE223" s="161"/>
      <c r="BF223" s="161"/>
      <c r="BG223" s="161"/>
      <c r="BH223" s="161"/>
      <c r="BI223" s="161"/>
      <c r="BJ223" s="161"/>
      <c r="BK223" s="161"/>
      <c r="BL223" s="161"/>
      <c r="BM223" s="161"/>
      <c r="BN223" s="161"/>
      <c r="BO223" s="161"/>
      <c r="BP223" s="161"/>
      <c r="BQ223" s="161"/>
      <c r="BR223" s="161"/>
      <c r="BS223" s="161"/>
      <c r="BT223" s="161"/>
      <c r="BU223" s="161"/>
      <c r="BV223" s="161"/>
    </row>
    <row r="224" spans="1:75">
      <c r="A224" s="161"/>
      <c r="B224" s="161"/>
      <c r="C224" s="161"/>
      <c r="D224" s="161"/>
      <c r="E224" s="161"/>
      <c r="F224" s="161"/>
      <c r="G224" s="161"/>
      <c r="H224" s="161"/>
      <c r="I224" s="161"/>
      <c r="J224" s="161"/>
      <c r="K224" s="161"/>
      <c r="L224" s="161"/>
      <c r="M224" s="161"/>
      <c r="N224" s="161"/>
      <c r="O224" s="161"/>
      <c r="P224" s="161"/>
      <c r="Q224" s="161"/>
      <c r="R224" s="161"/>
      <c r="S224" s="161"/>
      <c r="T224" s="161"/>
      <c r="U224" s="161"/>
      <c r="V224" s="161"/>
      <c r="W224" s="161"/>
      <c r="X224" s="161"/>
      <c r="Y224" s="161"/>
      <c r="Z224" s="161"/>
      <c r="AA224" s="161"/>
      <c r="AB224" s="161"/>
      <c r="AC224" s="161"/>
      <c r="AD224" s="161"/>
      <c r="AE224" s="161"/>
      <c r="AF224" s="161"/>
      <c r="AG224" s="161"/>
      <c r="AH224" s="161"/>
      <c r="AI224" s="161"/>
      <c r="AJ224" s="161"/>
      <c r="AK224" s="161"/>
      <c r="AL224" s="161"/>
      <c r="AM224" s="161"/>
      <c r="AN224" s="161"/>
      <c r="AO224" s="161"/>
      <c r="AP224" s="161"/>
      <c r="AQ224" s="161"/>
      <c r="AR224" s="161"/>
      <c r="AS224" s="161"/>
      <c r="AT224" s="161"/>
      <c r="AU224" s="161"/>
      <c r="AV224" s="161"/>
      <c r="AW224" s="161"/>
      <c r="AX224" s="161"/>
      <c r="AY224" s="161"/>
      <c r="AZ224" s="161"/>
      <c r="BA224" s="161"/>
      <c r="BB224" s="161"/>
      <c r="BC224" s="161"/>
      <c r="BD224" s="161"/>
      <c r="BE224" s="161"/>
      <c r="BF224" s="161"/>
      <c r="BG224" s="161"/>
      <c r="BH224" s="161"/>
      <c r="BI224" s="161"/>
      <c r="BJ224" s="161"/>
      <c r="BK224" s="161"/>
      <c r="BL224" s="161"/>
      <c r="BM224" s="161"/>
      <c r="BN224" s="161"/>
      <c r="BO224" s="161"/>
      <c r="BP224" s="161"/>
      <c r="BQ224" s="161"/>
      <c r="BR224" s="161"/>
      <c r="BS224" s="161"/>
      <c r="BT224" s="161"/>
      <c r="BU224" s="161"/>
      <c r="BV224" s="161"/>
    </row>
    <row r="225" spans="1:74">
      <c r="A225" s="161"/>
      <c r="B225" s="161"/>
      <c r="C225" s="161"/>
      <c r="D225" s="161"/>
      <c r="E225" s="161"/>
      <c r="F225" s="161"/>
      <c r="G225" s="161"/>
      <c r="H225" s="161"/>
      <c r="I225" s="161"/>
      <c r="J225" s="161"/>
      <c r="K225" s="161"/>
      <c r="L225" s="161"/>
      <c r="M225" s="161"/>
      <c r="N225" s="161"/>
      <c r="O225" s="161"/>
      <c r="P225" s="161"/>
      <c r="Q225" s="161"/>
      <c r="R225" s="161"/>
      <c r="S225" s="161"/>
      <c r="T225" s="161"/>
      <c r="U225" s="161"/>
      <c r="V225" s="161"/>
      <c r="W225" s="161"/>
      <c r="X225" s="161"/>
      <c r="Y225" s="161"/>
      <c r="Z225" s="161"/>
      <c r="AA225" s="161"/>
      <c r="AB225" s="161"/>
      <c r="AC225" s="161"/>
      <c r="AD225" s="161"/>
      <c r="AE225" s="161"/>
      <c r="AF225" s="161"/>
      <c r="AG225" s="161"/>
      <c r="AH225" s="161"/>
      <c r="AI225" s="161"/>
      <c r="AJ225" s="161"/>
      <c r="AK225" s="161"/>
      <c r="AL225" s="161"/>
      <c r="AM225" s="161"/>
      <c r="AN225" s="161"/>
      <c r="AO225" s="161"/>
      <c r="AP225" s="161"/>
      <c r="AQ225" s="161"/>
      <c r="AR225" s="161"/>
      <c r="AS225" s="161"/>
      <c r="AT225" s="161"/>
      <c r="AU225" s="161"/>
      <c r="AV225" s="161"/>
      <c r="AW225" s="161"/>
      <c r="AX225" s="161"/>
      <c r="AY225" s="161"/>
      <c r="AZ225" s="161"/>
      <c r="BA225" s="161"/>
      <c r="BB225" s="161"/>
      <c r="BC225" s="161"/>
      <c r="BD225" s="161"/>
      <c r="BE225" s="161"/>
      <c r="BF225" s="161"/>
      <c r="BG225" s="161"/>
      <c r="BH225" s="161"/>
      <c r="BI225" s="161"/>
      <c r="BJ225" s="161"/>
      <c r="BK225" s="161"/>
      <c r="BL225" s="161"/>
      <c r="BM225" s="161"/>
      <c r="BN225" s="161"/>
      <c r="BO225" s="161"/>
      <c r="BP225" s="161"/>
      <c r="BQ225" s="161"/>
      <c r="BR225" s="161"/>
      <c r="BS225" s="161"/>
      <c r="BT225" s="161"/>
      <c r="BU225" s="161"/>
      <c r="BV225" s="161"/>
    </row>
    <row r="226" spans="1:74">
      <c r="A226" s="161"/>
      <c r="B226" s="161"/>
      <c r="C226" s="161"/>
      <c r="D226" s="161"/>
      <c r="E226" s="161"/>
      <c r="F226" s="161"/>
      <c r="G226" s="161"/>
      <c r="H226" s="161"/>
      <c r="I226" s="161"/>
      <c r="J226" s="161"/>
      <c r="K226" s="161"/>
      <c r="L226" s="161"/>
      <c r="M226" s="161"/>
      <c r="N226" s="161"/>
      <c r="O226" s="161"/>
      <c r="P226" s="161"/>
      <c r="Q226" s="161"/>
      <c r="R226" s="161"/>
      <c r="S226" s="161"/>
      <c r="T226" s="161"/>
      <c r="U226" s="161"/>
      <c r="V226" s="161"/>
      <c r="W226" s="161"/>
      <c r="X226" s="161"/>
      <c r="Y226" s="161"/>
      <c r="Z226" s="161"/>
      <c r="AA226" s="161"/>
      <c r="AB226" s="161"/>
      <c r="AC226" s="161"/>
      <c r="AD226" s="161"/>
      <c r="AE226" s="161"/>
      <c r="AF226" s="161"/>
      <c r="AG226" s="161"/>
      <c r="AH226" s="161"/>
      <c r="AI226" s="161"/>
      <c r="AJ226" s="161"/>
      <c r="AK226" s="161"/>
      <c r="AL226" s="161"/>
      <c r="AM226" s="161"/>
      <c r="AN226" s="161"/>
      <c r="AO226" s="161"/>
      <c r="AP226" s="161"/>
      <c r="AQ226" s="161"/>
      <c r="AR226" s="161"/>
      <c r="AS226" s="161"/>
      <c r="AT226" s="161"/>
      <c r="AU226" s="161"/>
      <c r="AV226" s="161"/>
      <c r="AW226" s="161"/>
      <c r="AX226" s="161"/>
      <c r="AY226" s="161"/>
      <c r="AZ226" s="161"/>
      <c r="BA226" s="161"/>
      <c r="BB226" s="161"/>
      <c r="BC226" s="161"/>
      <c r="BD226" s="161"/>
      <c r="BE226" s="161"/>
      <c r="BF226" s="161"/>
      <c r="BG226" s="161"/>
      <c r="BH226" s="161"/>
      <c r="BI226" s="161"/>
      <c r="BJ226" s="161"/>
      <c r="BK226" s="161"/>
      <c r="BL226" s="161"/>
      <c r="BM226" s="161"/>
      <c r="BN226" s="161"/>
      <c r="BO226" s="161"/>
      <c r="BP226" s="161"/>
      <c r="BQ226" s="161"/>
      <c r="BR226" s="161"/>
      <c r="BS226" s="161"/>
      <c r="BT226" s="161"/>
      <c r="BU226" s="161"/>
      <c r="BV226" s="161"/>
    </row>
    <row r="227" spans="1:74">
      <c r="A227" s="161"/>
      <c r="B227" s="161"/>
      <c r="C227" s="161"/>
      <c r="D227" s="161"/>
      <c r="E227" s="161"/>
      <c r="F227" s="161"/>
      <c r="G227" s="161"/>
      <c r="H227" s="161"/>
      <c r="I227" s="161"/>
      <c r="J227" s="161"/>
      <c r="K227" s="161"/>
      <c r="L227" s="161"/>
      <c r="M227" s="161"/>
      <c r="N227" s="161"/>
      <c r="O227" s="161"/>
      <c r="P227" s="161"/>
      <c r="Q227" s="161"/>
      <c r="R227" s="161"/>
      <c r="S227" s="161"/>
      <c r="T227" s="161"/>
      <c r="U227" s="161"/>
      <c r="V227" s="161"/>
      <c r="W227" s="161"/>
      <c r="X227" s="161"/>
      <c r="Y227" s="161"/>
      <c r="Z227" s="161"/>
      <c r="AA227" s="161"/>
      <c r="AB227" s="161"/>
      <c r="AC227" s="161"/>
      <c r="AD227" s="161"/>
      <c r="AE227" s="161"/>
      <c r="AF227" s="161"/>
      <c r="AG227" s="161"/>
      <c r="AH227" s="161"/>
      <c r="AI227" s="161"/>
      <c r="AJ227" s="161"/>
      <c r="AK227" s="161"/>
      <c r="AL227" s="161"/>
      <c r="AM227" s="161"/>
      <c r="AN227" s="161"/>
      <c r="AO227" s="161"/>
      <c r="AP227" s="161"/>
      <c r="AQ227" s="161"/>
      <c r="AR227" s="161"/>
      <c r="AS227" s="161"/>
      <c r="AT227" s="161"/>
      <c r="AU227" s="161"/>
      <c r="AV227" s="161"/>
      <c r="AW227" s="161"/>
      <c r="AX227" s="161"/>
      <c r="AY227" s="161"/>
      <c r="AZ227" s="161"/>
      <c r="BA227" s="161"/>
      <c r="BB227" s="161"/>
      <c r="BC227" s="161"/>
      <c r="BD227" s="161"/>
      <c r="BE227" s="161"/>
      <c r="BF227" s="161"/>
      <c r="BG227" s="161"/>
      <c r="BH227" s="161"/>
      <c r="BI227" s="161"/>
      <c r="BJ227" s="161"/>
      <c r="BK227" s="161"/>
      <c r="BL227" s="161"/>
      <c r="BM227" s="161"/>
      <c r="BN227" s="161"/>
      <c r="BO227" s="161"/>
      <c r="BP227" s="161"/>
      <c r="BQ227" s="161"/>
      <c r="BR227" s="161"/>
      <c r="BS227" s="161"/>
      <c r="BT227" s="161"/>
      <c r="BU227" s="161"/>
      <c r="BV227" s="161"/>
    </row>
    <row r="228" spans="1:74">
      <c r="A228" s="161"/>
      <c r="B228" s="161"/>
      <c r="C228" s="161"/>
      <c r="D228" s="161"/>
      <c r="E228" s="161"/>
      <c r="F228" s="161"/>
      <c r="G228" s="161"/>
      <c r="H228" s="161"/>
      <c r="I228" s="161"/>
      <c r="J228" s="161"/>
      <c r="K228" s="161"/>
      <c r="L228" s="161"/>
      <c r="M228" s="161"/>
      <c r="N228" s="161"/>
      <c r="O228" s="161"/>
      <c r="P228" s="161"/>
      <c r="Q228" s="161"/>
      <c r="R228" s="161"/>
      <c r="S228" s="161"/>
      <c r="T228" s="161"/>
      <c r="U228" s="161"/>
      <c r="V228" s="161"/>
      <c r="W228" s="161"/>
      <c r="X228" s="161"/>
      <c r="Y228" s="161"/>
      <c r="Z228" s="161"/>
      <c r="AA228" s="161"/>
      <c r="AB228" s="161"/>
      <c r="AC228" s="161"/>
      <c r="AD228" s="161"/>
      <c r="AE228" s="161"/>
      <c r="AF228" s="161"/>
      <c r="AG228" s="161"/>
      <c r="AH228" s="161"/>
      <c r="AI228" s="161"/>
      <c r="AJ228" s="161"/>
      <c r="AK228" s="161"/>
      <c r="AL228" s="161"/>
      <c r="AM228" s="161"/>
      <c r="AN228" s="161"/>
      <c r="AO228" s="161"/>
      <c r="AP228" s="161"/>
      <c r="AQ228" s="161"/>
      <c r="AR228" s="161"/>
      <c r="AS228" s="161"/>
      <c r="AT228" s="161"/>
      <c r="AU228" s="161"/>
      <c r="AV228" s="161"/>
      <c r="AW228" s="161"/>
      <c r="AX228" s="161"/>
      <c r="AY228" s="161"/>
      <c r="AZ228" s="161"/>
      <c r="BA228" s="161"/>
      <c r="BB228" s="161"/>
      <c r="BC228" s="161"/>
      <c r="BD228" s="161"/>
      <c r="BE228" s="161"/>
      <c r="BF228" s="161"/>
      <c r="BG228" s="161"/>
      <c r="BH228" s="161"/>
      <c r="BI228" s="161"/>
      <c r="BJ228" s="161"/>
      <c r="BK228" s="161"/>
      <c r="BL228" s="161"/>
      <c r="BM228" s="161"/>
      <c r="BN228" s="161"/>
      <c r="BO228" s="161"/>
      <c r="BP228" s="161"/>
      <c r="BQ228" s="161"/>
      <c r="BR228" s="161"/>
      <c r="BS228" s="161"/>
      <c r="BT228" s="161"/>
      <c r="BU228" s="161"/>
      <c r="BV228" s="161"/>
    </row>
    <row r="229" spans="1:74">
      <c r="A229" s="161"/>
      <c r="B229" s="161"/>
      <c r="C229" s="161"/>
      <c r="D229" s="161"/>
      <c r="E229" s="161"/>
      <c r="F229" s="161"/>
      <c r="G229" s="161"/>
      <c r="H229" s="161"/>
      <c r="I229" s="161"/>
      <c r="J229" s="161"/>
      <c r="K229" s="161"/>
      <c r="L229" s="161"/>
      <c r="M229" s="161"/>
      <c r="N229" s="161"/>
      <c r="O229" s="161"/>
      <c r="P229" s="161"/>
      <c r="Q229" s="161"/>
      <c r="R229" s="161"/>
      <c r="S229" s="161"/>
      <c r="T229" s="161"/>
      <c r="U229" s="161"/>
      <c r="V229" s="161"/>
      <c r="W229" s="161"/>
      <c r="X229" s="161"/>
      <c r="Y229" s="161"/>
      <c r="Z229" s="161"/>
      <c r="AA229" s="161"/>
      <c r="AB229" s="161"/>
      <c r="AC229" s="161"/>
      <c r="AD229" s="161"/>
      <c r="AE229" s="161"/>
      <c r="AF229" s="161"/>
      <c r="AG229" s="161"/>
      <c r="AH229" s="161"/>
      <c r="AI229" s="161"/>
      <c r="AJ229" s="161"/>
      <c r="AK229" s="161"/>
      <c r="AL229" s="161"/>
      <c r="AM229" s="161"/>
      <c r="AN229" s="161"/>
      <c r="AO229" s="161"/>
      <c r="AP229" s="161"/>
      <c r="AQ229" s="161"/>
      <c r="AR229" s="161"/>
      <c r="AS229" s="161"/>
      <c r="AT229" s="161"/>
      <c r="AU229" s="161"/>
      <c r="AV229" s="161"/>
      <c r="AW229" s="161"/>
      <c r="AX229" s="161"/>
      <c r="AY229" s="161"/>
      <c r="AZ229" s="161"/>
      <c r="BA229" s="161"/>
      <c r="BB229" s="161"/>
      <c r="BC229" s="161"/>
      <c r="BD229" s="161"/>
      <c r="BE229" s="161"/>
      <c r="BF229" s="161"/>
      <c r="BG229" s="161"/>
      <c r="BH229" s="161"/>
      <c r="BI229" s="161"/>
      <c r="BJ229" s="161"/>
      <c r="BK229" s="161"/>
      <c r="BL229" s="161"/>
      <c r="BM229" s="161"/>
      <c r="BN229" s="161"/>
      <c r="BO229" s="161"/>
      <c r="BP229" s="161"/>
      <c r="BQ229" s="161"/>
      <c r="BR229" s="161"/>
      <c r="BS229" s="161"/>
      <c r="BT229" s="161"/>
      <c r="BU229" s="161"/>
      <c r="BV229" s="161"/>
    </row>
    <row r="230" spans="1:74">
      <c r="A230" s="161"/>
      <c r="B230" s="161"/>
      <c r="C230" s="161"/>
      <c r="D230" s="161"/>
      <c r="E230" s="161"/>
      <c r="F230" s="161"/>
      <c r="G230" s="161"/>
      <c r="H230" s="161"/>
      <c r="I230" s="161"/>
      <c r="J230" s="161"/>
      <c r="K230" s="161"/>
      <c r="L230" s="161"/>
      <c r="M230" s="161"/>
      <c r="N230" s="161"/>
      <c r="O230" s="161"/>
      <c r="P230" s="161"/>
      <c r="Q230" s="161"/>
      <c r="R230" s="161"/>
      <c r="S230" s="161"/>
      <c r="T230" s="161"/>
      <c r="U230" s="161"/>
      <c r="V230" s="161"/>
      <c r="W230" s="161"/>
      <c r="X230" s="161"/>
      <c r="Y230" s="161"/>
      <c r="Z230" s="161"/>
      <c r="AA230" s="161"/>
      <c r="AB230" s="161"/>
      <c r="AC230" s="161"/>
      <c r="AD230" s="161"/>
      <c r="AE230" s="161"/>
      <c r="AF230" s="161"/>
      <c r="AG230" s="161"/>
      <c r="AH230" s="161"/>
      <c r="AI230" s="161"/>
      <c r="AJ230" s="161"/>
      <c r="AK230" s="161"/>
      <c r="AL230" s="161"/>
      <c r="AM230" s="161"/>
      <c r="AN230" s="161"/>
      <c r="AO230" s="161"/>
      <c r="AP230" s="161"/>
      <c r="AQ230" s="161"/>
      <c r="AR230" s="161"/>
      <c r="AS230" s="161"/>
      <c r="AT230" s="161"/>
      <c r="AU230" s="161"/>
      <c r="AV230" s="161"/>
      <c r="AW230" s="161"/>
      <c r="AX230" s="161"/>
      <c r="AY230" s="161"/>
      <c r="AZ230" s="161"/>
      <c r="BA230" s="161"/>
      <c r="BB230" s="161"/>
      <c r="BC230" s="161"/>
      <c r="BD230" s="161"/>
      <c r="BE230" s="161"/>
      <c r="BF230" s="161"/>
      <c r="BG230" s="161"/>
      <c r="BH230" s="161"/>
      <c r="BI230" s="161"/>
      <c r="BJ230" s="161"/>
      <c r="BK230" s="161"/>
      <c r="BL230" s="161"/>
      <c r="BM230" s="161"/>
      <c r="BN230" s="161"/>
      <c r="BO230" s="161"/>
      <c r="BP230" s="161"/>
      <c r="BQ230" s="161"/>
      <c r="BR230" s="161"/>
      <c r="BS230" s="161"/>
      <c r="BT230" s="161"/>
      <c r="BU230" s="161"/>
      <c r="BV230" s="161"/>
    </row>
    <row r="231" spans="1:74">
      <c r="A231" s="161"/>
      <c r="B231" s="161"/>
      <c r="C231" s="161"/>
      <c r="D231" s="161"/>
      <c r="E231" s="161"/>
      <c r="F231" s="161"/>
      <c r="G231" s="161"/>
      <c r="H231" s="161"/>
      <c r="I231" s="161"/>
      <c r="J231" s="161"/>
      <c r="K231" s="161"/>
      <c r="L231" s="161"/>
      <c r="M231" s="161"/>
      <c r="N231" s="161"/>
      <c r="O231" s="161"/>
      <c r="P231" s="161"/>
      <c r="Q231" s="161"/>
      <c r="R231" s="161"/>
      <c r="S231" s="161"/>
      <c r="T231" s="161"/>
      <c r="U231" s="161"/>
      <c r="V231" s="161"/>
      <c r="W231" s="161"/>
      <c r="X231" s="161"/>
      <c r="Y231" s="161"/>
      <c r="Z231" s="161"/>
      <c r="AA231" s="161"/>
      <c r="AB231" s="161"/>
      <c r="AC231" s="161"/>
      <c r="AD231" s="161"/>
      <c r="AE231" s="161"/>
      <c r="AF231" s="161"/>
      <c r="AG231" s="161"/>
      <c r="AH231" s="161"/>
      <c r="AI231" s="161"/>
      <c r="AJ231" s="161"/>
      <c r="AK231" s="161"/>
      <c r="AL231" s="161"/>
      <c r="AM231" s="161"/>
      <c r="AN231" s="161"/>
      <c r="AO231" s="161"/>
      <c r="AP231" s="161"/>
      <c r="AQ231" s="161"/>
      <c r="AR231" s="161"/>
      <c r="AS231" s="161"/>
      <c r="AT231" s="161"/>
      <c r="AU231" s="161"/>
      <c r="AV231" s="161"/>
      <c r="AW231" s="161"/>
      <c r="AX231" s="161"/>
      <c r="AY231" s="161"/>
      <c r="AZ231" s="161"/>
      <c r="BA231" s="161"/>
      <c r="BB231" s="161"/>
      <c r="BC231" s="161"/>
      <c r="BD231" s="161"/>
      <c r="BE231" s="161"/>
      <c r="BF231" s="161"/>
      <c r="BG231" s="161"/>
      <c r="BH231" s="161"/>
      <c r="BI231" s="161"/>
      <c r="BJ231" s="161"/>
      <c r="BK231" s="161"/>
      <c r="BL231" s="161"/>
      <c r="BM231" s="161"/>
      <c r="BN231" s="161"/>
      <c r="BO231" s="161"/>
      <c r="BP231" s="161"/>
      <c r="BQ231" s="161"/>
      <c r="BR231" s="161"/>
      <c r="BS231" s="161"/>
      <c r="BT231" s="161"/>
      <c r="BU231" s="161"/>
      <c r="BV231" s="161"/>
    </row>
    <row r="232" spans="1:74">
      <c r="A232" s="161"/>
      <c r="B232" s="161"/>
      <c r="C232" s="161"/>
      <c r="D232" s="161"/>
      <c r="E232" s="161"/>
      <c r="F232" s="161"/>
      <c r="G232" s="161"/>
      <c r="H232" s="161"/>
      <c r="I232" s="161"/>
      <c r="J232" s="161"/>
      <c r="K232" s="161"/>
      <c r="L232" s="161"/>
      <c r="M232" s="161"/>
      <c r="N232" s="161"/>
      <c r="O232" s="161"/>
      <c r="P232" s="161"/>
      <c r="Q232" s="161"/>
      <c r="R232" s="161"/>
      <c r="S232" s="161"/>
      <c r="T232" s="161"/>
      <c r="U232" s="161"/>
      <c r="V232" s="161"/>
      <c r="W232" s="161"/>
      <c r="X232" s="161"/>
      <c r="Y232" s="161"/>
      <c r="Z232" s="161"/>
      <c r="AA232" s="161"/>
      <c r="AB232" s="161"/>
      <c r="AC232" s="161"/>
      <c r="AD232" s="161"/>
      <c r="AE232" s="161"/>
      <c r="AF232" s="161"/>
      <c r="AG232" s="161"/>
      <c r="AH232" s="161"/>
      <c r="AI232" s="161"/>
      <c r="AJ232" s="161"/>
      <c r="AK232" s="161"/>
      <c r="AL232" s="161"/>
      <c r="AM232" s="161"/>
      <c r="AN232" s="161"/>
      <c r="AO232" s="161"/>
      <c r="AP232" s="161"/>
      <c r="AQ232" s="161"/>
      <c r="AR232" s="161"/>
      <c r="AS232" s="161"/>
      <c r="AT232" s="161"/>
      <c r="AU232" s="161"/>
      <c r="AV232" s="161"/>
      <c r="AW232" s="161"/>
      <c r="AX232" s="161"/>
      <c r="AY232" s="161"/>
      <c r="AZ232" s="161"/>
      <c r="BA232" s="161"/>
      <c r="BB232" s="161"/>
      <c r="BC232" s="161"/>
      <c r="BD232" s="161"/>
      <c r="BE232" s="161"/>
      <c r="BF232" s="161"/>
      <c r="BG232" s="161"/>
      <c r="BH232" s="161"/>
      <c r="BI232" s="161"/>
      <c r="BJ232" s="161"/>
      <c r="BK232" s="161"/>
      <c r="BL232" s="161"/>
      <c r="BM232" s="161"/>
      <c r="BN232" s="161"/>
      <c r="BO232" s="161"/>
      <c r="BP232" s="161"/>
      <c r="BQ232" s="161"/>
      <c r="BR232" s="161"/>
      <c r="BS232" s="161"/>
      <c r="BT232" s="161"/>
      <c r="BU232" s="161"/>
      <c r="BV232" s="161"/>
    </row>
    <row r="233" spans="1:74">
      <c r="A233" s="161"/>
      <c r="B233" s="161"/>
      <c r="C233" s="161"/>
      <c r="D233" s="161"/>
      <c r="E233" s="161"/>
      <c r="F233" s="161"/>
      <c r="G233" s="161"/>
      <c r="H233" s="161"/>
      <c r="I233" s="161"/>
      <c r="J233" s="161"/>
      <c r="K233" s="161"/>
      <c r="L233" s="161"/>
      <c r="M233" s="161"/>
      <c r="N233" s="161"/>
      <c r="O233" s="161"/>
      <c r="P233" s="161"/>
      <c r="Q233" s="161"/>
      <c r="R233" s="161"/>
      <c r="S233" s="161"/>
      <c r="T233" s="161"/>
      <c r="U233" s="161"/>
      <c r="V233" s="161"/>
      <c r="W233" s="161"/>
      <c r="X233" s="161"/>
      <c r="Y233" s="161"/>
      <c r="Z233" s="161"/>
      <c r="AA233" s="161"/>
      <c r="AB233" s="161"/>
      <c r="AC233" s="161"/>
      <c r="AD233" s="161"/>
      <c r="AE233" s="161"/>
      <c r="AF233" s="161"/>
      <c r="AG233" s="161"/>
      <c r="AH233" s="161"/>
      <c r="AI233" s="161"/>
      <c r="AJ233" s="161"/>
      <c r="AK233" s="161"/>
      <c r="AL233" s="161"/>
      <c r="AM233" s="161"/>
      <c r="AN233" s="161"/>
      <c r="AO233" s="161"/>
      <c r="AP233" s="161"/>
      <c r="AQ233" s="161"/>
      <c r="AR233" s="161"/>
      <c r="AS233" s="161"/>
      <c r="AT233" s="161"/>
      <c r="AU233" s="161"/>
      <c r="AV233" s="161"/>
      <c r="AW233" s="161"/>
      <c r="AX233" s="161"/>
      <c r="AY233" s="161"/>
      <c r="AZ233" s="161"/>
      <c r="BA233" s="161"/>
      <c r="BB233" s="161"/>
      <c r="BC233" s="161"/>
      <c r="BD233" s="161"/>
      <c r="BE233" s="161"/>
      <c r="BF233" s="161"/>
      <c r="BG233" s="161"/>
      <c r="BH233" s="161"/>
      <c r="BI233" s="161"/>
      <c r="BJ233" s="161"/>
      <c r="BK233" s="161"/>
      <c r="BL233" s="161"/>
      <c r="BM233" s="161"/>
      <c r="BN233" s="161"/>
      <c r="BO233" s="161"/>
      <c r="BP233" s="161"/>
      <c r="BQ233" s="161"/>
      <c r="BR233" s="161"/>
      <c r="BS233" s="161"/>
      <c r="BT233" s="161"/>
      <c r="BU233" s="161"/>
      <c r="BV233" s="161"/>
    </row>
    <row r="234" spans="1:74">
      <c r="A234" s="161"/>
      <c r="B234" s="161"/>
      <c r="C234" s="161"/>
      <c r="D234" s="161"/>
      <c r="E234" s="161"/>
      <c r="F234" s="161"/>
      <c r="G234" s="161"/>
      <c r="H234" s="161"/>
      <c r="I234" s="161"/>
      <c r="J234" s="161"/>
      <c r="K234" s="161"/>
      <c r="L234" s="161"/>
      <c r="M234" s="161"/>
      <c r="N234" s="161"/>
      <c r="O234" s="161"/>
      <c r="P234" s="161"/>
      <c r="Q234" s="161"/>
      <c r="R234" s="161"/>
      <c r="S234" s="161"/>
      <c r="T234" s="161"/>
      <c r="U234" s="161"/>
      <c r="V234" s="161"/>
      <c r="W234" s="161"/>
      <c r="X234" s="161"/>
      <c r="Y234" s="161"/>
      <c r="Z234" s="161"/>
      <c r="AA234" s="161"/>
      <c r="AB234" s="161"/>
      <c r="AC234" s="161"/>
      <c r="AD234" s="161"/>
      <c r="AE234" s="161"/>
      <c r="AF234" s="161"/>
      <c r="AG234" s="161"/>
      <c r="AH234" s="161"/>
      <c r="AI234" s="161"/>
      <c r="AJ234" s="161"/>
      <c r="AK234" s="161"/>
      <c r="AL234" s="161"/>
      <c r="AM234" s="161"/>
      <c r="AN234" s="161"/>
      <c r="AO234" s="161"/>
      <c r="AP234" s="161"/>
      <c r="AQ234" s="161"/>
      <c r="AR234" s="161"/>
      <c r="AS234" s="161"/>
      <c r="AT234" s="161"/>
      <c r="AU234" s="161"/>
      <c r="AV234" s="161"/>
      <c r="AW234" s="161"/>
      <c r="AX234" s="161"/>
      <c r="AY234" s="161"/>
      <c r="AZ234" s="161"/>
      <c r="BA234" s="161"/>
      <c r="BB234" s="161"/>
      <c r="BC234" s="161"/>
      <c r="BD234" s="161"/>
      <c r="BE234" s="161"/>
      <c r="BF234" s="161"/>
      <c r="BG234" s="161"/>
      <c r="BH234" s="161"/>
      <c r="BI234" s="161"/>
      <c r="BJ234" s="161"/>
      <c r="BK234" s="161"/>
      <c r="BL234" s="161"/>
      <c r="BM234" s="161"/>
      <c r="BN234" s="161"/>
      <c r="BO234" s="161"/>
      <c r="BP234" s="161"/>
      <c r="BQ234" s="161"/>
      <c r="BR234" s="161"/>
      <c r="BS234" s="161"/>
      <c r="BT234" s="161"/>
      <c r="BU234" s="161"/>
      <c r="BV234" s="161"/>
    </row>
    <row r="235" spans="1:74">
      <c r="A235" s="161"/>
      <c r="B235" s="161"/>
      <c r="C235" s="161"/>
      <c r="D235" s="161"/>
      <c r="E235" s="161"/>
      <c r="F235" s="161"/>
      <c r="G235" s="161"/>
      <c r="H235" s="161"/>
      <c r="I235" s="161"/>
      <c r="J235" s="161"/>
      <c r="K235" s="161"/>
      <c r="L235" s="161"/>
      <c r="M235" s="161"/>
      <c r="N235" s="161"/>
      <c r="O235" s="161"/>
      <c r="P235" s="161"/>
      <c r="Q235" s="161"/>
      <c r="R235" s="161"/>
      <c r="S235" s="161"/>
      <c r="T235" s="161"/>
      <c r="U235" s="161"/>
      <c r="V235" s="161"/>
      <c r="W235" s="161"/>
      <c r="X235" s="161"/>
      <c r="Y235" s="161"/>
      <c r="Z235" s="161"/>
      <c r="AA235" s="161"/>
      <c r="AB235" s="161"/>
      <c r="AC235" s="161"/>
      <c r="AD235" s="161"/>
      <c r="AE235" s="161"/>
      <c r="AF235" s="161"/>
      <c r="AG235" s="161"/>
      <c r="AH235" s="161"/>
      <c r="AI235" s="161"/>
      <c r="AJ235" s="161"/>
      <c r="AK235" s="161"/>
      <c r="AL235" s="161"/>
      <c r="AM235" s="161"/>
      <c r="AN235" s="161"/>
      <c r="AO235" s="161"/>
      <c r="AP235" s="161"/>
      <c r="AQ235" s="161"/>
      <c r="AR235" s="161"/>
      <c r="AS235" s="161"/>
      <c r="AT235" s="161"/>
      <c r="AU235" s="161"/>
      <c r="AV235" s="161"/>
      <c r="AW235" s="161"/>
      <c r="AX235" s="161"/>
      <c r="AY235" s="161"/>
      <c r="AZ235" s="161"/>
      <c r="BA235" s="161"/>
      <c r="BB235" s="161"/>
      <c r="BC235" s="161"/>
      <c r="BD235" s="161"/>
      <c r="BE235" s="161"/>
      <c r="BF235" s="161"/>
      <c r="BG235" s="161"/>
      <c r="BH235" s="161"/>
      <c r="BI235" s="161"/>
      <c r="BJ235" s="161"/>
      <c r="BK235" s="161"/>
      <c r="BL235" s="161"/>
      <c r="BM235" s="161"/>
      <c r="BN235" s="161"/>
      <c r="BO235" s="161"/>
      <c r="BP235" s="161"/>
      <c r="BQ235" s="161"/>
      <c r="BR235" s="161"/>
      <c r="BS235" s="161"/>
      <c r="BT235" s="161"/>
      <c r="BU235" s="161"/>
      <c r="BV235" s="161"/>
    </row>
    <row r="236" spans="1:74">
      <c r="A236" s="161"/>
      <c r="B236" s="161"/>
      <c r="C236" s="161"/>
      <c r="D236" s="161"/>
      <c r="E236" s="161"/>
      <c r="F236" s="161"/>
      <c r="G236" s="161"/>
      <c r="H236" s="161"/>
      <c r="I236" s="161"/>
      <c r="J236" s="161"/>
      <c r="K236" s="161"/>
      <c r="L236" s="161"/>
      <c r="M236" s="161"/>
      <c r="N236" s="161"/>
      <c r="O236" s="161"/>
      <c r="P236" s="161"/>
      <c r="Q236" s="161"/>
      <c r="R236" s="161"/>
      <c r="S236" s="161"/>
      <c r="T236" s="161"/>
      <c r="U236" s="161"/>
      <c r="V236" s="161"/>
      <c r="W236" s="161"/>
      <c r="X236" s="161"/>
      <c r="Y236" s="161"/>
      <c r="Z236" s="161"/>
      <c r="AA236" s="161"/>
      <c r="AB236" s="161"/>
      <c r="AC236" s="161"/>
      <c r="AD236" s="161"/>
      <c r="AE236" s="161"/>
      <c r="AF236" s="161"/>
      <c r="AG236" s="161"/>
      <c r="AH236" s="161"/>
      <c r="AI236" s="161"/>
      <c r="AJ236" s="161"/>
      <c r="AK236" s="161"/>
      <c r="AL236" s="161"/>
      <c r="AM236" s="161"/>
      <c r="AN236" s="161"/>
      <c r="AO236" s="161"/>
      <c r="AP236" s="161"/>
      <c r="AQ236" s="161"/>
      <c r="AR236" s="161"/>
      <c r="AS236" s="161"/>
      <c r="AT236" s="161"/>
      <c r="AU236" s="161"/>
      <c r="AV236" s="161"/>
      <c r="AW236" s="161"/>
      <c r="AX236" s="161"/>
      <c r="AY236" s="161"/>
      <c r="AZ236" s="161"/>
      <c r="BA236" s="161"/>
      <c r="BB236" s="161"/>
      <c r="BC236" s="161"/>
      <c r="BD236" s="161"/>
      <c r="BE236" s="161"/>
      <c r="BF236" s="161"/>
      <c r="BG236" s="161"/>
      <c r="BH236" s="161"/>
      <c r="BI236" s="161"/>
      <c r="BJ236" s="161"/>
      <c r="BK236" s="161"/>
      <c r="BL236" s="161"/>
      <c r="BM236" s="161"/>
      <c r="BN236" s="161"/>
      <c r="BO236" s="161"/>
      <c r="BP236" s="161"/>
      <c r="BQ236" s="161"/>
      <c r="BR236" s="161"/>
      <c r="BS236" s="161"/>
      <c r="BT236" s="161"/>
      <c r="BU236" s="161"/>
      <c r="BV236" s="161"/>
    </row>
    <row r="237" spans="1:74">
      <c r="A237" s="161"/>
      <c r="B237" s="161"/>
      <c r="C237" s="161"/>
      <c r="D237" s="161"/>
      <c r="E237" s="161"/>
      <c r="F237" s="161"/>
      <c r="G237" s="161"/>
      <c r="H237" s="161"/>
      <c r="I237" s="161"/>
      <c r="J237" s="161"/>
      <c r="K237" s="161"/>
      <c r="L237" s="161"/>
      <c r="M237" s="161"/>
      <c r="N237" s="161"/>
      <c r="O237" s="161"/>
      <c r="P237" s="161"/>
      <c r="Q237" s="161"/>
      <c r="R237" s="161"/>
      <c r="S237" s="161"/>
      <c r="T237" s="161"/>
      <c r="U237" s="161"/>
      <c r="V237" s="161"/>
      <c r="W237" s="161"/>
      <c r="X237" s="161"/>
      <c r="Y237" s="161"/>
      <c r="Z237" s="161"/>
      <c r="AA237" s="161"/>
      <c r="AB237" s="161"/>
      <c r="AC237" s="161"/>
      <c r="AD237" s="161"/>
      <c r="AE237" s="161"/>
      <c r="AF237" s="161"/>
      <c r="AG237" s="161"/>
      <c r="AH237" s="161"/>
      <c r="AI237" s="161"/>
      <c r="AJ237" s="161"/>
      <c r="AK237" s="161"/>
      <c r="AL237" s="161"/>
      <c r="AM237" s="161"/>
      <c r="AN237" s="161"/>
      <c r="AO237" s="161"/>
      <c r="AP237" s="161"/>
      <c r="AQ237" s="161"/>
      <c r="AR237" s="161"/>
      <c r="AS237" s="161"/>
      <c r="AT237" s="161"/>
      <c r="AU237" s="161"/>
      <c r="AV237" s="161"/>
      <c r="AW237" s="161"/>
      <c r="AX237" s="161"/>
      <c r="AY237" s="161"/>
      <c r="AZ237" s="161"/>
      <c r="BA237" s="161"/>
      <c r="BB237" s="161"/>
      <c r="BC237" s="161"/>
      <c r="BD237" s="161"/>
      <c r="BE237" s="161"/>
      <c r="BF237" s="161"/>
      <c r="BG237" s="161"/>
      <c r="BH237" s="161"/>
      <c r="BI237" s="161"/>
      <c r="BJ237" s="161"/>
      <c r="BK237" s="161"/>
      <c r="BL237" s="161"/>
      <c r="BM237" s="161"/>
      <c r="BN237" s="161"/>
      <c r="BO237" s="161"/>
      <c r="BP237" s="161"/>
      <c r="BQ237" s="161"/>
      <c r="BR237" s="161"/>
      <c r="BS237" s="161"/>
      <c r="BT237" s="161"/>
      <c r="BU237" s="161"/>
      <c r="BV237" s="161"/>
    </row>
    <row r="238" spans="1:74">
      <c r="A238" s="161"/>
      <c r="B238" s="161"/>
      <c r="C238" s="161"/>
      <c r="D238" s="161"/>
      <c r="E238" s="161"/>
      <c r="F238" s="161"/>
      <c r="G238" s="161"/>
      <c r="H238" s="161"/>
      <c r="I238" s="161"/>
      <c r="J238" s="161"/>
      <c r="K238" s="161"/>
      <c r="L238" s="161"/>
      <c r="M238" s="161"/>
      <c r="N238" s="161"/>
      <c r="O238" s="161"/>
      <c r="P238" s="161"/>
      <c r="Q238" s="161"/>
      <c r="R238" s="161"/>
      <c r="S238" s="161"/>
      <c r="T238" s="161"/>
      <c r="U238" s="161"/>
      <c r="V238" s="161"/>
      <c r="W238" s="161"/>
      <c r="X238" s="161"/>
      <c r="Y238" s="161"/>
      <c r="Z238" s="161"/>
      <c r="AA238" s="161"/>
      <c r="AB238" s="161"/>
      <c r="AC238" s="161"/>
      <c r="AD238" s="161"/>
      <c r="AE238" s="161"/>
      <c r="AF238" s="161"/>
      <c r="AG238" s="161"/>
      <c r="AH238" s="161"/>
      <c r="AI238" s="161"/>
      <c r="AJ238" s="161"/>
      <c r="AK238" s="161"/>
      <c r="AL238" s="161"/>
      <c r="AM238" s="161"/>
      <c r="AN238" s="161"/>
      <c r="AO238" s="161"/>
      <c r="AP238" s="161"/>
      <c r="AQ238" s="161"/>
      <c r="AR238" s="161"/>
      <c r="AS238" s="161"/>
      <c r="AT238" s="161"/>
      <c r="AU238" s="161"/>
      <c r="AV238" s="161"/>
      <c r="AW238" s="161"/>
      <c r="AX238" s="161"/>
      <c r="AY238" s="161"/>
      <c r="AZ238" s="161"/>
      <c r="BA238" s="161"/>
      <c r="BB238" s="161"/>
      <c r="BC238" s="161"/>
      <c r="BD238" s="161"/>
      <c r="BE238" s="161"/>
      <c r="BF238" s="161"/>
      <c r="BG238" s="161"/>
      <c r="BH238" s="161"/>
      <c r="BI238" s="161"/>
      <c r="BJ238" s="161"/>
      <c r="BK238" s="161"/>
      <c r="BL238" s="161"/>
      <c r="BM238" s="161"/>
      <c r="BN238" s="161"/>
      <c r="BO238" s="161"/>
      <c r="BP238" s="161"/>
      <c r="BQ238" s="161"/>
      <c r="BR238" s="161"/>
      <c r="BS238" s="161"/>
      <c r="BT238" s="161"/>
      <c r="BU238" s="161"/>
      <c r="BV238" s="161"/>
    </row>
    <row r="239" spans="1:74">
      <c r="A239" s="161"/>
      <c r="B239" s="161"/>
      <c r="C239" s="161"/>
      <c r="D239" s="161"/>
      <c r="E239" s="161"/>
      <c r="F239" s="161"/>
      <c r="G239" s="161"/>
      <c r="H239" s="161"/>
      <c r="I239" s="161"/>
      <c r="J239" s="161"/>
      <c r="K239" s="161"/>
      <c r="L239" s="161"/>
      <c r="M239" s="161"/>
      <c r="N239" s="161"/>
      <c r="O239" s="161"/>
      <c r="P239" s="161"/>
      <c r="Q239" s="161"/>
      <c r="R239" s="161"/>
      <c r="S239" s="161"/>
      <c r="T239" s="161"/>
      <c r="U239" s="161"/>
      <c r="V239" s="161"/>
      <c r="W239" s="161"/>
      <c r="X239" s="161"/>
      <c r="Y239" s="161"/>
      <c r="Z239" s="161"/>
      <c r="AA239" s="161"/>
      <c r="AB239" s="161"/>
      <c r="AC239" s="161"/>
      <c r="AD239" s="161"/>
      <c r="AE239" s="161"/>
      <c r="AF239" s="161"/>
      <c r="AG239" s="161"/>
      <c r="AH239" s="161"/>
      <c r="AI239" s="161"/>
      <c r="AJ239" s="161"/>
      <c r="AK239" s="161"/>
      <c r="AL239" s="161"/>
      <c r="AM239" s="161"/>
      <c r="AN239" s="161"/>
      <c r="AO239" s="161"/>
      <c r="AP239" s="161"/>
      <c r="AQ239" s="161"/>
      <c r="AR239" s="161"/>
      <c r="AS239" s="161"/>
      <c r="AT239" s="161"/>
      <c r="AU239" s="161"/>
      <c r="AV239" s="161"/>
      <c r="AW239" s="161"/>
      <c r="AX239" s="161"/>
      <c r="AY239" s="161"/>
      <c r="AZ239" s="161"/>
      <c r="BA239" s="161"/>
      <c r="BB239" s="161"/>
      <c r="BC239" s="161"/>
      <c r="BD239" s="161"/>
      <c r="BE239" s="161"/>
      <c r="BF239" s="161"/>
      <c r="BG239" s="161"/>
      <c r="BH239" s="161"/>
      <c r="BI239" s="161"/>
      <c r="BJ239" s="161"/>
      <c r="BK239" s="161"/>
      <c r="BL239" s="161"/>
      <c r="BM239" s="161"/>
      <c r="BN239" s="161"/>
      <c r="BO239" s="161"/>
      <c r="BP239" s="161"/>
      <c r="BQ239" s="161"/>
      <c r="BR239" s="161"/>
      <c r="BS239" s="161"/>
      <c r="BT239" s="161"/>
      <c r="BU239" s="161"/>
      <c r="BV239" s="161"/>
    </row>
    <row r="240" spans="1:74">
      <c r="A240" s="161"/>
      <c r="B240" s="161"/>
      <c r="C240" s="161"/>
      <c r="D240" s="161"/>
      <c r="E240" s="161"/>
      <c r="F240" s="161"/>
      <c r="G240" s="161"/>
      <c r="H240" s="161"/>
      <c r="I240" s="161"/>
      <c r="J240" s="161"/>
      <c r="K240" s="161"/>
      <c r="L240" s="161"/>
      <c r="M240" s="161"/>
      <c r="N240" s="161"/>
      <c r="O240" s="161"/>
      <c r="P240" s="161"/>
      <c r="Q240" s="161"/>
      <c r="R240" s="161"/>
      <c r="S240" s="161"/>
      <c r="T240" s="161"/>
      <c r="U240" s="161"/>
      <c r="V240" s="161"/>
      <c r="W240" s="161"/>
      <c r="X240" s="161"/>
      <c r="Y240" s="161"/>
      <c r="Z240" s="161"/>
      <c r="AA240" s="161"/>
      <c r="AB240" s="161"/>
      <c r="AC240" s="161"/>
      <c r="AD240" s="161"/>
      <c r="AE240" s="161"/>
      <c r="AF240" s="161"/>
      <c r="AG240" s="161"/>
      <c r="AH240" s="161"/>
      <c r="AI240" s="161"/>
      <c r="AJ240" s="161"/>
      <c r="AK240" s="161"/>
      <c r="AL240" s="161"/>
      <c r="AM240" s="161"/>
      <c r="AN240" s="161"/>
      <c r="AO240" s="161"/>
      <c r="AP240" s="161"/>
      <c r="AQ240" s="161"/>
      <c r="AR240" s="161"/>
      <c r="AS240" s="161"/>
      <c r="AT240" s="161"/>
      <c r="AU240" s="161"/>
      <c r="AV240" s="161"/>
      <c r="AW240" s="161"/>
      <c r="AX240" s="161"/>
      <c r="AY240" s="161"/>
      <c r="AZ240" s="161"/>
      <c r="BA240" s="161"/>
      <c r="BB240" s="161"/>
      <c r="BC240" s="161"/>
      <c r="BD240" s="161"/>
      <c r="BE240" s="161"/>
      <c r="BF240" s="161"/>
      <c r="BG240" s="161"/>
      <c r="BH240" s="161"/>
      <c r="BI240" s="161"/>
      <c r="BJ240" s="161"/>
      <c r="BK240" s="161"/>
      <c r="BL240" s="161"/>
      <c r="BM240" s="161"/>
      <c r="BN240" s="161"/>
      <c r="BO240" s="161"/>
      <c r="BP240" s="161"/>
      <c r="BQ240" s="161"/>
      <c r="BR240" s="161"/>
      <c r="BS240" s="161"/>
      <c r="BT240" s="161"/>
      <c r="BU240" s="161"/>
      <c r="BV240" s="161"/>
    </row>
    <row r="241" spans="1:74">
      <c r="A241" s="161"/>
      <c r="B241" s="161"/>
      <c r="C241" s="161"/>
      <c r="D241" s="161"/>
      <c r="E241" s="161"/>
      <c r="F241" s="161"/>
      <c r="G241" s="161"/>
      <c r="H241" s="161"/>
      <c r="I241" s="161"/>
      <c r="J241" s="161"/>
      <c r="K241" s="161"/>
      <c r="L241" s="161"/>
      <c r="M241" s="161"/>
      <c r="N241" s="161"/>
      <c r="O241" s="161"/>
      <c r="P241" s="161"/>
      <c r="Q241" s="161"/>
      <c r="R241" s="161"/>
      <c r="S241" s="161"/>
      <c r="T241" s="161"/>
      <c r="U241" s="161"/>
      <c r="V241" s="161"/>
      <c r="W241" s="161"/>
      <c r="X241" s="161"/>
      <c r="Y241" s="161"/>
      <c r="Z241" s="161"/>
      <c r="AA241" s="161"/>
      <c r="AB241" s="161"/>
      <c r="AC241" s="161"/>
      <c r="AD241" s="161"/>
      <c r="AE241" s="161"/>
      <c r="AF241" s="161"/>
      <c r="AG241" s="161"/>
      <c r="AH241" s="161"/>
      <c r="AI241" s="161"/>
      <c r="AJ241" s="161"/>
      <c r="AK241" s="161"/>
      <c r="AL241" s="161"/>
      <c r="AM241" s="161"/>
      <c r="AN241" s="161"/>
      <c r="AO241" s="161"/>
      <c r="AP241" s="161"/>
      <c r="AQ241" s="161"/>
      <c r="AR241" s="161"/>
      <c r="AS241" s="161"/>
      <c r="AT241" s="161"/>
      <c r="AU241" s="161"/>
      <c r="AV241" s="161"/>
      <c r="AW241" s="161"/>
      <c r="AX241" s="161"/>
      <c r="AY241" s="161"/>
      <c r="AZ241" s="161"/>
      <c r="BA241" s="161"/>
      <c r="BB241" s="161"/>
      <c r="BC241" s="161"/>
      <c r="BD241" s="161"/>
      <c r="BE241" s="161"/>
      <c r="BF241" s="161"/>
      <c r="BG241" s="161"/>
      <c r="BH241" s="161"/>
      <c r="BI241" s="161"/>
      <c r="BJ241" s="161"/>
      <c r="BK241" s="161"/>
      <c r="BL241" s="161"/>
      <c r="BM241" s="161"/>
      <c r="BN241" s="161"/>
      <c r="BO241" s="161"/>
      <c r="BP241" s="161"/>
      <c r="BQ241" s="161"/>
      <c r="BR241" s="161"/>
      <c r="BS241" s="161"/>
      <c r="BT241" s="161"/>
      <c r="BU241" s="161"/>
      <c r="BV241" s="161"/>
    </row>
    <row r="242" spans="1:74">
      <c r="A242" s="161"/>
      <c r="B242" s="161"/>
      <c r="C242" s="161"/>
      <c r="D242" s="161"/>
      <c r="E242" s="161"/>
      <c r="F242" s="161"/>
      <c r="G242" s="161"/>
      <c r="H242" s="161"/>
      <c r="I242" s="161"/>
      <c r="J242" s="161"/>
      <c r="K242" s="161"/>
      <c r="L242" s="161"/>
      <c r="M242" s="161"/>
      <c r="N242" s="161"/>
      <c r="O242" s="161"/>
      <c r="P242" s="161"/>
      <c r="Q242" s="161"/>
      <c r="R242" s="161"/>
      <c r="S242" s="161"/>
      <c r="T242" s="161"/>
      <c r="U242" s="161"/>
      <c r="V242" s="161"/>
      <c r="W242" s="161"/>
      <c r="X242" s="161"/>
      <c r="Y242" s="161"/>
      <c r="Z242" s="161"/>
      <c r="AA242" s="161"/>
      <c r="AB242" s="161"/>
      <c r="AC242" s="161"/>
      <c r="AD242" s="161"/>
      <c r="AE242" s="161"/>
      <c r="AF242" s="161"/>
      <c r="AG242" s="161"/>
      <c r="AH242" s="161"/>
      <c r="AI242" s="161"/>
      <c r="AJ242" s="161"/>
      <c r="AK242" s="161"/>
      <c r="AL242" s="161"/>
      <c r="AM242" s="161"/>
      <c r="AN242" s="161"/>
      <c r="AO242" s="161"/>
      <c r="AP242" s="161"/>
      <c r="AQ242" s="161"/>
      <c r="AR242" s="161"/>
      <c r="AS242" s="161"/>
      <c r="AT242" s="161"/>
      <c r="AU242" s="161"/>
      <c r="AV242" s="161"/>
      <c r="AW242" s="161"/>
      <c r="AX242" s="161"/>
      <c r="AY242" s="161"/>
      <c r="AZ242" s="161"/>
      <c r="BA242" s="161"/>
      <c r="BB242" s="161"/>
      <c r="BC242" s="161"/>
      <c r="BD242" s="161"/>
      <c r="BE242" s="161"/>
      <c r="BF242" s="161"/>
      <c r="BG242" s="161"/>
      <c r="BH242" s="161"/>
      <c r="BI242" s="161"/>
      <c r="BJ242" s="161"/>
      <c r="BK242" s="161"/>
      <c r="BL242" s="161"/>
      <c r="BM242" s="161"/>
      <c r="BN242" s="161"/>
      <c r="BO242" s="161"/>
      <c r="BP242" s="161"/>
      <c r="BQ242" s="161"/>
      <c r="BR242" s="161"/>
      <c r="BS242" s="161"/>
      <c r="BT242" s="161"/>
      <c r="BU242" s="161"/>
      <c r="BV242" s="161"/>
    </row>
    <row r="243" spans="1:74">
      <c r="A243" s="161"/>
      <c r="B243" s="161"/>
      <c r="C243" s="161"/>
      <c r="D243" s="161"/>
      <c r="E243" s="161"/>
      <c r="F243" s="161"/>
      <c r="G243" s="161"/>
      <c r="H243" s="161"/>
      <c r="I243" s="161"/>
      <c r="J243" s="161"/>
      <c r="K243" s="161"/>
      <c r="L243" s="161"/>
      <c r="M243" s="161"/>
      <c r="N243" s="161"/>
      <c r="O243" s="161"/>
      <c r="P243" s="161"/>
      <c r="Q243" s="161"/>
      <c r="R243" s="161"/>
      <c r="S243" s="161"/>
      <c r="T243" s="161"/>
      <c r="U243" s="161"/>
      <c r="V243" s="161"/>
      <c r="W243" s="161"/>
      <c r="X243" s="161"/>
      <c r="Y243" s="161"/>
      <c r="Z243" s="161"/>
      <c r="AA243" s="161"/>
      <c r="AB243" s="161"/>
      <c r="AC243" s="161"/>
      <c r="AD243" s="161"/>
      <c r="AE243" s="161"/>
      <c r="AF243" s="161"/>
      <c r="AG243" s="161"/>
      <c r="AH243" s="161"/>
      <c r="AI243" s="161"/>
      <c r="AJ243" s="161"/>
      <c r="AK243" s="161"/>
      <c r="AL243" s="161"/>
      <c r="AM243" s="161"/>
      <c r="AN243" s="161"/>
      <c r="AO243" s="161"/>
      <c r="AP243" s="161"/>
      <c r="AQ243" s="161"/>
      <c r="AR243" s="161"/>
      <c r="AS243" s="161"/>
      <c r="AT243" s="161"/>
      <c r="AU243" s="161"/>
      <c r="AV243" s="161"/>
      <c r="AW243" s="161"/>
      <c r="AX243" s="161"/>
      <c r="AY243" s="161"/>
      <c r="AZ243" s="161"/>
      <c r="BA243" s="161"/>
      <c r="BB243" s="161"/>
      <c r="BC243" s="161"/>
      <c r="BD243" s="161"/>
      <c r="BE243" s="161"/>
      <c r="BF243" s="161"/>
      <c r="BG243" s="161"/>
      <c r="BH243" s="161"/>
      <c r="BI243" s="161"/>
      <c r="BJ243" s="161"/>
      <c r="BK243" s="161"/>
      <c r="BL243" s="161"/>
      <c r="BM243" s="161"/>
      <c r="BN243" s="161"/>
      <c r="BO243" s="161"/>
      <c r="BP243" s="161"/>
      <c r="BQ243" s="161"/>
      <c r="BR243" s="161"/>
      <c r="BS243" s="161"/>
      <c r="BT243" s="161"/>
      <c r="BU243" s="161"/>
      <c r="BV243" s="161"/>
    </row>
    <row r="244" spans="1:74">
      <c r="A244" s="161"/>
      <c r="B244" s="163" t="s">
        <v>383</v>
      </c>
      <c r="C244" s="310" t="str">
        <f>Quarts!AR4</f>
        <v>1Q19</v>
      </c>
      <c r="D244" s="310" t="str">
        <f>Quarts!AS4</f>
        <v>2Q19</v>
      </c>
      <c r="E244" s="310" t="str">
        <f>Quarts!AT4</f>
        <v>3Q19</v>
      </c>
      <c r="F244" s="310" t="str">
        <f>Quarts!AU4</f>
        <v>4Q19</v>
      </c>
      <c r="G244" s="310" t="str">
        <f>Quarts!AV4</f>
        <v>1Q20</v>
      </c>
      <c r="H244" s="310" t="str">
        <f>Quarts!AW4</f>
        <v>2Q20</v>
      </c>
      <c r="I244" s="310" t="str">
        <f>Quarts!AX4</f>
        <v>3Q20</v>
      </c>
      <c r="J244" s="310" t="str">
        <f>Quarts!AY4</f>
        <v>4Q20</v>
      </c>
      <c r="K244" s="310" t="str">
        <f>Quarts!AZ4</f>
        <v>1Q21</v>
      </c>
      <c r="L244" s="310" t="str">
        <f>Quarts!BA4</f>
        <v>2Q21</v>
      </c>
      <c r="M244" s="310" t="str">
        <f>Quarts!BB4</f>
        <v>3Q21</v>
      </c>
      <c r="N244" s="310" t="str">
        <f>Quarts!BC4</f>
        <v>4Q21</v>
      </c>
      <c r="O244" s="310" t="str">
        <f>Quarts!BD4</f>
        <v>1Q22</v>
      </c>
      <c r="P244" s="310" t="str">
        <f>Quarts!BE4</f>
        <v>2Q22</v>
      </c>
      <c r="Q244" s="310" t="str">
        <f>Quarts!BF4</f>
        <v>3Q22</v>
      </c>
      <c r="R244" s="310" t="str">
        <f>Quarts!BG4</f>
        <v>4Q22</v>
      </c>
      <c r="S244" s="310" t="str">
        <f>Quarts!BH4</f>
        <v>1Q23</v>
      </c>
      <c r="T244" s="310" t="str">
        <f>Quarts!BI4</f>
        <v>2Q23</v>
      </c>
      <c r="U244" s="310" t="str">
        <f>Quarts!BJ4</f>
        <v>3Q23</v>
      </c>
      <c r="V244" s="310" t="str">
        <f>Quarts!BK4</f>
        <v>4Q23</v>
      </c>
      <c r="W244" s="310"/>
      <c r="X244" s="310"/>
      <c r="Y244" s="310"/>
      <c r="Z244" s="310"/>
      <c r="AA244" s="310"/>
      <c r="AD244" s="161"/>
      <c r="AE244" s="161"/>
      <c r="AF244" s="161"/>
      <c r="AG244" s="161"/>
      <c r="AH244" s="161"/>
      <c r="AI244" s="161"/>
      <c r="AJ244" s="161"/>
      <c r="AK244" s="161"/>
      <c r="AL244" s="161"/>
      <c r="AM244" s="161"/>
      <c r="AN244" s="161"/>
      <c r="AO244" s="161"/>
      <c r="AP244" s="161"/>
      <c r="AQ244" s="161"/>
      <c r="AR244" s="161"/>
      <c r="AS244" s="161"/>
      <c r="AT244" s="161"/>
      <c r="AU244" s="161"/>
      <c r="AV244" s="161"/>
      <c r="AW244" s="161"/>
      <c r="AX244" s="161"/>
      <c r="AY244" s="161"/>
      <c r="AZ244" s="161"/>
      <c r="BA244" s="161"/>
      <c r="BB244" s="161"/>
      <c r="BC244" s="161"/>
      <c r="BD244" s="161"/>
      <c r="BE244" s="161"/>
      <c r="BF244" s="161"/>
      <c r="BG244" s="161"/>
      <c r="BH244" s="161"/>
      <c r="BI244" s="161"/>
      <c r="BJ244" s="161"/>
      <c r="BK244" s="161"/>
      <c r="BL244" s="161"/>
      <c r="BM244" s="161"/>
      <c r="BN244" s="161"/>
      <c r="BO244" s="161"/>
      <c r="BP244" s="161"/>
      <c r="BQ244" s="161"/>
      <c r="BR244" s="161"/>
      <c r="BS244" s="161"/>
      <c r="BT244" s="161"/>
      <c r="BU244" s="161"/>
      <c r="BV244" s="161"/>
    </row>
    <row r="245" spans="1:74">
      <c r="A245" s="161"/>
      <c r="B245" s="263" t="s">
        <v>724</v>
      </c>
      <c r="C245" s="309">
        <f>Quarts!AR72</f>
        <v>5150.2</v>
      </c>
      <c r="D245" s="309">
        <f>Quarts!AS72</f>
        <v>5345.0529999999999</v>
      </c>
      <c r="E245" s="309">
        <f>Quarts!AT72</f>
        <v>5405.4</v>
      </c>
      <c r="F245" s="309">
        <f>Quarts!AU72</f>
        <v>5624.95</v>
      </c>
      <c r="G245" s="309">
        <f>Quarts!AV72</f>
        <v>5520.0889999999999</v>
      </c>
      <c r="H245" s="309">
        <f>Quarts!AW72</f>
        <v>5460.4750000000004</v>
      </c>
      <c r="I245" s="309">
        <f>Quarts!AX72</f>
        <v>5621.4369999999999</v>
      </c>
      <c r="J245" s="309">
        <f>Quarts!AY72</f>
        <v>5780.8639999999996</v>
      </c>
      <c r="K245" s="309">
        <f>Quarts!AZ72</f>
        <v>5951.9790000000003</v>
      </c>
      <c r="L245" s="309">
        <f>Quarts!BA72</f>
        <v>6063.8</v>
      </c>
      <c r="M245" s="309">
        <f>Quarts!BB72</f>
        <v>6144.9260000000004</v>
      </c>
      <c r="N245" s="309">
        <f>Quarts!BC72</f>
        <v>6473.45</v>
      </c>
      <c r="O245" s="309">
        <f>Quarts!BD72</f>
        <v>6562.4260000000004</v>
      </c>
      <c r="P245" s="309">
        <f>Quarts!BE72</f>
        <v>6681.1859999999997</v>
      </c>
      <c r="Q245" s="309">
        <f>Quarts!BF72</f>
        <v>6736.8850000000002</v>
      </c>
      <c r="R245" s="309">
        <f>Quarts!BG72</f>
        <v>7175.058</v>
      </c>
      <c r="S245" s="309">
        <f>Quarts!BH72</f>
        <v>7152.1880000000001</v>
      </c>
      <c r="T245" s="309">
        <f>Quarts!BI72</f>
        <v>7373.6940000000004</v>
      </c>
      <c r="U245" s="309">
        <f>Quarts!BJ72</f>
        <v>7490.7309999999998</v>
      </c>
      <c r="V245" s="309">
        <f>Quarts!BK72</f>
        <v>7853.9269999999997</v>
      </c>
      <c r="W245" s="309"/>
      <c r="X245" s="309"/>
      <c r="Y245" s="309"/>
      <c r="Z245" s="309"/>
      <c r="AA245" s="309"/>
      <c r="AD245" s="161"/>
      <c r="AE245" s="161"/>
      <c r="AF245" s="161"/>
      <c r="AG245" s="161"/>
      <c r="AH245" s="161"/>
      <c r="AI245" s="161"/>
      <c r="AJ245" s="161"/>
      <c r="AK245" s="161"/>
      <c r="AL245" s="161"/>
      <c r="AM245" s="161"/>
      <c r="AN245" s="161"/>
      <c r="AO245" s="161"/>
      <c r="AP245" s="161"/>
      <c r="AQ245" s="161"/>
      <c r="AR245" s="161"/>
      <c r="AS245" s="161"/>
      <c r="AT245" s="161"/>
      <c r="AU245" s="161"/>
      <c r="AV245" s="161"/>
      <c r="AW245" s="161"/>
      <c r="AX245" s="161"/>
      <c r="AY245" s="161"/>
      <c r="AZ245" s="161"/>
      <c r="BA245" s="161"/>
      <c r="BB245" s="161"/>
      <c r="BC245" s="161"/>
      <c r="BD245" s="161"/>
      <c r="BE245" s="161"/>
      <c r="BF245" s="161"/>
      <c r="BG245" s="161"/>
      <c r="BH245" s="161"/>
      <c r="BI245" s="161"/>
      <c r="BJ245" s="161"/>
      <c r="BK245" s="161"/>
      <c r="BL245" s="161"/>
      <c r="BM245" s="161"/>
      <c r="BN245" s="161"/>
      <c r="BO245" s="161"/>
      <c r="BP245" s="161"/>
      <c r="BQ245" s="161"/>
      <c r="BR245" s="161"/>
      <c r="BS245" s="161"/>
      <c r="BT245" s="161"/>
      <c r="BU245" s="161"/>
      <c r="BV245" s="161"/>
    </row>
    <row r="246" spans="1:74">
      <c r="A246" s="161"/>
      <c r="B246" s="263" t="s">
        <v>36</v>
      </c>
      <c r="C246" s="309">
        <v>9898.1</v>
      </c>
      <c r="D246" s="309">
        <v>10215.700000000001</v>
      </c>
      <c r="E246" s="309">
        <v>10572.1</v>
      </c>
      <c r="F246" s="309">
        <v>11016.1</v>
      </c>
      <c r="G246" s="309">
        <v>10824.7</v>
      </c>
      <c r="H246" s="309">
        <v>11308.8</v>
      </c>
      <c r="I246" s="309">
        <v>11407.9</v>
      </c>
      <c r="J246" s="309">
        <v>11825.699999999995</v>
      </c>
      <c r="K246" s="309">
        <v>11676.5</v>
      </c>
      <c r="L246" s="309">
        <v>11981.6</v>
      </c>
      <c r="M246" s="309">
        <v>12066.6</v>
      </c>
      <c r="N246" s="309">
        <v>12296.2</v>
      </c>
      <c r="O246" s="309">
        <v>11804.5</v>
      </c>
      <c r="P246" s="309">
        <v>11750</v>
      </c>
      <c r="Q246" s="309">
        <v>12394</v>
      </c>
      <c r="R246" s="309">
        <v>12463.3</v>
      </c>
      <c r="S246" s="309">
        <v>12122.7</v>
      </c>
      <c r="T246" s="309">
        <v>12108.248000000001</v>
      </c>
      <c r="U246" s="309">
        <v>12716.57</v>
      </c>
      <c r="V246" s="309">
        <v>12795.606500000009</v>
      </c>
      <c r="W246" s="309"/>
      <c r="X246" s="309"/>
      <c r="Y246" s="309"/>
      <c r="Z246" s="309"/>
      <c r="AA246" s="309"/>
      <c r="AD246" s="161"/>
      <c r="AE246" s="161"/>
      <c r="AF246" s="161"/>
      <c r="AG246" s="161"/>
      <c r="AH246" s="161"/>
      <c r="AI246" s="161"/>
      <c r="AJ246" s="161"/>
      <c r="AK246" s="161"/>
      <c r="AL246" s="161"/>
      <c r="AM246" s="161"/>
      <c r="AN246" s="161"/>
      <c r="AO246" s="161"/>
      <c r="AP246" s="161"/>
      <c r="AQ246" s="161"/>
      <c r="AR246" s="161"/>
      <c r="AS246" s="161"/>
      <c r="AT246" s="161"/>
      <c r="AU246" s="161"/>
      <c r="AV246" s="161"/>
      <c r="AW246" s="161"/>
      <c r="AX246" s="161"/>
      <c r="AY246" s="161"/>
      <c r="AZ246" s="161"/>
      <c r="BA246" s="161"/>
      <c r="BB246" s="161"/>
      <c r="BC246" s="161"/>
      <c r="BD246" s="161"/>
      <c r="BE246" s="161"/>
      <c r="BF246" s="161"/>
      <c r="BG246" s="161"/>
      <c r="BH246" s="161"/>
      <c r="BI246" s="161"/>
      <c r="BJ246" s="161"/>
      <c r="BK246" s="161"/>
      <c r="BL246" s="161"/>
      <c r="BM246" s="161"/>
      <c r="BN246" s="161"/>
      <c r="BO246" s="161"/>
      <c r="BP246" s="161"/>
      <c r="BQ246" s="161"/>
      <c r="BR246" s="161"/>
      <c r="BS246" s="161"/>
      <c r="BT246" s="161"/>
      <c r="BU246" s="161"/>
      <c r="BV246" s="161"/>
    </row>
    <row r="247" spans="1:74">
      <c r="A247" s="161"/>
      <c r="B247" s="163" t="s">
        <v>725</v>
      </c>
      <c r="C247" s="161"/>
      <c r="D247" s="161"/>
      <c r="E247" s="161"/>
      <c r="F247" s="161"/>
      <c r="G247" s="161"/>
      <c r="H247" s="161"/>
      <c r="I247" s="161"/>
      <c r="J247" s="161"/>
      <c r="K247" s="161"/>
      <c r="L247" s="161"/>
      <c r="M247" s="161"/>
      <c r="N247" s="161"/>
      <c r="O247" s="161"/>
      <c r="P247" s="161"/>
      <c r="Q247" s="161"/>
      <c r="R247" s="161"/>
      <c r="S247" s="161"/>
      <c r="T247" s="161"/>
      <c r="U247" s="161"/>
      <c r="V247" s="161"/>
      <c r="W247" s="161"/>
      <c r="X247" s="161"/>
      <c r="Y247" s="161"/>
      <c r="Z247" s="161"/>
      <c r="AA247" s="161"/>
      <c r="AC247" s="161"/>
      <c r="AD247" s="161"/>
      <c r="AE247" s="161"/>
      <c r="AF247" s="161"/>
      <c r="AG247" s="161"/>
      <c r="AH247" s="161"/>
      <c r="AI247" s="161"/>
      <c r="AJ247" s="161"/>
      <c r="AK247" s="161"/>
      <c r="AL247" s="161"/>
      <c r="AM247" s="161"/>
      <c r="AN247" s="161"/>
      <c r="AO247" s="161"/>
      <c r="AP247" s="161"/>
      <c r="AQ247" s="161"/>
      <c r="AR247" s="161"/>
      <c r="AS247" s="161"/>
      <c r="AT247" s="161"/>
      <c r="AU247" s="161"/>
      <c r="AV247" s="161"/>
      <c r="AW247" s="161"/>
      <c r="AX247" s="161"/>
      <c r="AY247" s="161"/>
      <c r="AZ247" s="161"/>
      <c r="BA247" s="161"/>
      <c r="BB247" s="161"/>
      <c r="BC247" s="161"/>
      <c r="BD247" s="161"/>
      <c r="BE247" s="161"/>
      <c r="BF247" s="161"/>
      <c r="BG247" s="161"/>
      <c r="BH247" s="161"/>
      <c r="BI247" s="161"/>
      <c r="BJ247" s="161"/>
      <c r="BK247" s="161"/>
      <c r="BL247" s="161"/>
      <c r="BM247" s="161"/>
      <c r="BN247" s="161"/>
      <c r="BO247" s="161"/>
      <c r="BP247" s="161"/>
      <c r="BQ247" s="161"/>
      <c r="BR247" s="161"/>
      <c r="BS247" s="161"/>
      <c r="BT247" s="161"/>
      <c r="BU247" s="161"/>
      <c r="BV247" s="161"/>
    </row>
    <row r="248" spans="1:74">
      <c r="A248" s="161"/>
      <c r="B248" s="263" t="s">
        <v>724</v>
      </c>
      <c r="C248" s="309">
        <f>Quarts!AR87</f>
        <v>4202.1000000000004</v>
      </c>
      <c r="D248" s="309">
        <f>Quarts!AS87</f>
        <v>4354.26</v>
      </c>
      <c r="E248" s="309">
        <f>Quarts!AT87</f>
        <v>4335</v>
      </c>
      <c r="F248" s="309">
        <f>Quarts!AU87</f>
        <v>4454.3169999999991</v>
      </c>
      <c r="G248" s="309">
        <f>Quarts!AV87</f>
        <v>4560.21</v>
      </c>
      <c r="H248" s="309">
        <f>Quarts!AW87</f>
        <v>4487.7829999999994</v>
      </c>
      <c r="I248" s="309">
        <f>Quarts!AX87</f>
        <v>4646.1129999999994</v>
      </c>
      <c r="J248" s="309">
        <f>Quarts!AY87</f>
        <v>4791.8230000000003</v>
      </c>
      <c r="K248" s="309">
        <f>Quarts!AZ87</f>
        <v>4960.8999999999996</v>
      </c>
      <c r="L248" s="309">
        <f>Quarts!BA87</f>
        <v>5033</v>
      </c>
      <c r="M248" s="309">
        <f>Quarts!BB87</f>
        <v>5101.3719999999994</v>
      </c>
      <c r="N248" s="309">
        <f>Quarts!BC87</f>
        <v>5341.2420000000002</v>
      </c>
      <c r="O248" s="309">
        <f>Quarts!BD87</f>
        <v>5423.3630000000003</v>
      </c>
      <c r="P248" s="309">
        <f>Quarts!BE87</f>
        <v>5499.848</v>
      </c>
      <c r="Q248" s="309">
        <f>Quarts!BF87</f>
        <v>5431.3499999999985</v>
      </c>
      <c r="R248" s="309">
        <f>Quarts!BG87</f>
        <v>5621</v>
      </c>
      <c r="S248" s="309">
        <f>Quarts!BH87</f>
        <v>5818.8560000000007</v>
      </c>
      <c r="T248" s="309">
        <f>Quarts!BI87</f>
        <v>6020.732</v>
      </c>
      <c r="U248" s="309">
        <f>Quarts!BJ87</f>
        <v>6190.4940000000006</v>
      </c>
      <c r="V248" s="309">
        <f>Quarts!BK87</f>
        <v>6437.4740000000002</v>
      </c>
      <c r="W248" s="309"/>
      <c r="X248" s="309"/>
      <c r="Y248" s="309"/>
      <c r="Z248" s="309"/>
      <c r="AA248" s="309"/>
      <c r="AD248" s="309"/>
      <c r="AE248" s="161"/>
      <c r="AF248" s="161"/>
      <c r="AG248" s="161"/>
      <c r="AH248" s="161"/>
      <c r="AI248" s="161"/>
      <c r="AJ248" s="161"/>
      <c r="AK248" s="161"/>
      <c r="AL248" s="161"/>
      <c r="AM248" s="161"/>
      <c r="AN248" s="161"/>
      <c r="AO248" s="161"/>
      <c r="AP248" s="161"/>
      <c r="AQ248" s="161"/>
      <c r="AR248" s="161"/>
      <c r="AS248" s="161"/>
      <c r="AT248" s="161"/>
      <c r="AU248" s="161"/>
      <c r="AV248" s="161"/>
      <c r="AW248" s="161"/>
      <c r="AX248" s="161"/>
      <c r="AY248" s="161"/>
      <c r="AZ248" s="161"/>
      <c r="BA248" s="161"/>
      <c r="BB248" s="161"/>
      <c r="BC248" s="161"/>
      <c r="BD248" s="161"/>
      <c r="BE248" s="161"/>
      <c r="BF248" s="161"/>
      <c r="BG248" s="161"/>
      <c r="BH248" s="161"/>
      <c r="BI248" s="161"/>
      <c r="BJ248" s="161"/>
      <c r="BK248" s="161"/>
      <c r="BL248" s="161"/>
      <c r="BM248" s="161"/>
      <c r="BN248" s="161"/>
      <c r="BO248" s="161"/>
      <c r="BP248" s="161"/>
      <c r="BQ248" s="161"/>
      <c r="BR248" s="161"/>
      <c r="BS248" s="161"/>
      <c r="BT248" s="161"/>
      <c r="BU248" s="161"/>
      <c r="BV248" s="161"/>
    </row>
    <row r="249" spans="1:74">
      <c r="A249" s="161"/>
      <c r="B249" s="263" t="s">
        <v>36</v>
      </c>
      <c r="C249" s="309">
        <v>8874.2000000000007</v>
      </c>
      <c r="D249" s="309">
        <v>9216.7999999999993</v>
      </c>
      <c r="E249" s="309">
        <v>9603.7999999999993</v>
      </c>
      <c r="F249" s="309">
        <v>9800.9</v>
      </c>
      <c r="G249" s="309">
        <v>9755.7999999999993</v>
      </c>
      <c r="H249" s="309">
        <v>9928.9</v>
      </c>
      <c r="I249" s="309">
        <v>10227.4</v>
      </c>
      <c r="J249" s="309">
        <v>10529.4</v>
      </c>
      <c r="K249" s="309">
        <v>10465.4</v>
      </c>
      <c r="L249" s="309">
        <v>10564.7</v>
      </c>
      <c r="M249" s="309">
        <v>10823</v>
      </c>
      <c r="N249" s="309">
        <v>11036.9</v>
      </c>
      <c r="O249" s="309">
        <v>10820.6</v>
      </c>
      <c r="P249" s="309">
        <v>10965.6</v>
      </c>
      <c r="Q249" s="309">
        <v>11034</v>
      </c>
      <c r="R249" s="309">
        <v>11138.2</v>
      </c>
      <c r="S249" s="309">
        <v>11255.2</v>
      </c>
      <c r="T249" s="309">
        <v>11294.568000000001</v>
      </c>
      <c r="U249" s="309">
        <v>11365.02</v>
      </c>
      <c r="V249" s="309">
        <v>11472.346000000001</v>
      </c>
      <c r="W249" s="309"/>
      <c r="X249" s="309"/>
      <c r="Y249" s="309"/>
      <c r="Z249" s="309"/>
      <c r="AA249" s="309"/>
      <c r="AD249" s="161"/>
      <c r="AE249" s="161"/>
      <c r="AF249" s="161"/>
      <c r="AG249" s="161"/>
      <c r="AH249" s="161"/>
      <c r="AI249" s="161"/>
      <c r="AJ249" s="161"/>
      <c r="AK249" s="161"/>
      <c r="AL249" s="161"/>
      <c r="AM249" s="161"/>
      <c r="AN249" s="161"/>
      <c r="AO249" s="161"/>
      <c r="AP249" s="161"/>
      <c r="AQ249" s="161"/>
      <c r="AR249" s="161"/>
      <c r="AS249" s="161"/>
      <c r="AT249" s="161"/>
      <c r="AU249" s="161"/>
      <c r="AV249" s="161"/>
      <c r="AW249" s="161"/>
      <c r="AX249" s="161"/>
      <c r="AY249" s="161"/>
      <c r="AZ249" s="161"/>
      <c r="BA249" s="161"/>
      <c r="BB249" s="161"/>
      <c r="BC249" s="161"/>
      <c r="BD249" s="161"/>
      <c r="BE249" s="161"/>
      <c r="BF249" s="161"/>
      <c r="BG249" s="161"/>
      <c r="BH249" s="161"/>
      <c r="BI249" s="161"/>
      <c r="BJ249" s="161"/>
      <c r="BK249" s="161"/>
      <c r="BL249" s="161"/>
      <c r="BM249" s="161"/>
      <c r="BN249" s="161"/>
      <c r="BO249" s="161"/>
      <c r="BP249" s="161"/>
      <c r="BQ249" s="161"/>
      <c r="BR249" s="161"/>
      <c r="BS249" s="161"/>
      <c r="BT249" s="161"/>
      <c r="BU249" s="161"/>
      <c r="BV249" s="161"/>
    </row>
    <row r="250" spans="1:74">
      <c r="A250" s="161"/>
      <c r="B250" s="161"/>
      <c r="C250" s="161"/>
      <c r="D250" s="161"/>
      <c r="E250" s="161"/>
      <c r="F250" s="161"/>
      <c r="G250" s="161"/>
      <c r="H250" s="161"/>
      <c r="I250" s="161"/>
      <c r="J250" s="161"/>
      <c r="K250" s="161"/>
      <c r="L250" s="161"/>
      <c r="M250" s="161"/>
      <c r="N250" s="161"/>
      <c r="O250" s="161"/>
      <c r="P250" s="161"/>
      <c r="Q250" s="161"/>
      <c r="R250" s="161"/>
      <c r="S250" s="161"/>
      <c r="T250" s="161"/>
      <c r="U250" s="161"/>
      <c r="V250" s="161"/>
      <c r="W250" s="161"/>
      <c r="X250" s="161"/>
      <c r="Y250" s="161"/>
      <c r="Z250" s="161"/>
      <c r="AA250" s="161"/>
      <c r="AD250" s="161"/>
      <c r="AE250" s="161"/>
      <c r="AF250" s="161"/>
      <c r="AG250" s="161"/>
      <c r="AH250" s="161"/>
      <c r="AI250" s="161"/>
      <c r="AJ250" s="161"/>
      <c r="AK250" s="161"/>
      <c r="AL250" s="161"/>
      <c r="AM250" s="161"/>
      <c r="AN250" s="161"/>
      <c r="AO250" s="161"/>
      <c r="AP250" s="161"/>
      <c r="AQ250" s="161"/>
      <c r="AR250" s="161"/>
      <c r="AS250" s="161"/>
      <c r="AT250" s="161"/>
      <c r="AU250" s="161"/>
      <c r="AV250" s="161"/>
      <c r="AW250" s="161"/>
      <c r="AX250" s="161"/>
      <c r="AY250" s="161"/>
      <c r="AZ250" s="161"/>
      <c r="BA250" s="161"/>
      <c r="BB250" s="161"/>
      <c r="BC250" s="161"/>
      <c r="BD250" s="161"/>
      <c r="BE250" s="161"/>
      <c r="BF250" s="161"/>
      <c r="BG250" s="161"/>
      <c r="BH250" s="161"/>
      <c r="BI250" s="161"/>
      <c r="BJ250" s="161"/>
      <c r="BK250" s="161"/>
      <c r="BL250" s="161"/>
      <c r="BM250" s="161"/>
      <c r="BN250" s="161"/>
      <c r="BO250" s="161"/>
      <c r="BP250" s="161"/>
      <c r="BQ250" s="161"/>
      <c r="BR250" s="161"/>
      <c r="BS250" s="161"/>
      <c r="BT250" s="161"/>
      <c r="BU250" s="161"/>
      <c r="BV250" s="161"/>
    </row>
    <row r="251" spans="1:74">
      <c r="A251" s="161"/>
      <c r="B251" s="161"/>
      <c r="C251" s="161"/>
      <c r="D251" s="161"/>
      <c r="E251" s="161"/>
      <c r="F251" s="161"/>
      <c r="G251" s="161"/>
      <c r="H251" s="161"/>
      <c r="I251" s="161"/>
      <c r="J251" s="161"/>
      <c r="K251" s="161"/>
      <c r="L251" s="161"/>
      <c r="M251" s="161"/>
      <c r="N251" s="161"/>
      <c r="O251" s="161"/>
      <c r="P251" s="161"/>
      <c r="Q251" s="161"/>
      <c r="R251" s="161"/>
      <c r="S251" s="161"/>
      <c r="T251" s="161"/>
      <c r="U251" s="161"/>
      <c r="V251" s="161"/>
      <c r="W251" s="161"/>
      <c r="X251" s="161"/>
      <c r="Y251" s="161"/>
      <c r="Z251" s="161"/>
      <c r="AA251" s="161"/>
      <c r="AD251" s="161"/>
      <c r="AE251" s="161"/>
      <c r="AF251" s="161"/>
      <c r="AG251" s="161"/>
      <c r="AH251" s="161"/>
      <c r="AI251" s="161"/>
      <c r="AJ251" s="161"/>
      <c r="AK251" s="161"/>
      <c r="AL251" s="161"/>
      <c r="AM251" s="161"/>
      <c r="AN251" s="161"/>
      <c r="AO251" s="161"/>
      <c r="AP251" s="161"/>
      <c r="AQ251" s="161"/>
      <c r="AR251" s="161"/>
      <c r="AS251" s="161"/>
      <c r="AT251" s="161"/>
      <c r="AU251" s="161"/>
      <c r="AV251" s="161"/>
      <c r="AW251" s="161"/>
      <c r="AX251" s="161"/>
      <c r="AY251" s="161"/>
      <c r="AZ251" s="161"/>
      <c r="BA251" s="161"/>
      <c r="BB251" s="161"/>
      <c r="BC251" s="161"/>
      <c r="BD251" s="161"/>
      <c r="BE251" s="161"/>
      <c r="BF251" s="161"/>
      <c r="BG251" s="161"/>
      <c r="BH251" s="161"/>
      <c r="BI251" s="161"/>
      <c r="BJ251" s="161"/>
      <c r="BK251" s="161"/>
      <c r="BL251" s="161"/>
      <c r="BM251" s="161"/>
      <c r="BN251" s="161"/>
      <c r="BO251" s="161"/>
      <c r="BP251" s="161"/>
      <c r="BQ251" s="161"/>
      <c r="BR251" s="161"/>
      <c r="BS251" s="161"/>
      <c r="BT251" s="161"/>
      <c r="BU251" s="161"/>
      <c r="BV251" s="161"/>
    </row>
    <row r="252" spans="1:74">
      <c r="A252" s="161"/>
      <c r="B252" s="163" t="s">
        <v>726</v>
      </c>
      <c r="C252" s="310" t="str">
        <f>C244</f>
        <v>1Q19</v>
      </c>
      <c r="D252" s="310" t="str">
        <f t="shared" ref="D252:T252" si="96">D244</f>
        <v>2Q19</v>
      </c>
      <c r="E252" s="310" t="str">
        <f t="shared" si="96"/>
        <v>3Q19</v>
      </c>
      <c r="F252" s="310" t="str">
        <f t="shared" si="96"/>
        <v>4Q19</v>
      </c>
      <c r="G252" s="310" t="str">
        <f t="shared" si="96"/>
        <v>1Q20</v>
      </c>
      <c r="H252" s="310" t="str">
        <f t="shared" si="96"/>
        <v>2Q20</v>
      </c>
      <c r="I252" s="310" t="str">
        <f t="shared" si="96"/>
        <v>3Q20</v>
      </c>
      <c r="J252" s="310" t="str">
        <f t="shared" si="96"/>
        <v>4Q20</v>
      </c>
      <c r="K252" s="310" t="str">
        <f t="shared" si="96"/>
        <v>1Q21</v>
      </c>
      <c r="L252" s="310" t="str">
        <f t="shared" si="96"/>
        <v>2Q21</v>
      </c>
      <c r="M252" s="310" t="str">
        <f t="shared" si="96"/>
        <v>3Q21</v>
      </c>
      <c r="N252" s="310" t="str">
        <f t="shared" si="96"/>
        <v>4Q21</v>
      </c>
      <c r="O252" s="310" t="str">
        <f t="shared" si="96"/>
        <v>1Q22</v>
      </c>
      <c r="P252" s="310" t="str">
        <f t="shared" si="96"/>
        <v>2Q22</v>
      </c>
      <c r="Q252" s="310" t="str">
        <f t="shared" si="96"/>
        <v>3Q22</v>
      </c>
      <c r="R252" s="310" t="str">
        <f t="shared" si="96"/>
        <v>4Q22</v>
      </c>
      <c r="S252" s="310" t="str">
        <f t="shared" si="96"/>
        <v>1Q23</v>
      </c>
      <c r="T252" s="310" t="str">
        <f t="shared" si="96"/>
        <v>2Q23</v>
      </c>
      <c r="U252" s="310" t="str">
        <f>U244</f>
        <v>3Q23</v>
      </c>
      <c r="V252" s="310" t="str">
        <f>V244</f>
        <v>4Q23</v>
      </c>
      <c r="W252" s="310"/>
      <c r="X252" s="310"/>
      <c r="Y252" s="310"/>
      <c r="Z252" s="310"/>
      <c r="AA252" s="310"/>
      <c r="AD252" s="161"/>
      <c r="AE252" s="161"/>
      <c r="AF252" s="161"/>
      <c r="AG252" s="161"/>
      <c r="AH252" s="161"/>
      <c r="AI252" s="161"/>
      <c r="AJ252" s="161"/>
      <c r="AK252" s="161"/>
      <c r="AL252" s="161"/>
      <c r="AM252" s="161"/>
      <c r="AN252" s="161"/>
      <c r="AO252" s="161"/>
      <c r="AP252" s="161"/>
      <c r="AQ252" s="161"/>
      <c r="AR252" s="161"/>
      <c r="AS252" s="161"/>
      <c r="AT252" s="161"/>
      <c r="AU252" s="161"/>
      <c r="AV252" s="161"/>
      <c r="AW252" s="161"/>
      <c r="AX252" s="161"/>
      <c r="AY252" s="161"/>
      <c r="AZ252" s="161"/>
      <c r="BA252" s="161"/>
      <c r="BB252" s="161"/>
      <c r="BC252" s="161"/>
      <c r="BD252" s="161"/>
      <c r="BE252" s="161"/>
      <c r="BF252" s="161"/>
      <c r="BG252" s="161"/>
      <c r="BH252" s="161"/>
      <c r="BI252" s="161"/>
      <c r="BJ252" s="161"/>
      <c r="BK252" s="161"/>
      <c r="BL252" s="161"/>
      <c r="BM252" s="161"/>
      <c r="BN252" s="161"/>
      <c r="BO252" s="161"/>
      <c r="BP252" s="161"/>
      <c r="BQ252" s="161"/>
      <c r="BR252" s="161"/>
      <c r="BS252" s="161"/>
      <c r="BT252" s="161"/>
      <c r="BU252" s="161"/>
      <c r="BV252" s="161"/>
    </row>
    <row r="253" spans="1:74">
      <c r="A253" s="161"/>
      <c r="B253" s="263" t="s">
        <v>724</v>
      </c>
      <c r="C253" s="311"/>
      <c r="D253" s="311"/>
      <c r="E253" s="311"/>
      <c r="F253" s="311"/>
      <c r="G253" s="312">
        <f>G245/C245-1</f>
        <v>7.182031765756669E-2</v>
      </c>
      <c r="H253" s="312">
        <f t="shared" ref="H253:T253" si="97">H245/D245-1</f>
        <v>2.1594173154129814E-2</v>
      </c>
      <c r="I253" s="312">
        <f t="shared" si="97"/>
        <v>3.9966884966885052E-2</v>
      </c>
      <c r="J253" s="312">
        <f t="shared" si="97"/>
        <v>2.7718290829251702E-2</v>
      </c>
      <c r="K253" s="312">
        <f t="shared" si="97"/>
        <v>7.8239680555875157E-2</v>
      </c>
      <c r="L253" s="312">
        <f t="shared" si="97"/>
        <v>0.11048947206973758</v>
      </c>
      <c r="M253" s="312">
        <f t="shared" si="97"/>
        <v>9.3123697730669308E-2</v>
      </c>
      <c r="N253" s="312">
        <f t="shared" si="97"/>
        <v>0.1198066586586366</v>
      </c>
      <c r="O253" s="312">
        <f t="shared" si="97"/>
        <v>0.10256202180820861</v>
      </c>
      <c r="P253" s="312">
        <f t="shared" si="97"/>
        <v>0.10181503347735732</v>
      </c>
      <c r="Q253" s="312">
        <f t="shared" si="97"/>
        <v>9.6332974554941719E-2</v>
      </c>
      <c r="R253" s="312">
        <f t="shared" si="97"/>
        <v>0.10838239269632122</v>
      </c>
      <c r="S253" s="312">
        <f t="shared" si="97"/>
        <v>8.9869508623792393E-2</v>
      </c>
      <c r="T253" s="312">
        <f t="shared" si="97"/>
        <v>0.10365045966389808</v>
      </c>
      <c r="U253" s="312">
        <f>U245/Q245-1</f>
        <v>0.11189830314752292</v>
      </c>
      <c r="V253" s="312">
        <f>V245/R245-1</f>
        <v>9.461512366868674E-2</v>
      </c>
      <c r="W253" s="312"/>
      <c r="X253" s="312"/>
      <c r="Y253" s="312"/>
      <c r="Z253" s="312"/>
      <c r="AA253" s="312"/>
      <c r="AD253" s="161"/>
      <c r="AE253" s="161"/>
      <c r="AF253" s="161"/>
      <c r="AG253" s="161"/>
      <c r="AH253" s="161"/>
      <c r="AI253" s="161"/>
      <c r="AJ253" s="161"/>
      <c r="AK253" s="161"/>
      <c r="AL253" s="161"/>
      <c r="AM253" s="161"/>
      <c r="AN253" s="161"/>
      <c r="AO253" s="161"/>
      <c r="AP253" s="161"/>
      <c r="AQ253" s="161"/>
      <c r="AR253" s="161"/>
      <c r="AS253" s="161"/>
      <c r="AT253" s="161"/>
      <c r="AU253" s="161"/>
      <c r="AV253" s="161"/>
      <c r="AW253" s="161"/>
      <c r="AX253" s="161"/>
      <c r="AY253" s="161"/>
      <c r="AZ253" s="161"/>
      <c r="BA253" s="161"/>
      <c r="BB253" s="161"/>
      <c r="BC253" s="161"/>
      <c r="BD253" s="161"/>
      <c r="BE253" s="161"/>
      <c r="BF253" s="161"/>
      <c r="BG253" s="161"/>
      <c r="BH253" s="161"/>
      <c r="BI253" s="161"/>
      <c r="BJ253" s="161"/>
      <c r="BK253" s="161"/>
      <c r="BL253" s="161"/>
      <c r="BM253" s="161"/>
      <c r="BN253" s="161"/>
      <c r="BO253" s="161"/>
      <c r="BP253" s="161"/>
      <c r="BQ253" s="161"/>
      <c r="BR253" s="161"/>
      <c r="BS253" s="161"/>
      <c r="BT253" s="161"/>
      <c r="BU253" s="161"/>
      <c r="BV253" s="161"/>
    </row>
    <row r="254" spans="1:74">
      <c r="A254" s="161"/>
      <c r="B254" s="263" t="s">
        <v>727</v>
      </c>
      <c r="C254" s="161"/>
      <c r="D254" s="161"/>
      <c r="E254" s="161"/>
      <c r="F254" s="161"/>
      <c r="G254" s="312">
        <f>G248/C248-1</f>
        <v>8.5221674876847286E-2</v>
      </c>
      <c r="H254" s="312">
        <f t="shared" ref="H254:T254" si="98">H248/D248-1</f>
        <v>3.0664912063128824E-2</v>
      </c>
      <c r="I254" s="312">
        <f t="shared" si="98"/>
        <v>7.1767704728950221E-2</v>
      </c>
      <c r="J254" s="312">
        <f t="shared" si="98"/>
        <v>7.5770539007439686E-2</v>
      </c>
      <c r="K254" s="312">
        <f t="shared" si="98"/>
        <v>8.7866567548424257E-2</v>
      </c>
      <c r="L254" s="312">
        <f t="shared" si="98"/>
        <v>0.12148916291184331</v>
      </c>
      <c r="M254" s="312">
        <f t="shared" si="98"/>
        <v>9.7987070051890779E-2</v>
      </c>
      <c r="N254" s="312">
        <f t="shared" si="98"/>
        <v>0.1146576156923993</v>
      </c>
      <c r="O254" s="312">
        <f t="shared" si="98"/>
        <v>9.3221592856135072E-2</v>
      </c>
      <c r="P254" s="312">
        <f t="shared" si="98"/>
        <v>9.275740115239417E-2</v>
      </c>
      <c r="Q254" s="312">
        <f t="shared" si="98"/>
        <v>6.4684167318125319E-2</v>
      </c>
      <c r="R254" s="312">
        <f t="shared" si="98"/>
        <v>5.2376956520599371E-2</v>
      </c>
      <c r="S254" s="312">
        <f t="shared" si="98"/>
        <v>7.2923940366890427E-2</v>
      </c>
      <c r="T254" s="312">
        <f t="shared" si="98"/>
        <v>9.4708799224996865E-2</v>
      </c>
      <c r="U254" s="312">
        <f>U248/Q248-1</f>
        <v>0.13977077522163039</v>
      </c>
      <c r="V254" s="312">
        <f>V248/R248-1</f>
        <v>0.14525422522682807</v>
      </c>
      <c r="W254" s="312"/>
      <c r="X254" s="312"/>
      <c r="Y254" s="312"/>
      <c r="Z254" s="312"/>
      <c r="AA254" s="312"/>
      <c r="AD254" s="161"/>
      <c r="AE254" s="161"/>
      <c r="AF254" s="161"/>
      <c r="AG254" s="161"/>
      <c r="AH254" s="161"/>
      <c r="AI254" s="161"/>
      <c r="AJ254" s="161"/>
      <c r="AK254" s="161"/>
      <c r="AL254" s="161"/>
      <c r="AM254" s="161"/>
      <c r="AN254" s="161"/>
      <c r="AO254" s="161"/>
      <c r="AP254" s="161"/>
      <c r="AQ254" s="161"/>
      <c r="AR254" s="161"/>
      <c r="AS254" s="161"/>
      <c r="AT254" s="161"/>
      <c r="AU254" s="161"/>
      <c r="AV254" s="161"/>
      <c r="AW254" s="161"/>
      <c r="AX254" s="161"/>
      <c r="AY254" s="161"/>
      <c r="AZ254" s="161"/>
      <c r="BA254" s="161"/>
      <c r="BB254" s="161"/>
      <c r="BC254" s="161"/>
      <c r="BD254" s="161"/>
      <c r="BE254" s="161"/>
      <c r="BF254" s="161"/>
      <c r="BG254" s="161"/>
      <c r="BH254" s="161"/>
      <c r="BI254" s="161"/>
      <c r="BJ254" s="161"/>
      <c r="BK254" s="161"/>
      <c r="BL254" s="161"/>
      <c r="BM254" s="161"/>
      <c r="BN254" s="161"/>
      <c r="BO254" s="161"/>
      <c r="BP254" s="161"/>
      <c r="BQ254" s="161"/>
      <c r="BR254" s="161"/>
      <c r="BS254" s="161"/>
      <c r="BT254" s="161"/>
      <c r="BU254" s="161"/>
      <c r="BV254" s="161"/>
    </row>
    <row r="255" spans="1:74">
      <c r="A255" s="161"/>
      <c r="B255" s="263" t="s">
        <v>728</v>
      </c>
      <c r="C255" s="311"/>
      <c r="D255" s="311"/>
      <c r="E255" s="311"/>
      <c r="F255" s="311"/>
      <c r="G255" s="312">
        <f>G246/C246-1</f>
        <v>9.3613925904971751E-2</v>
      </c>
      <c r="H255" s="312">
        <f t="shared" ref="H255:T255" si="99">H246/D246-1</f>
        <v>0.10700196755973623</v>
      </c>
      <c r="I255" s="312">
        <f t="shared" si="99"/>
        <v>7.9057140965371087E-2</v>
      </c>
      <c r="J255" s="312">
        <f t="shared" si="99"/>
        <v>7.3492433801435553E-2</v>
      </c>
      <c r="K255" s="312">
        <f t="shared" si="99"/>
        <v>7.8690402505381174E-2</v>
      </c>
      <c r="L255" s="312">
        <f t="shared" si="99"/>
        <v>5.9493491794001319E-2</v>
      </c>
      <c r="M255" s="312">
        <f t="shared" si="99"/>
        <v>5.7740688470270696E-2</v>
      </c>
      <c r="N255" s="312">
        <f t="shared" si="99"/>
        <v>3.9786228299382387E-2</v>
      </c>
      <c r="O255" s="312">
        <f t="shared" si="99"/>
        <v>1.0962189012118317E-2</v>
      </c>
      <c r="P255" s="312">
        <f t="shared" si="99"/>
        <v>-1.9329638779461922E-2</v>
      </c>
      <c r="Q255" s="312">
        <f t="shared" si="99"/>
        <v>2.7132746589760171E-2</v>
      </c>
      <c r="R255" s="312">
        <f t="shared" si="99"/>
        <v>1.3589564255623632E-2</v>
      </c>
      <c r="S255" s="312">
        <f t="shared" si="99"/>
        <v>2.695582193231405E-2</v>
      </c>
      <c r="T255" s="312">
        <f t="shared" si="99"/>
        <v>3.0489191489361911E-2</v>
      </c>
      <c r="U255" s="312">
        <f>U246/Q246-1</f>
        <v>2.6026303049862864E-2</v>
      </c>
      <c r="V255" s="312">
        <f>V246/R246-1</f>
        <v>2.6662801986633511E-2</v>
      </c>
      <c r="W255" s="312"/>
      <c r="X255" s="312"/>
      <c r="Y255" s="312"/>
      <c r="Z255" s="312"/>
      <c r="AA255" s="312"/>
      <c r="AD255" s="161"/>
      <c r="AE255" s="161"/>
      <c r="AF255" s="161"/>
      <c r="AG255" s="161"/>
      <c r="AH255" s="161"/>
      <c r="AI255" s="161"/>
      <c r="AJ255" s="161"/>
      <c r="AK255" s="161"/>
      <c r="AL255" s="161"/>
      <c r="AM255" s="161"/>
      <c r="AN255" s="161"/>
      <c r="AO255" s="161"/>
      <c r="AP255" s="161"/>
      <c r="AQ255" s="161"/>
      <c r="AR255" s="161"/>
      <c r="AS255" s="161"/>
      <c r="AT255" s="161"/>
      <c r="AU255" s="161"/>
      <c r="AV255" s="161"/>
      <c r="AW255" s="161"/>
      <c r="AX255" s="161"/>
      <c r="AY255" s="161"/>
      <c r="AZ255" s="161"/>
      <c r="BA255" s="161"/>
      <c r="BB255" s="161"/>
      <c r="BC255" s="161"/>
      <c r="BD255" s="161"/>
      <c r="BE255" s="161"/>
      <c r="BF255" s="161"/>
      <c r="BG255" s="161"/>
      <c r="BH255" s="161"/>
      <c r="BI255" s="161"/>
      <c r="BJ255" s="161"/>
      <c r="BK255" s="161"/>
      <c r="BL255" s="161"/>
      <c r="BM255" s="161"/>
      <c r="BN255" s="161"/>
      <c r="BO255" s="161"/>
      <c r="BP255" s="161"/>
      <c r="BQ255" s="161"/>
      <c r="BR255" s="161"/>
      <c r="BS255" s="161"/>
      <c r="BT255" s="161"/>
      <c r="BU255" s="161"/>
      <c r="BV255" s="161"/>
    </row>
    <row r="256" spans="1:74">
      <c r="A256" s="161"/>
      <c r="B256" s="263" t="s">
        <v>729</v>
      </c>
      <c r="C256" s="161"/>
      <c r="D256" s="161"/>
      <c r="E256" s="161"/>
      <c r="F256" s="161"/>
      <c r="G256" s="312">
        <f>G249/C249-1</f>
        <v>9.9344166234702769E-2</v>
      </c>
      <c r="H256" s="312">
        <f t="shared" ref="H256:T256" si="100">H249/D249-1</f>
        <v>7.7261088447183379E-2</v>
      </c>
      <c r="I256" s="312">
        <f t="shared" si="100"/>
        <v>6.4932630833628435E-2</v>
      </c>
      <c r="J256" s="312">
        <f t="shared" si="100"/>
        <v>7.4329908477792861E-2</v>
      </c>
      <c r="K256" s="312">
        <f t="shared" si="100"/>
        <v>7.2736218454662938E-2</v>
      </c>
      <c r="L256" s="312">
        <f t="shared" si="100"/>
        <v>6.4035290918430077E-2</v>
      </c>
      <c r="M256" s="312">
        <f t="shared" si="100"/>
        <v>5.823571973326569E-2</v>
      </c>
      <c r="N256" s="312">
        <f t="shared" si="100"/>
        <v>4.8198377875282583E-2</v>
      </c>
      <c r="O256" s="312">
        <f t="shared" si="100"/>
        <v>3.3940413171020811E-2</v>
      </c>
      <c r="P256" s="312">
        <f t="shared" si="100"/>
        <v>3.7947125805749327E-2</v>
      </c>
      <c r="Q256" s="312">
        <f t="shared" si="100"/>
        <v>1.9495518802550071E-2</v>
      </c>
      <c r="R256" s="312">
        <f t="shared" si="100"/>
        <v>9.1783018782449766E-3</v>
      </c>
      <c r="S256" s="312">
        <f t="shared" si="100"/>
        <v>4.0164131379036405E-2</v>
      </c>
      <c r="T256" s="312">
        <f t="shared" si="100"/>
        <v>3.0000000000000027E-2</v>
      </c>
      <c r="U256" s="312">
        <f>U249/Q249-1</f>
        <v>3.0000000000000027E-2</v>
      </c>
      <c r="V256" s="312">
        <f>V249/R249-1</f>
        <v>3.0000000000000027E-2</v>
      </c>
      <c r="W256" s="312"/>
      <c r="X256" s="312"/>
      <c r="Y256" s="312"/>
      <c r="Z256" s="312"/>
      <c r="AA256" s="312"/>
      <c r="AD256" s="161"/>
      <c r="AE256" s="161"/>
      <c r="AF256" s="161"/>
      <c r="AG256" s="161"/>
      <c r="AH256" s="161"/>
      <c r="AI256" s="161"/>
      <c r="AJ256" s="161"/>
      <c r="AK256" s="161"/>
      <c r="AL256" s="161"/>
      <c r="AM256" s="161"/>
      <c r="AN256" s="161"/>
      <c r="AO256" s="161"/>
      <c r="AP256" s="161"/>
      <c r="AQ256" s="161"/>
      <c r="AR256" s="161"/>
      <c r="AS256" s="161"/>
      <c r="AT256" s="161"/>
      <c r="AU256" s="161"/>
      <c r="AV256" s="161"/>
      <c r="AW256" s="161"/>
      <c r="AX256" s="161"/>
      <c r="AY256" s="161"/>
      <c r="AZ256" s="161"/>
      <c r="BA256" s="161"/>
      <c r="BB256" s="161"/>
      <c r="BC256" s="161"/>
      <c r="BD256" s="161"/>
      <c r="BE256" s="161"/>
      <c r="BF256" s="161"/>
      <c r="BG256" s="161"/>
      <c r="BH256" s="161"/>
      <c r="BI256" s="161"/>
      <c r="BJ256" s="161"/>
      <c r="BK256" s="161"/>
      <c r="BL256" s="161"/>
      <c r="BM256" s="161"/>
      <c r="BN256" s="161"/>
      <c r="BO256" s="161"/>
      <c r="BP256" s="161"/>
      <c r="BQ256" s="161"/>
      <c r="BR256" s="161"/>
      <c r="BS256" s="161"/>
      <c r="BT256" s="161"/>
      <c r="BU256" s="161"/>
      <c r="BV256" s="161"/>
    </row>
    <row r="257" spans="1:74">
      <c r="A257" s="161"/>
      <c r="B257" s="161"/>
      <c r="C257" s="161"/>
      <c r="D257" s="161"/>
      <c r="E257" s="161"/>
      <c r="F257" s="161"/>
      <c r="G257" s="161"/>
      <c r="H257" s="161"/>
      <c r="I257" s="161"/>
      <c r="J257" s="161"/>
      <c r="K257" s="161"/>
      <c r="L257" s="161"/>
      <c r="M257" s="161"/>
      <c r="N257" s="161"/>
      <c r="O257" s="161"/>
      <c r="P257" s="161"/>
      <c r="Q257" s="161"/>
      <c r="R257" s="161"/>
      <c r="S257" s="161"/>
      <c r="T257" s="161"/>
      <c r="U257" s="161"/>
      <c r="V257" s="161"/>
      <c r="W257" s="161"/>
      <c r="X257" s="161"/>
      <c r="Y257" s="161"/>
      <c r="Z257" s="161"/>
      <c r="AA257" s="161"/>
      <c r="AC257" s="161"/>
      <c r="AD257" s="161"/>
      <c r="AE257" s="161"/>
      <c r="AF257" s="161"/>
      <c r="AG257" s="161"/>
      <c r="AH257" s="161"/>
      <c r="AI257" s="161"/>
      <c r="AJ257" s="161"/>
      <c r="AK257" s="161"/>
      <c r="AL257" s="161"/>
      <c r="AM257" s="161"/>
      <c r="AN257" s="161"/>
      <c r="AO257" s="161"/>
      <c r="AP257" s="161"/>
      <c r="AQ257" s="161"/>
      <c r="AR257" s="161"/>
      <c r="AS257" s="161"/>
      <c r="AT257" s="161"/>
      <c r="AU257" s="161"/>
      <c r="AV257" s="161"/>
      <c r="AW257" s="161"/>
      <c r="AX257" s="161"/>
      <c r="AY257" s="161"/>
      <c r="AZ257" s="161"/>
      <c r="BA257" s="161"/>
      <c r="BB257" s="161"/>
      <c r="BC257" s="161"/>
      <c r="BD257" s="161"/>
      <c r="BE257" s="161"/>
      <c r="BF257" s="161"/>
      <c r="BG257" s="161"/>
      <c r="BH257" s="161"/>
      <c r="BI257" s="161"/>
      <c r="BJ257" s="161"/>
      <c r="BK257" s="161"/>
      <c r="BL257" s="161"/>
      <c r="BM257" s="161"/>
      <c r="BN257" s="161"/>
      <c r="BO257" s="161"/>
      <c r="BP257" s="161"/>
      <c r="BQ257" s="161"/>
      <c r="BR257" s="161"/>
      <c r="BS257" s="161"/>
      <c r="BT257" s="161"/>
      <c r="BU257" s="161"/>
      <c r="BV257" s="161"/>
    </row>
    <row r="258" spans="1:74">
      <c r="A258" s="161"/>
      <c r="B258" s="161"/>
      <c r="C258" s="161"/>
      <c r="D258" s="161"/>
      <c r="E258" s="161"/>
      <c r="F258" s="161"/>
      <c r="G258" s="161"/>
      <c r="H258" s="161"/>
      <c r="I258" s="161"/>
      <c r="J258" s="161"/>
      <c r="K258" s="161"/>
      <c r="L258" s="161"/>
      <c r="M258" s="161"/>
      <c r="N258" s="161"/>
      <c r="O258" s="161"/>
      <c r="P258" s="161"/>
      <c r="Q258" s="161"/>
      <c r="R258" s="161"/>
      <c r="S258" s="161"/>
      <c r="T258" s="161"/>
      <c r="U258" s="161"/>
      <c r="V258" s="161"/>
      <c r="W258" s="161"/>
      <c r="X258" s="161"/>
      <c r="Y258" s="161"/>
      <c r="Z258" s="161"/>
      <c r="AA258" s="161"/>
      <c r="AC258" s="161"/>
      <c r="AD258" s="161"/>
      <c r="AE258" s="161"/>
      <c r="AF258" s="161"/>
      <c r="AG258" s="161"/>
      <c r="AH258" s="161"/>
      <c r="AI258" s="161"/>
      <c r="AJ258" s="161"/>
      <c r="AK258" s="161"/>
      <c r="AL258" s="161"/>
      <c r="AM258" s="161"/>
      <c r="AN258" s="161"/>
      <c r="AO258" s="161"/>
      <c r="AP258" s="161"/>
      <c r="AQ258" s="161"/>
      <c r="AR258" s="161"/>
      <c r="AS258" s="161"/>
      <c r="AT258" s="161"/>
      <c r="AU258" s="161"/>
      <c r="AV258" s="161"/>
      <c r="AW258" s="161"/>
      <c r="AX258" s="161"/>
      <c r="AY258" s="161"/>
      <c r="AZ258" s="161"/>
      <c r="BA258" s="161"/>
      <c r="BB258" s="161"/>
      <c r="BC258" s="161"/>
      <c r="BD258" s="161"/>
      <c r="BE258" s="161"/>
      <c r="BF258" s="161"/>
      <c r="BG258" s="161"/>
      <c r="BH258" s="161"/>
      <c r="BI258" s="161"/>
      <c r="BJ258" s="161"/>
      <c r="BK258" s="161"/>
      <c r="BL258" s="161"/>
      <c r="BM258" s="161"/>
      <c r="BN258" s="161"/>
      <c r="BO258" s="161"/>
      <c r="BP258" s="161"/>
      <c r="BQ258" s="161"/>
      <c r="BR258" s="161"/>
      <c r="BS258" s="161"/>
      <c r="BT258" s="161"/>
      <c r="BU258" s="161"/>
      <c r="BV258" s="161"/>
    </row>
    <row r="259" spans="1:74">
      <c r="A259" s="161"/>
      <c r="B259" s="161"/>
      <c r="C259" s="161"/>
      <c r="D259" s="161"/>
      <c r="E259" s="161"/>
      <c r="F259" s="161"/>
      <c r="G259" s="161"/>
      <c r="H259" s="161"/>
      <c r="I259" s="161"/>
      <c r="J259" s="161"/>
      <c r="K259" s="161"/>
      <c r="L259" s="161"/>
      <c r="M259" s="161"/>
      <c r="N259" s="161"/>
      <c r="O259" s="161"/>
      <c r="P259" s="161"/>
      <c r="Q259" s="161"/>
      <c r="R259" s="161"/>
      <c r="S259" s="161"/>
      <c r="T259" s="161"/>
      <c r="U259" s="161"/>
      <c r="V259" s="161"/>
      <c r="W259" s="161"/>
      <c r="X259" s="161"/>
      <c r="Y259" s="161"/>
      <c r="Z259" s="161"/>
      <c r="AA259" s="161"/>
      <c r="AC259" s="161"/>
      <c r="AD259" s="161"/>
      <c r="AE259" s="161"/>
      <c r="AF259" s="161"/>
      <c r="AG259" s="161"/>
      <c r="AH259" s="161"/>
      <c r="AI259" s="161"/>
      <c r="AJ259" s="161"/>
      <c r="AK259" s="161"/>
      <c r="AL259" s="161"/>
      <c r="AM259" s="161"/>
      <c r="AN259" s="161"/>
      <c r="AO259" s="161"/>
      <c r="AP259" s="161"/>
      <c r="AQ259" s="161"/>
      <c r="AR259" s="161"/>
      <c r="AS259" s="161"/>
      <c r="AT259" s="161"/>
      <c r="AU259" s="161"/>
      <c r="AV259" s="161"/>
      <c r="AW259" s="161"/>
      <c r="AX259" s="161"/>
      <c r="AY259" s="161"/>
      <c r="AZ259" s="161"/>
      <c r="BA259" s="161"/>
      <c r="BB259" s="161"/>
      <c r="BC259" s="161"/>
      <c r="BD259" s="161"/>
      <c r="BE259" s="161"/>
      <c r="BF259" s="161"/>
      <c r="BG259" s="161"/>
      <c r="BH259" s="161"/>
      <c r="BI259" s="161"/>
      <c r="BJ259" s="161"/>
      <c r="BK259" s="161"/>
      <c r="BL259" s="161"/>
      <c r="BM259" s="161"/>
      <c r="BN259" s="161"/>
      <c r="BO259" s="161"/>
      <c r="BP259" s="161"/>
      <c r="BQ259" s="161"/>
      <c r="BR259" s="161"/>
      <c r="BS259" s="161"/>
      <c r="BT259" s="161"/>
      <c r="BU259" s="161"/>
      <c r="BV259" s="161"/>
    </row>
    <row r="260" spans="1:74">
      <c r="A260" s="161"/>
      <c r="B260" s="161"/>
      <c r="C260" s="161"/>
      <c r="D260" s="161"/>
      <c r="E260" s="161"/>
      <c r="F260" s="161"/>
      <c r="G260" s="161"/>
      <c r="H260" s="161"/>
      <c r="I260" s="161"/>
      <c r="J260" s="161"/>
      <c r="K260" s="161"/>
      <c r="L260" s="161"/>
      <c r="M260" s="161"/>
      <c r="N260" s="161"/>
      <c r="O260" s="161"/>
      <c r="P260" s="161"/>
      <c r="Q260" s="161"/>
      <c r="R260" s="161"/>
      <c r="S260" s="161"/>
      <c r="T260" s="161"/>
      <c r="U260" s="161"/>
      <c r="V260" s="161"/>
      <c r="W260" s="161"/>
      <c r="X260" s="161"/>
      <c r="Y260" s="161"/>
      <c r="Z260" s="161"/>
      <c r="AA260" s="161"/>
      <c r="AB260" s="161"/>
      <c r="AC260" s="161"/>
      <c r="AD260" s="161"/>
      <c r="AE260" s="161"/>
      <c r="AF260" s="161"/>
      <c r="AG260" s="161"/>
      <c r="AH260" s="161"/>
      <c r="AI260" s="161"/>
      <c r="AJ260" s="161"/>
      <c r="AK260" s="161"/>
      <c r="AL260" s="161"/>
      <c r="AM260" s="161"/>
      <c r="AN260" s="161"/>
      <c r="AO260" s="161"/>
      <c r="AP260" s="161"/>
      <c r="AQ260" s="161"/>
      <c r="AR260" s="161"/>
      <c r="AS260" s="161"/>
      <c r="AT260" s="161"/>
      <c r="AU260" s="161"/>
      <c r="AV260" s="161"/>
      <c r="AW260" s="161"/>
      <c r="AX260" s="161"/>
      <c r="AY260" s="161"/>
      <c r="AZ260" s="161"/>
      <c r="BA260" s="161"/>
      <c r="BB260" s="161"/>
      <c r="BC260" s="161"/>
      <c r="BD260" s="161"/>
      <c r="BE260" s="161"/>
      <c r="BF260" s="161"/>
      <c r="BG260" s="161"/>
      <c r="BH260" s="161"/>
      <c r="BI260" s="161"/>
      <c r="BJ260" s="161"/>
      <c r="BK260" s="161"/>
      <c r="BL260" s="161"/>
      <c r="BM260" s="161"/>
      <c r="BN260" s="161"/>
      <c r="BO260" s="161"/>
      <c r="BP260" s="161"/>
      <c r="BQ260" s="161"/>
      <c r="BR260" s="161"/>
      <c r="BS260" s="161"/>
      <c r="BT260" s="161"/>
      <c r="BU260" s="161"/>
      <c r="BV260" s="161"/>
    </row>
    <row r="261" spans="1:74">
      <c r="A261" s="161"/>
      <c r="B261" s="161"/>
      <c r="C261" s="161"/>
      <c r="D261" s="161"/>
      <c r="E261" s="161"/>
      <c r="F261" s="161"/>
      <c r="G261" s="161"/>
      <c r="H261" s="161"/>
      <c r="I261" s="161"/>
      <c r="J261" s="161"/>
      <c r="K261" s="161"/>
      <c r="L261" s="161"/>
      <c r="M261" s="161"/>
      <c r="N261" s="161"/>
      <c r="O261" s="161"/>
      <c r="P261" s="161"/>
      <c r="Q261" s="161"/>
      <c r="R261" s="161"/>
      <c r="S261" s="161"/>
      <c r="T261" s="161"/>
      <c r="U261" s="161"/>
      <c r="V261" s="161"/>
      <c r="W261" s="161"/>
      <c r="X261" s="161"/>
      <c r="Y261" s="161"/>
      <c r="Z261" s="161"/>
      <c r="AA261" s="161"/>
      <c r="AB261" s="161"/>
      <c r="AC261" s="161"/>
      <c r="AD261" s="161"/>
      <c r="AE261" s="161"/>
      <c r="AF261" s="161"/>
      <c r="AG261" s="161"/>
      <c r="AH261" s="161"/>
      <c r="AI261" s="161"/>
      <c r="AJ261" s="161"/>
      <c r="AK261" s="161"/>
      <c r="AL261" s="161"/>
      <c r="AM261" s="161"/>
      <c r="AN261" s="161"/>
      <c r="AO261" s="161"/>
      <c r="AP261" s="161"/>
      <c r="AQ261" s="161"/>
      <c r="AR261" s="161"/>
      <c r="AS261" s="161"/>
      <c r="AT261" s="161"/>
      <c r="AU261" s="161"/>
      <c r="AV261" s="161"/>
      <c r="AW261" s="161"/>
      <c r="AX261" s="161"/>
      <c r="AY261" s="161"/>
      <c r="AZ261" s="161"/>
      <c r="BA261" s="161"/>
      <c r="BB261" s="161"/>
      <c r="BC261" s="161"/>
      <c r="BD261" s="161"/>
      <c r="BE261" s="161"/>
      <c r="BF261" s="161"/>
      <c r="BG261" s="161"/>
      <c r="BH261" s="161"/>
      <c r="BI261" s="161"/>
      <c r="BJ261" s="161"/>
      <c r="BK261" s="161"/>
      <c r="BL261" s="161"/>
      <c r="BM261" s="161"/>
      <c r="BN261" s="161"/>
      <c r="BO261" s="161"/>
      <c r="BP261" s="161"/>
      <c r="BQ261" s="161"/>
      <c r="BR261" s="161"/>
      <c r="BS261" s="161"/>
      <c r="BT261" s="161"/>
      <c r="BU261" s="161"/>
      <c r="BV261" s="161"/>
    </row>
    <row r="262" spans="1:74">
      <c r="A262" s="161"/>
      <c r="B262" s="161"/>
      <c r="C262" s="161"/>
      <c r="D262" s="161"/>
      <c r="E262" s="161"/>
      <c r="F262" s="161"/>
      <c r="G262" s="161"/>
      <c r="H262" s="161"/>
      <c r="I262" s="161"/>
      <c r="J262" s="161"/>
      <c r="K262" s="161"/>
      <c r="L262" s="161"/>
      <c r="M262" s="161"/>
      <c r="N262" s="161"/>
      <c r="O262" s="161"/>
      <c r="P262" s="161"/>
      <c r="Q262" s="161"/>
      <c r="R262" s="161"/>
      <c r="S262" s="161"/>
      <c r="T262" s="161"/>
      <c r="U262" s="161"/>
      <c r="V262" s="161"/>
      <c r="W262" s="161"/>
      <c r="X262" s="161"/>
      <c r="Y262" s="161"/>
      <c r="Z262" s="161"/>
      <c r="AA262" s="161"/>
      <c r="AB262" s="161"/>
      <c r="AC262" s="161"/>
      <c r="AD262" s="161"/>
      <c r="AE262" s="161"/>
      <c r="AF262" s="161"/>
      <c r="AG262" s="161"/>
      <c r="AH262" s="161"/>
      <c r="AI262" s="161"/>
      <c r="AJ262" s="161"/>
      <c r="AK262" s="161"/>
      <c r="AL262" s="161"/>
      <c r="AM262" s="161"/>
      <c r="AN262" s="161"/>
      <c r="AO262" s="161"/>
      <c r="AP262" s="161"/>
      <c r="AQ262" s="161"/>
      <c r="AR262" s="161"/>
      <c r="AS262" s="161"/>
      <c r="AT262" s="161"/>
      <c r="AU262" s="161"/>
      <c r="AV262" s="161"/>
      <c r="AW262" s="161"/>
      <c r="AX262" s="161"/>
      <c r="AY262" s="161"/>
      <c r="AZ262" s="161"/>
      <c r="BA262" s="161"/>
      <c r="BB262" s="161"/>
      <c r="BC262" s="161"/>
      <c r="BD262" s="161"/>
      <c r="BE262" s="161"/>
      <c r="BF262" s="161"/>
      <c r="BG262" s="161"/>
      <c r="BH262" s="161"/>
      <c r="BI262" s="161"/>
      <c r="BJ262" s="161"/>
      <c r="BK262" s="161"/>
      <c r="BL262" s="161"/>
      <c r="BM262" s="161"/>
      <c r="BN262" s="161"/>
      <c r="BO262" s="161"/>
      <c r="BP262" s="161"/>
      <c r="BQ262" s="161"/>
      <c r="BR262" s="161"/>
      <c r="BS262" s="161"/>
      <c r="BT262" s="161"/>
      <c r="BU262" s="161"/>
      <c r="BV262" s="161"/>
    </row>
    <row r="263" spans="1:74">
      <c r="A263" s="161"/>
      <c r="B263" s="161"/>
      <c r="C263" s="161"/>
      <c r="D263" s="161"/>
      <c r="E263" s="161"/>
      <c r="F263" s="161"/>
      <c r="G263" s="161"/>
      <c r="H263" s="161"/>
      <c r="I263" s="161"/>
      <c r="J263" s="161"/>
      <c r="K263" s="161"/>
      <c r="L263" s="161"/>
      <c r="M263" s="161"/>
      <c r="N263" s="161"/>
      <c r="O263" s="161"/>
      <c r="P263" s="161"/>
      <c r="Q263" s="161"/>
      <c r="R263" s="161"/>
      <c r="S263" s="161"/>
      <c r="T263" s="161"/>
      <c r="U263" s="161"/>
      <c r="V263" s="161"/>
      <c r="W263" s="161"/>
      <c r="X263" s="161"/>
      <c r="Y263" s="161"/>
      <c r="Z263" s="161"/>
      <c r="AA263" s="161"/>
      <c r="AB263" s="161"/>
      <c r="AC263" s="161"/>
      <c r="AD263" s="161"/>
      <c r="AE263" s="161"/>
      <c r="AF263" s="161"/>
      <c r="AG263" s="161"/>
      <c r="AH263" s="161"/>
      <c r="AI263" s="161"/>
      <c r="AJ263" s="161"/>
      <c r="AK263" s="161"/>
      <c r="AL263" s="161"/>
      <c r="AM263" s="161"/>
      <c r="AN263" s="161"/>
      <c r="AO263" s="161"/>
      <c r="AP263" s="161"/>
      <c r="AQ263" s="161"/>
      <c r="AR263" s="161"/>
      <c r="AS263" s="161"/>
      <c r="AT263" s="161"/>
      <c r="AU263" s="161"/>
      <c r="AV263" s="161"/>
      <c r="AW263" s="161"/>
      <c r="AX263" s="161"/>
      <c r="AY263" s="161"/>
      <c r="AZ263" s="161"/>
      <c r="BA263" s="161"/>
      <c r="BB263" s="161"/>
      <c r="BC263" s="161"/>
      <c r="BD263" s="161"/>
      <c r="BE263" s="161"/>
      <c r="BF263" s="161"/>
      <c r="BG263" s="161"/>
      <c r="BH263" s="161"/>
      <c r="BI263" s="161"/>
      <c r="BJ263" s="161"/>
      <c r="BK263" s="161"/>
      <c r="BL263" s="161"/>
      <c r="BM263" s="161"/>
      <c r="BN263" s="161"/>
      <c r="BO263" s="161"/>
      <c r="BP263" s="161"/>
      <c r="BQ263" s="161"/>
      <c r="BR263" s="161"/>
      <c r="BS263" s="161"/>
      <c r="BT263" s="161"/>
      <c r="BU263" s="161"/>
      <c r="BV263" s="161"/>
    </row>
    <row r="264" spans="1:74">
      <c r="A264" s="161"/>
      <c r="B264" s="161"/>
      <c r="C264" s="161"/>
      <c r="D264" s="161"/>
      <c r="E264" s="161"/>
      <c r="F264" s="161"/>
      <c r="G264" s="161"/>
      <c r="H264" s="161"/>
      <c r="I264" s="161"/>
      <c r="J264" s="161"/>
      <c r="K264" s="161"/>
      <c r="L264" s="161"/>
      <c r="M264" s="161"/>
      <c r="N264" s="161"/>
      <c r="O264" s="161"/>
      <c r="P264" s="161"/>
      <c r="Q264" s="161"/>
      <c r="R264" s="161"/>
      <c r="S264" s="161"/>
      <c r="T264" s="161"/>
      <c r="U264" s="161"/>
      <c r="V264" s="161"/>
      <c r="W264" s="161"/>
      <c r="X264" s="161"/>
      <c r="Y264" s="161"/>
      <c r="Z264" s="161"/>
      <c r="AA264" s="161"/>
      <c r="AB264" s="161"/>
      <c r="AC264" s="161"/>
      <c r="AD264" s="161"/>
      <c r="AE264" s="161"/>
      <c r="AF264" s="161"/>
      <c r="AG264" s="161"/>
      <c r="AH264" s="161"/>
      <c r="AI264" s="161"/>
      <c r="AJ264" s="161"/>
      <c r="AK264" s="161"/>
      <c r="AL264" s="161"/>
      <c r="AM264" s="161"/>
      <c r="AN264" s="161"/>
      <c r="AO264" s="161"/>
      <c r="AP264" s="161"/>
      <c r="AQ264" s="161"/>
      <c r="AR264" s="161"/>
      <c r="AS264" s="161"/>
      <c r="AT264" s="161"/>
      <c r="AU264" s="161"/>
      <c r="AV264" s="161"/>
      <c r="AW264" s="161"/>
      <c r="AX264" s="161"/>
      <c r="AY264" s="161"/>
      <c r="AZ264" s="161"/>
      <c r="BA264" s="161"/>
      <c r="BB264" s="161"/>
      <c r="BC264" s="161"/>
      <c r="BD264" s="161"/>
      <c r="BE264" s="161"/>
      <c r="BF264" s="161"/>
      <c r="BG264" s="161"/>
      <c r="BH264" s="161"/>
      <c r="BI264" s="161"/>
      <c r="BJ264" s="161"/>
      <c r="BK264" s="161"/>
      <c r="BL264" s="161"/>
      <c r="BM264" s="161"/>
      <c r="BN264" s="161"/>
      <c r="BO264" s="161"/>
      <c r="BP264" s="161"/>
      <c r="BQ264" s="161"/>
      <c r="BR264" s="161"/>
      <c r="BS264" s="161"/>
      <c r="BT264" s="161"/>
      <c r="BU264" s="161"/>
      <c r="BV264" s="161"/>
    </row>
    <row r="265" spans="1:74">
      <c r="A265" s="161"/>
      <c r="B265" s="161"/>
      <c r="C265" s="161"/>
      <c r="D265" s="161"/>
      <c r="E265" s="161"/>
      <c r="F265" s="161"/>
      <c r="G265" s="161"/>
      <c r="H265" s="161"/>
      <c r="I265" s="161"/>
      <c r="J265" s="161"/>
      <c r="K265" s="161"/>
      <c r="L265" s="161"/>
      <c r="M265" s="161"/>
      <c r="N265" s="161"/>
      <c r="O265" s="161"/>
      <c r="P265" s="161"/>
      <c r="Q265" s="161"/>
      <c r="R265" s="161"/>
      <c r="S265" s="161"/>
      <c r="T265" s="161"/>
      <c r="U265" s="161"/>
      <c r="V265" s="161"/>
      <c r="W265" s="161"/>
      <c r="X265" s="161"/>
      <c r="Y265" s="161"/>
      <c r="Z265" s="161"/>
      <c r="AA265" s="161"/>
      <c r="AB265" s="161"/>
      <c r="AC265" s="161"/>
      <c r="AD265" s="161"/>
      <c r="AE265" s="161"/>
      <c r="AF265" s="161"/>
      <c r="AG265" s="161"/>
      <c r="AH265" s="161"/>
      <c r="AI265" s="161"/>
      <c r="AJ265" s="161"/>
      <c r="AK265" s="161"/>
      <c r="AL265" s="161"/>
      <c r="AM265" s="161"/>
      <c r="AN265" s="161"/>
      <c r="AO265" s="161"/>
      <c r="AP265" s="161"/>
      <c r="AQ265" s="161"/>
      <c r="AR265" s="161"/>
      <c r="AS265" s="161"/>
      <c r="AT265" s="161"/>
      <c r="AU265" s="161"/>
      <c r="AV265" s="161"/>
      <c r="AW265" s="161"/>
      <c r="AX265" s="161"/>
      <c r="AY265" s="161"/>
      <c r="AZ265" s="161"/>
      <c r="BA265" s="161"/>
      <c r="BB265" s="161"/>
      <c r="BC265" s="161"/>
      <c r="BD265" s="161"/>
      <c r="BE265" s="161"/>
      <c r="BF265" s="161"/>
      <c r="BG265" s="161"/>
      <c r="BH265" s="161"/>
      <c r="BI265" s="161"/>
      <c r="BJ265" s="161"/>
      <c r="BK265" s="161"/>
      <c r="BL265" s="161"/>
      <c r="BM265" s="161"/>
      <c r="BN265" s="161"/>
      <c r="BO265" s="161"/>
      <c r="BP265" s="161"/>
      <c r="BQ265" s="161"/>
      <c r="BR265" s="161"/>
      <c r="BS265" s="161"/>
      <c r="BT265" s="161"/>
      <c r="BU265" s="161"/>
      <c r="BV265" s="161"/>
    </row>
    <row r="266" spans="1:74">
      <c r="A266" s="161"/>
      <c r="B266" s="161"/>
      <c r="C266" s="161"/>
      <c r="D266" s="161"/>
      <c r="E266" s="161"/>
      <c r="F266" s="161"/>
      <c r="G266" s="161"/>
      <c r="H266" s="161"/>
      <c r="I266" s="161"/>
      <c r="J266" s="161"/>
      <c r="K266" s="161"/>
      <c r="L266" s="161"/>
      <c r="M266" s="161"/>
      <c r="N266" s="161"/>
      <c r="O266" s="161"/>
      <c r="P266" s="161"/>
      <c r="Q266" s="161"/>
      <c r="R266" s="161"/>
      <c r="S266" s="161"/>
      <c r="T266" s="161"/>
      <c r="U266" s="161"/>
      <c r="V266" s="161"/>
      <c r="W266" s="161"/>
      <c r="X266" s="161"/>
      <c r="Y266" s="161"/>
      <c r="Z266" s="161"/>
      <c r="AA266" s="161"/>
      <c r="AB266" s="161"/>
      <c r="AC266" s="161"/>
      <c r="AD266" s="161"/>
      <c r="AE266" s="161"/>
      <c r="AF266" s="161"/>
      <c r="AG266" s="161"/>
      <c r="AH266" s="161"/>
      <c r="AI266" s="161"/>
      <c r="AJ266" s="161"/>
      <c r="AK266" s="161"/>
      <c r="AL266" s="161"/>
      <c r="AM266" s="161"/>
      <c r="AN266" s="161"/>
      <c r="AO266" s="161"/>
      <c r="AP266" s="161"/>
      <c r="AQ266" s="161"/>
      <c r="AR266" s="161"/>
      <c r="AS266" s="161"/>
      <c r="AT266" s="161"/>
      <c r="AU266" s="161"/>
      <c r="AV266" s="161"/>
      <c r="AW266" s="161"/>
      <c r="AX266" s="161"/>
      <c r="AY266" s="161"/>
      <c r="AZ266" s="161"/>
      <c r="BA266" s="161"/>
      <c r="BB266" s="161"/>
      <c r="BC266" s="161"/>
      <c r="BD266" s="161"/>
      <c r="BE266" s="161"/>
      <c r="BF266" s="161"/>
      <c r="BG266" s="161"/>
      <c r="BH266" s="161"/>
      <c r="BI266" s="161"/>
      <c r="BJ266" s="161"/>
      <c r="BK266" s="161"/>
      <c r="BL266" s="161"/>
      <c r="BM266" s="161"/>
      <c r="BN266" s="161"/>
      <c r="BO266" s="161"/>
      <c r="BP266" s="161"/>
      <c r="BQ266" s="161"/>
      <c r="BR266" s="161"/>
      <c r="BS266" s="161"/>
      <c r="BT266" s="161"/>
      <c r="BU266" s="161"/>
      <c r="BV266" s="161"/>
    </row>
    <row r="267" spans="1:74">
      <c r="A267" s="161"/>
      <c r="B267" s="161"/>
      <c r="C267" s="161"/>
      <c r="D267" s="161"/>
      <c r="E267" s="161"/>
      <c r="F267" s="161"/>
      <c r="G267" s="161"/>
      <c r="H267" s="161"/>
      <c r="I267" s="161"/>
      <c r="J267" s="161"/>
      <c r="K267" s="161"/>
      <c r="L267" s="161"/>
      <c r="M267" s="161"/>
      <c r="N267" s="161"/>
      <c r="O267" s="161"/>
      <c r="P267" s="161"/>
      <c r="Q267" s="161"/>
      <c r="R267" s="161"/>
      <c r="S267" s="161"/>
      <c r="T267" s="161"/>
      <c r="U267" s="161"/>
      <c r="V267" s="161"/>
      <c r="W267" s="161"/>
      <c r="X267" s="161"/>
      <c r="Y267" s="161"/>
      <c r="Z267" s="161"/>
      <c r="AA267" s="161"/>
      <c r="AB267" s="161"/>
      <c r="AC267" s="161"/>
      <c r="AD267" s="161"/>
      <c r="AE267" s="161"/>
      <c r="AF267" s="161"/>
      <c r="AG267" s="161"/>
      <c r="AH267" s="161"/>
      <c r="AI267" s="161"/>
      <c r="AJ267" s="161"/>
      <c r="AK267" s="161"/>
      <c r="AL267" s="161"/>
      <c r="AM267" s="161"/>
      <c r="AN267" s="161"/>
      <c r="AO267" s="161"/>
      <c r="AP267" s="161"/>
      <c r="AQ267" s="161"/>
      <c r="AR267" s="161"/>
      <c r="AS267" s="161"/>
      <c r="AT267" s="161"/>
      <c r="AU267" s="161"/>
      <c r="AV267" s="161"/>
      <c r="AW267" s="161"/>
      <c r="AX267" s="161"/>
      <c r="AY267" s="161"/>
      <c r="AZ267" s="161"/>
      <c r="BA267" s="161"/>
      <c r="BB267" s="161"/>
      <c r="BC267" s="161"/>
      <c r="BD267" s="161"/>
      <c r="BE267" s="161"/>
      <c r="BF267" s="161"/>
      <c r="BG267" s="161"/>
      <c r="BH267" s="161"/>
      <c r="BI267" s="161"/>
      <c r="BJ267" s="161"/>
      <c r="BK267" s="161"/>
      <c r="BL267" s="161"/>
      <c r="BM267" s="161"/>
      <c r="BN267" s="161"/>
      <c r="BO267" s="161"/>
      <c r="BP267" s="161"/>
      <c r="BQ267" s="161"/>
      <c r="BR267" s="161"/>
      <c r="BS267" s="161"/>
      <c r="BT267" s="161"/>
      <c r="BU267" s="161"/>
      <c r="BV267" s="161"/>
    </row>
    <row r="268" spans="1:74">
      <c r="A268" s="161"/>
      <c r="B268" s="161"/>
      <c r="C268" s="161"/>
      <c r="D268" s="161"/>
      <c r="E268" s="161"/>
      <c r="F268" s="161"/>
      <c r="G268" s="161"/>
      <c r="H268" s="161"/>
      <c r="I268" s="161"/>
      <c r="J268" s="161"/>
      <c r="K268" s="161"/>
      <c r="L268" s="161"/>
      <c r="M268" s="161"/>
      <c r="N268" s="161"/>
      <c r="O268" s="161"/>
      <c r="P268" s="161"/>
      <c r="Q268" s="161"/>
      <c r="R268" s="161"/>
      <c r="S268" s="161"/>
      <c r="T268" s="161"/>
      <c r="U268" s="161"/>
      <c r="V268" s="161"/>
      <c r="W268" s="161"/>
      <c r="X268" s="161"/>
      <c r="Y268" s="161"/>
      <c r="Z268" s="161"/>
      <c r="AA268" s="161"/>
      <c r="AB268" s="161"/>
      <c r="AC268" s="161"/>
      <c r="AD268" s="161"/>
      <c r="AE268" s="161"/>
      <c r="AF268" s="161"/>
      <c r="AG268" s="161"/>
      <c r="AH268" s="161"/>
      <c r="AI268" s="161"/>
      <c r="AJ268" s="161"/>
      <c r="AK268" s="161"/>
      <c r="AL268" s="161"/>
      <c r="AM268" s="161"/>
      <c r="AN268" s="161"/>
      <c r="AO268" s="161"/>
      <c r="AP268" s="161"/>
      <c r="AQ268" s="161"/>
      <c r="AR268" s="161"/>
      <c r="AS268" s="161"/>
      <c r="AT268" s="161"/>
      <c r="AU268" s="161"/>
      <c r="AV268" s="161"/>
      <c r="AW268" s="161"/>
      <c r="AX268" s="161"/>
      <c r="AY268" s="161"/>
      <c r="AZ268" s="161"/>
      <c r="BA268" s="161"/>
      <c r="BB268" s="161"/>
      <c r="BC268" s="161"/>
      <c r="BD268" s="161"/>
      <c r="BE268" s="161"/>
      <c r="BF268" s="161"/>
      <c r="BG268" s="161"/>
      <c r="BH268" s="161"/>
      <c r="BI268" s="161"/>
      <c r="BJ268" s="161"/>
      <c r="BK268" s="161"/>
      <c r="BL268" s="161"/>
      <c r="BM268" s="161"/>
      <c r="BN268" s="161"/>
      <c r="BO268" s="161"/>
      <c r="BP268" s="161"/>
      <c r="BQ268" s="161"/>
      <c r="BR268" s="161"/>
      <c r="BS268" s="161"/>
      <c r="BT268" s="161"/>
      <c r="BU268" s="161"/>
      <c r="BV268" s="161"/>
    </row>
    <row r="269" spans="1:74">
      <c r="A269" s="161"/>
      <c r="B269" s="161"/>
      <c r="C269" s="161"/>
      <c r="D269" s="161"/>
      <c r="E269" s="161"/>
      <c r="F269" s="161"/>
      <c r="G269" s="161"/>
      <c r="H269" s="161"/>
      <c r="I269" s="161"/>
      <c r="J269" s="161"/>
      <c r="K269" s="161"/>
      <c r="L269" s="161"/>
      <c r="M269" s="161"/>
      <c r="N269" s="161"/>
      <c r="O269" s="161"/>
      <c r="P269" s="161"/>
      <c r="Q269" s="161"/>
      <c r="R269" s="161"/>
      <c r="S269" s="161"/>
      <c r="T269" s="161"/>
      <c r="U269" s="161"/>
      <c r="V269" s="161"/>
      <c r="W269" s="161"/>
      <c r="X269" s="161"/>
      <c r="Y269" s="161"/>
      <c r="Z269" s="161"/>
      <c r="AA269" s="161"/>
      <c r="AB269" s="161"/>
      <c r="AC269" s="161"/>
      <c r="AD269" s="161"/>
      <c r="AE269" s="161"/>
      <c r="AF269" s="161"/>
      <c r="AG269" s="161"/>
      <c r="AH269" s="161"/>
      <c r="AI269" s="161"/>
      <c r="AJ269" s="161"/>
      <c r="AK269" s="161"/>
      <c r="AL269" s="161"/>
      <c r="AM269" s="161"/>
      <c r="AN269" s="161"/>
      <c r="AO269" s="161"/>
      <c r="AP269" s="161"/>
      <c r="AQ269" s="161"/>
      <c r="AR269" s="161"/>
      <c r="AS269" s="161"/>
      <c r="AT269" s="161"/>
      <c r="AU269" s="161"/>
      <c r="AV269" s="161"/>
      <c r="AW269" s="161"/>
      <c r="AX269" s="161"/>
      <c r="AY269" s="161"/>
      <c r="AZ269" s="161"/>
      <c r="BA269" s="161"/>
      <c r="BB269" s="161"/>
      <c r="BC269" s="161"/>
      <c r="BD269" s="161"/>
      <c r="BE269" s="161"/>
      <c r="BF269" s="161"/>
      <c r="BG269" s="161"/>
      <c r="BH269" s="161"/>
      <c r="BI269" s="161"/>
      <c r="BJ269" s="161"/>
      <c r="BK269" s="161"/>
      <c r="BL269" s="161"/>
      <c r="BM269" s="161"/>
      <c r="BN269" s="161"/>
      <c r="BO269" s="161"/>
      <c r="BP269" s="161"/>
      <c r="BQ269" s="161"/>
      <c r="BR269" s="161"/>
      <c r="BS269" s="161"/>
      <c r="BT269" s="161"/>
      <c r="BU269" s="161"/>
      <c r="BV269" s="161"/>
    </row>
    <row r="270" spans="1:74">
      <c r="A270" s="161"/>
      <c r="B270" s="161"/>
      <c r="C270" s="161"/>
      <c r="D270" s="161"/>
      <c r="E270" s="161"/>
      <c r="F270" s="161"/>
      <c r="G270" s="161"/>
      <c r="H270" s="161"/>
      <c r="I270" s="161"/>
      <c r="J270" s="161"/>
      <c r="K270" s="161"/>
      <c r="L270" s="161"/>
      <c r="M270" s="161"/>
      <c r="N270" s="161"/>
      <c r="O270" s="161"/>
      <c r="P270" s="161"/>
      <c r="Q270" s="161"/>
      <c r="R270" s="161"/>
      <c r="S270" s="161"/>
      <c r="T270" s="161"/>
      <c r="U270" s="161"/>
      <c r="V270" s="161"/>
      <c r="W270" s="161"/>
      <c r="X270" s="161"/>
      <c r="Y270" s="161"/>
      <c r="Z270" s="161"/>
      <c r="AA270" s="161"/>
      <c r="AB270" s="161"/>
      <c r="AC270" s="161"/>
      <c r="AD270" s="161"/>
      <c r="AE270" s="161"/>
      <c r="AF270" s="161"/>
      <c r="AG270" s="161"/>
      <c r="AH270" s="161"/>
      <c r="AI270" s="161"/>
      <c r="AJ270" s="161"/>
      <c r="AK270" s="161"/>
      <c r="AL270" s="161"/>
      <c r="AM270" s="161"/>
      <c r="AN270" s="161"/>
      <c r="AO270" s="161"/>
      <c r="AP270" s="161"/>
      <c r="AQ270" s="161"/>
      <c r="AR270" s="161"/>
      <c r="AS270" s="161"/>
      <c r="AT270" s="161"/>
      <c r="AU270" s="161"/>
      <c r="AV270" s="161"/>
      <c r="AW270" s="161"/>
      <c r="AX270" s="161"/>
      <c r="AY270" s="161"/>
      <c r="AZ270" s="161"/>
      <c r="BA270" s="161"/>
      <c r="BB270" s="161"/>
      <c r="BC270" s="161"/>
      <c r="BD270" s="161"/>
      <c r="BE270" s="161"/>
      <c r="BF270" s="161"/>
      <c r="BG270" s="161"/>
      <c r="BH270" s="161"/>
      <c r="BI270" s="161"/>
      <c r="BJ270" s="161"/>
      <c r="BK270" s="161"/>
      <c r="BL270" s="161"/>
      <c r="BM270" s="161"/>
      <c r="BN270" s="161"/>
      <c r="BO270" s="161"/>
      <c r="BP270" s="161"/>
      <c r="BQ270" s="161"/>
      <c r="BR270" s="161"/>
      <c r="BS270" s="161"/>
      <c r="BT270" s="161"/>
      <c r="BU270" s="161"/>
      <c r="BV270" s="161"/>
    </row>
    <row r="271" spans="1:74">
      <c r="A271" s="161"/>
      <c r="B271" s="161"/>
      <c r="C271" s="161"/>
      <c r="D271" s="161"/>
      <c r="E271" s="161"/>
      <c r="F271" s="161"/>
      <c r="G271" s="161"/>
      <c r="H271" s="161"/>
      <c r="I271" s="161"/>
      <c r="J271" s="161"/>
      <c r="K271" s="161"/>
      <c r="L271" s="161"/>
      <c r="M271" s="161"/>
      <c r="N271" s="161"/>
      <c r="O271" s="161"/>
      <c r="P271" s="161"/>
      <c r="Q271" s="161"/>
      <c r="R271" s="161"/>
      <c r="S271" s="161"/>
      <c r="T271" s="161"/>
      <c r="U271" s="161"/>
      <c r="V271" s="161"/>
      <c r="W271" s="161"/>
      <c r="X271" s="161"/>
      <c r="Y271" s="161"/>
      <c r="Z271" s="161"/>
      <c r="AA271" s="161"/>
      <c r="AB271" s="161"/>
      <c r="AC271" s="161"/>
      <c r="AD271" s="161"/>
      <c r="AE271" s="161"/>
      <c r="AF271" s="161"/>
      <c r="AG271" s="161"/>
      <c r="AH271" s="161"/>
      <c r="AI271" s="161"/>
      <c r="AJ271" s="161"/>
      <c r="AK271" s="161"/>
      <c r="AL271" s="161"/>
      <c r="AM271" s="161"/>
      <c r="AN271" s="161"/>
      <c r="AO271" s="161"/>
      <c r="AP271" s="161"/>
      <c r="AQ271" s="161"/>
      <c r="AR271" s="161"/>
      <c r="AS271" s="161"/>
      <c r="AT271" s="161"/>
      <c r="AU271" s="161"/>
      <c r="AV271" s="161"/>
      <c r="AW271" s="161"/>
      <c r="AX271" s="161"/>
      <c r="AY271" s="161"/>
      <c r="AZ271" s="161"/>
      <c r="BA271" s="161"/>
      <c r="BB271" s="161"/>
      <c r="BC271" s="161"/>
      <c r="BD271" s="161"/>
      <c r="BE271" s="161"/>
      <c r="BF271" s="161"/>
      <c r="BG271" s="161"/>
      <c r="BH271" s="161"/>
      <c r="BI271" s="161"/>
      <c r="BJ271" s="161"/>
      <c r="BK271" s="161"/>
      <c r="BL271" s="161"/>
      <c r="BM271" s="161"/>
      <c r="BN271" s="161"/>
      <c r="BO271" s="161"/>
      <c r="BP271" s="161"/>
      <c r="BQ271" s="161"/>
      <c r="BR271" s="161"/>
      <c r="BS271" s="161"/>
      <c r="BT271" s="161"/>
      <c r="BU271" s="161"/>
      <c r="BV271" s="161"/>
    </row>
    <row r="272" spans="1:74">
      <c r="A272" s="161"/>
      <c r="B272" s="161"/>
      <c r="C272" s="161"/>
      <c r="D272" s="161"/>
      <c r="E272" s="161"/>
      <c r="F272" s="161"/>
      <c r="G272" s="161"/>
      <c r="H272" s="161"/>
      <c r="I272" s="161"/>
      <c r="J272" s="161"/>
      <c r="K272" s="161"/>
      <c r="L272" s="161"/>
      <c r="M272" s="161"/>
      <c r="N272" s="161"/>
      <c r="O272" s="161"/>
      <c r="P272" s="161"/>
      <c r="Q272" s="161"/>
      <c r="R272" s="161"/>
      <c r="S272" s="161"/>
      <c r="T272" s="161"/>
      <c r="U272" s="161"/>
      <c r="V272" s="161"/>
      <c r="W272" s="161"/>
      <c r="X272" s="161"/>
      <c r="Y272" s="161"/>
      <c r="Z272" s="161"/>
      <c r="AA272" s="161"/>
      <c r="AB272" s="161"/>
      <c r="AC272" s="161"/>
      <c r="AD272" s="161"/>
      <c r="AE272" s="161"/>
      <c r="AF272" s="161"/>
      <c r="AG272" s="161"/>
      <c r="AH272" s="161"/>
      <c r="AI272" s="161"/>
      <c r="AJ272" s="161"/>
      <c r="AK272" s="161"/>
      <c r="AL272" s="161"/>
      <c r="AM272" s="161"/>
      <c r="AN272" s="161"/>
      <c r="AO272" s="161"/>
      <c r="AP272" s="161"/>
      <c r="AQ272" s="161"/>
      <c r="AR272" s="161"/>
      <c r="AS272" s="161"/>
      <c r="AT272" s="161"/>
      <c r="AU272" s="161"/>
      <c r="AV272" s="161"/>
      <c r="AW272" s="161"/>
      <c r="AX272" s="161"/>
      <c r="AY272" s="161"/>
      <c r="AZ272" s="161"/>
      <c r="BA272" s="161"/>
      <c r="BB272" s="161"/>
      <c r="BC272" s="161"/>
      <c r="BD272" s="161"/>
      <c r="BE272" s="161"/>
      <c r="BF272" s="161"/>
      <c r="BG272" s="161"/>
      <c r="BH272" s="161"/>
      <c r="BI272" s="161"/>
      <c r="BJ272" s="161"/>
      <c r="BK272" s="161"/>
      <c r="BL272" s="161"/>
      <c r="BM272" s="161"/>
      <c r="BN272" s="161"/>
      <c r="BO272" s="161"/>
      <c r="BP272" s="161"/>
      <c r="BQ272" s="161"/>
      <c r="BR272" s="161"/>
      <c r="BS272" s="161"/>
      <c r="BT272" s="161"/>
      <c r="BU272" s="161"/>
      <c r="BV272" s="161"/>
    </row>
    <row r="273" spans="1:74">
      <c r="A273" s="161"/>
      <c r="B273" s="161"/>
      <c r="C273" s="161"/>
      <c r="D273" s="161"/>
      <c r="E273" s="161"/>
      <c r="F273" s="161"/>
      <c r="G273" s="161"/>
      <c r="H273" s="161"/>
      <c r="I273" s="161"/>
      <c r="J273" s="161"/>
      <c r="K273" s="161"/>
      <c r="L273" s="161"/>
      <c r="M273" s="161"/>
      <c r="N273" s="161"/>
      <c r="O273" s="161"/>
      <c r="P273" s="161"/>
      <c r="Q273" s="161"/>
      <c r="R273" s="161"/>
      <c r="S273" s="161"/>
      <c r="T273" s="161"/>
      <c r="U273" s="161"/>
      <c r="V273" s="161"/>
      <c r="W273" s="161"/>
      <c r="X273" s="161"/>
      <c r="Y273" s="161"/>
      <c r="Z273" s="161"/>
      <c r="AA273" s="161"/>
      <c r="AB273" s="161"/>
      <c r="AC273" s="161"/>
      <c r="AD273" s="161"/>
      <c r="AE273" s="161"/>
      <c r="AF273" s="161"/>
      <c r="AG273" s="161"/>
      <c r="AH273" s="161"/>
      <c r="AI273" s="161"/>
      <c r="AJ273" s="161"/>
      <c r="AK273" s="161"/>
      <c r="AL273" s="161"/>
      <c r="AM273" s="161"/>
      <c r="AN273" s="161"/>
      <c r="AO273" s="161"/>
      <c r="AP273" s="161"/>
      <c r="AQ273" s="161"/>
      <c r="AR273" s="161"/>
      <c r="AS273" s="161"/>
      <c r="AT273" s="161"/>
      <c r="AU273" s="161"/>
      <c r="AV273" s="161"/>
      <c r="AW273" s="161"/>
      <c r="AX273" s="161"/>
      <c r="AY273" s="161"/>
      <c r="AZ273" s="161"/>
      <c r="BA273" s="161"/>
      <c r="BB273" s="161"/>
      <c r="BC273" s="161"/>
      <c r="BD273" s="161"/>
      <c r="BE273" s="161"/>
      <c r="BF273" s="161"/>
      <c r="BG273" s="161"/>
      <c r="BH273" s="161"/>
      <c r="BI273" s="161"/>
      <c r="BJ273" s="161"/>
      <c r="BK273" s="161"/>
      <c r="BL273" s="161"/>
      <c r="BM273" s="161"/>
      <c r="BN273" s="161"/>
      <c r="BO273" s="161"/>
      <c r="BP273" s="161"/>
      <c r="BQ273" s="161"/>
      <c r="BR273" s="161"/>
      <c r="BS273" s="161"/>
      <c r="BT273" s="161"/>
      <c r="BU273" s="161"/>
      <c r="BV273" s="161"/>
    </row>
    <row r="274" spans="1:74">
      <c r="A274" s="161"/>
      <c r="B274" s="161"/>
      <c r="C274" s="161"/>
      <c r="D274" s="161"/>
      <c r="E274" s="161"/>
      <c r="F274" s="161"/>
      <c r="G274" s="161"/>
      <c r="H274" s="161"/>
      <c r="I274" s="161"/>
      <c r="J274" s="161"/>
      <c r="K274" s="161"/>
      <c r="L274" s="161"/>
      <c r="M274" s="161"/>
      <c r="N274" s="161"/>
      <c r="O274" s="161"/>
      <c r="P274" s="161"/>
      <c r="Q274" s="161"/>
      <c r="R274" s="161"/>
      <c r="S274" s="161"/>
      <c r="T274" s="161"/>
      <c r="U274" s="161"/>
      <c r="V274" s="161"/>
      <c r="W274" s="161"/>
      <c r="X274" s="161"/>
      <c r="Y274" s="161"/>
      <c r="Z274" s="161"/>
      <c r="AA274" s="161"/>
      <c r="AB274" s="161"/>
      <c r="AC274" s="161"/>
      <c r="AD274" s="161"/>
      <c r="AE274" s="161"/>
      <c r="AF274" s="161"/>
      <c r="AG274" s="161"/>
      <c r="AH274" s="161"/>
      <c r="AI274" s="161"/>
      <c r="AJ274" s="161"/>
      <c r="AK274" s="161"/>
      <c r="AL274" s="161"/>
      <c r="AM274" s="161"/>
      <c r="AN274" s="161"/>
      <c r="AO274" s="161"/>
      <c r="AP274" s="161"/>
      <c r="AQ274" s="161"/>
      <c r="AR274" s="161"/>
      <c r="AS274" s="161"/>
      <c r="AT274" s="161"/>
      <c r="AU274" s="161"/>
      <c r="AV274" s="161"/>
      <c r="AW274" s="161"/>
      <c r="AX274" s="161"/>
      <c r="AY274" s="161"/>
      <c r="AZ274" s="161"/>
      <c r="BA274" s="161"/>
      <c r="BB274" s="161"/>
      <c r="BC274" s="161"/>
      <c r="BD274" s="161"/>
      <c r="BE274" s="161"/>
      <c r="BF274" s="161"/>
      <c r="BG274" s="161"/>
      <c r="BH274" s="161"/>
      <c r="BI274" s="161"/>
      <c r="BJ274" s="161"/>
      <c r="BK274" s="161"/>
      <c r="BL274" s="161"/>
      <c r="BM274" s="161"/>
      <c r="BN274" s="161"/>
      <c r="BO274" s="161"/>
      <c r="BP274" s="161"/>
      <c r="BQ274" s="161"/>
      <c r="BR274" s="161"/>
      <c r="BS274" s="161"/>
      <c r="BT274" s="161"/>
      <c r="BU274" s="161"/>
      <c r="BV274" s="161"/>
    </row>
    <row r="275" spans="1:74">
      <c r="A275" s="161"/>
      <c r="B275" s="161"/>
      <c r="C275" s="161"/>
      <c r="D275" s="161"/>
      <c r="E275" s="161"/>
      <c r="F275" s="161"/>
      <c r="G275" s="161"/>
      <c r="H275" s="161"/>
      <c r="I275" s="161"/>
      <c r="J275" s="161"/>
      <c r="K275" s="161"/>
      <c r="L275" s="161"/>
      <c r="M275" s="161"/>
      <c r="N275" s="161"/>
      <c r="O275" s="161"/>
      <c r="P275" s="161"/>
      <c r="Q275" s="161"/>
      <c r="R275" s="161"/>
      <c r="S275" s="161"/>
      <c r="T275" s="161"/>
      <c r="U275" s="161"/>
      <c r="V275" s="161"/>
      <c r="W275" s="161"/>
      <c r="X275" s="161"/>
      <c r="Y275" s="161"/>
      <c r="Z275" s="161"/>
      <c r="AA275" s="161"/>
      <c r="AB275" s="161"/>
      <c r="AC275" s="161"/>
      <c r="AD275" s="161"/>
      <c r="AE275" s="161"/>
      <c r="AF275" s="161"/>
      <c r="AG275" s="161"/>
      <c r="AH275" s="161"/>
      <c r="AI275" s="161"/>
      <c r="AJ275" s="161"/>
      <c r="AK275" s="161"/>
      <c r="AL275" s="161"/>
      <c r="AM275" s="161"/>
      <c r="AN275" s="161"/>
      <c r="AO275" s="161"/>
      <c r="AP275" s="161"/>
      <c r="AQ275" s="161"/>
      <c r="AR275" s="161"/>
      <c r="AS275" s="161"/>
      <c r="AT275" s="161"/>
      <c r="AU275" s="161"/>
      <c r="AV275" s="161"/>
      <c r="AW275" s="161"/>
      <c r="AX275" s="161"/>
      <c r="AY275" s="161"/>
      <c r="AZ275" s="161"/>
      <c r="BA275" s="161"/>
      <c r="BB275" s="161"/>
      <c r="BC275" s="161"/>
      <c r="BD275" s="161"/>
      <c r="BE275" s="161"/>
      <c r="BF275" s="161"/>
      <c r="BG275" s="161"/>
      <c r="BH275" s="161"/>
      <c r="BI275" s="161"/>
      <c r="BJ275" s="161"/>
      <c r="BK275" s="161"/>
      <c r="BL275" s="161"/>
      <c r="BM275" s="161"/>
      <c r="BN275" s="161"/>
      <c r="BO275" s="161"/>
      <c r="BP275" s="161"/>
      <c r="BQ275" s="161"/>
      <c r="BR275" s="161"/>
      <c r="BS275" s="161"/>
      <c r="BT275" s="161"/>
      <c r="BU275" s="161"/>
      <c r="BV275" s="161"/>
    </row>
    <row r="276" spans="1:74">
      <c r="A276" s="161"/>
      <c r="B276" s="161"/>
      <c r="C276" s="161"/>
      <c r="D276" s="161"/>
      <c r="E276" s="161"/>
      <c r="F276" s="161"/>
      <c r="G276" s="161"/>
      <c r="H276" s="161"/>
      <c r="I276" s="161"/>
      <c r="J276" s="161"/>
      <c r="K276" s="161"/>
      <c r="L276" s="161"/>
      <c r="M276" s="161"/>
      <c r="N276" s="161"/>
      <c r="O276" s="161"/>
      <c r="P276" s="161"/>
      <c r="Q276" s="161"/>
      <c r="R276" s="161"/>
      <c r="S276" s="161"/>
      <c r="T276" s="161"/>
      <c r="U276" s="161"/>
      <c r="V276" s="161"/>
      <c r="W276" s="161"/>
      <c r="X276" s="161"/>
      <c r="Y276" s="161"/>
      <c r="Z276" s="161"/>
      <c r="AA276" s="161"/>
      <c r="AB276" s="161"/>
      <c r="AC276" s="161"/>
      <c r="AD276" s="161"/>
      <c r="AE276" s="161"/>
      <c r="AF276" s="161"/>
      <c r="AG276" s="161"/>
      <c r="AH276" s="161"/>
      <c r="AI276" s="161"/>
      <c r="AJ276" s="161"/>
      <c r="AK276" s="161"/>
      <c r="AL276" s="161"/>
      <c r="AM276" s="161"/>
      <c r="AN276" s="161"/>
      <c r="AO276" s="161"/>
      <c r="AP276" s="161"/>
      <c r="AQ276" s="161"/>
      <c r="AR276" s="161"/>
      <c r="AS276" s="161"/>
      <c r="AT276" s="161"/>
      <c r="AU276" s="161"/>
      <c r="AV276" s="161"/>
      <c r="AW276" s="161"/>
      <c r="AX276" s="161"/>
      <c r="AY276" s="161"/>
      <c r="AZ276" s="161"/>
      <c r="BA276" s="161"/>
      <c r="BB276" s="161"/>
      <c r="BC276" s="161"/>
      <c r="BD276" s="161"/>
      <c r="BE276" s="161"/>
      <c r="BF276" s="161"/>
      <c r="BG276" s="161"/>
      <c r="BH276" s="161"/>
      <c r="BI276" s="161"/>
      <c r="BJ276" s="161"/>
      <c r="BK276" s="161"/>
      <c r="BL276" s="161"/>
      <c r="BM276" s="161"/>
      <c r="BN276" s="161"/>
      <c r="BO276" s="161"/>
      <c r="BP276" s="161"/>
      <c r="BQ276" s="161"/>
      <c r="BR276" s="161"/>
      <c r="BS276" s="161"/>
      <c r="BT276" s="161"/>
      <c r="BU276" s="161"/>
      <c r="BV276" s="161"/>
    </row>
    <row r="277" spans="1:74">
      <c r="A277" s="161"/>
      <c r="B277" s="161"/>
      <c r="C277" s="161"/>
      <c r="D277" s="161"/>
      <c r="E277" s="161"/>
      <c r="F277" s="161"/>
      <c r="G277" s="161"/>
      <c r="H277" s="161"/>
      <c r="I277" s="161"/>
      <c r="J277" s="161"/>
      <c r="K277" s="161"/>
      <c r="L277" s="161"/>
      <c r="M277" s="161"/>
      <c r="N277" s="161"/>
      <c r="O277" s="161"/>
      <c r="P277" s="161"/>
      <c r="Q277" s="161"/>
      <c r="R277" s="161"/>
      <c r="S277" s="161"/>
      <c r="T277" s="161"/>
      <c r="U277" s="161"/>
      <c r="V277" s="161"/>
      <c r="W277" s="161"/>
      <c r="X277" s="161"/>
      <c r="Y277" s="161"/>
      <c r="Z277" s="161"/>
      <c r="AA277" s="161"/>
      <c r="AC277" s="161"/>
      <c r="AD277" s="161"/>
      <c r="AE277" s="161"/>
      <c r="AF277" s="161"/>
      <c r="AG277" s="161"/>
      <c r="AH277" s="161"/>
      <c r="AI277" s="161"/>
      <c r="AJ277" s="161"/>
      <c r="AK277" s="161"/>
      <c r="AL277" s="161"/>
      <c r="AM277" s="161"/>
      <c r="AN277" s="161"/>
      <c r="AO277" s="161"/>
      <c r="AP277" s="161"/>
      <c r="AQ277" s="161"/>
      <c r="AR277" s="161"/>
      <c r="AS277" s="161"/>
      <c r="AT277" s="161"/>
      <c r="AU277" s="161"/>
      <c r="AV277" s="161"/>
      <c r="AW277" s="161"/>
      <c r="AX277" s="161"/>
      <c r="AY277" s="161"/>
      <c r="AZ277" s="161"/>
      <c r="BA277" s="161"/>
      <c r="BB277" s="161"/>
      <c r="BC277" s="161"/>
      <c r="BD277" s="161"/>
      <c r="BE277" s="161"/>
      <c r="BF277" s="161"/>
      <c r="BG277" s="161"/>
      <c r="BH277" s="161"/>
      <c r="BI277" s="161"/>
      <c r="BJ277" s="161"/>
      <c r="BK277" s="161"/>
      <c r="BL277" s="161"/>
      <c r="BM277" s="161"/>
      <c r="BN277" s="161"/>
      <c r="BO277" s="161"/>
      <c r="BP277" s="161"/>
      <c r="BQ277" s="161"/>
      <c r="BR277" s="161"/>
      <c r="BS277" s="161"/>
      <c r="BT277" s="161"/>
      <c r="BU277" s="161"/>
      <c r="BV277" s="161"/>
    </row>
    <row r="278" spans="1:74">
      <c r="A278" s="161"/>
      <c r="B278" s="161"/>
      <c r="C278" s="161"/>
      <c r="D278" s="161"/>
      <c r="E278" s="161"/>
      <c r="F278" s="161"/>
      <c r="G278" s="161"/>
      <c r="H278" s="161"/>
      <c r="I278" s="161"/>
      <c r="J278" s="161"/>
      <c r="K278" s="161"/>
      <c r="L278" s="161"/>
      <c r="M278" s="161"/>
      <c r="N278" s="161"/>
      <c r="O278" s="161"/>
      <c r="P278" s="161"/>
      <c r="Q278" s="161"/>
      <c r="R278" s="161"/>
      <c r="S278" s="161"/>
      <c r="T278" s="161"/>
      <c r="U278" s="161"/>
      <c r="V278" s="161"/>
      <c r="W278" s="161"/>
      <c r="X278" s="161"/>
      <c r="Y278" s="161"/>
      <c r="Z278" s="161"/>
      <c r="AA278" s="161"/>
      <c r="AC278" s="161"/>
      <c r="AD278" s="161"/>
      <c r="AE278" s="161"/>
      <c r="AF278" s="161"/>
      <c r="AG278" s="161"/>
      <c r="AH278" s="161"/>
      <c r="AI278" s="161"/>
      <c r="AJ278" s="161"/>
      <c r="AK278" s="161"/>
      <c r="AL278" s="161"/>
      <c r="AM278" s="161"/>
      <c r="AN278" s="161"/>
      <c r="AO278" s="161"/>
      <c r="AP278" s="161"/>
      <c r="AQ278" s="161"/>
      <c r="AR278" s="161"/>
      <c r="AS278" s="161"/>
      <c r="AT278" s="161"/>
      <c r="AU278" s="161"/>
      <c r="AV278" s="161"/>
      <c r="AW278" s="161"/>
      <c r="AX278" s="161"/>
      <c r="AY278" s="161"/>
      <c r="AZ278" s="161"/>
      <c r="BA278" s="161"/>
      <c r="BB278" s="161"/>
      <c r="BC278" s="161"/>
      <c r="BD278" s="161"/>
      <c r="BE278" s="161"/>
      <c r="BF278" s="161"/>
      <c r="BG278" s="161"/>
      <c r="BH278" s="161"/>
      <c r="BI278" s="161"/>
      <c r="BJ278" s="161"/>
      <c r="BK278" s="161"/>
      <c r="BL278" s="161"/>
      <c r="BM278" s="161"/>
      <c r="BN278" s="161"/>
      <c r="BO278" s="161"/>
      <c r="BP278" s="161"/>
      <c r="BQ278" s="161"/>
      <c r="BR278" s="161"/>
      <c r="BS278" s="161"/>
      <c r="BT278" s="161"/>
      <c r="BU278" s="161"/>
      <c r="BV278" s="161"/>
    </row>
    <row r="279" spans="1:74">
      <c r="A279" s="161"/>
      <c r="B279" s="161"/>
      <c r="C279" s="313">
        <v>3.2121360808933241E-2</v>
      </c>
      <c r="D279" s="313">
        <v>8.0496006527492669E-2</v>
      </c>
      <c r="E279" s="313">
        <v>1.6405334659213011E-2</v>
      </c>
      <c r="F279" s="313">
        <v>2.8916842053741787E-2</v>
      </c>
      <c r="G279" s="313">
        <v>0.105191421383521</v>
      </c>
      <c r="H279" s="313">
        <v>2.6421530669903603E-2</v>
      </c>
      <c r="I279" s="313">
        <v>0.17154922849089926</v>
      </c>
      <c r="J279" s="313">
        <v>0.15874140178291096</v>
      </c>
      <c r="K279" s="313">
        <v>0.10682659326751809</v>
      </c>
      <c r="L279" s="313">
        <v>0.13202706330516212</v>
      </c>
      <c r="M279" s="313">
        <v>9.2810972417269211E-2</v>
      </c>
      <c r="N279" s="313">
        <v>0.15410551327793631</v>
      </c>
      <c r="O279" s="313">
        <v>8.2609511208057818E-2</v>
      </c>
      <c r="P279" s="313">
        <v>7.8082551594746752E-2</v>
      </c>
      <c r="Q279" s="313">
        <v>4.1896049796754875E-2</v>
      </c>
      <c r="R279" s="313">
        <v>-3.6172315248714781E-3</v>
      </c>
      <c r="S279" s="313">
        <v>3.1391663657878155E-3</v>
      </c>
      <c r="T279" s="313">
        <v>-1.5210736734665442E-2</v>
      </c>
      <c r="U279" s="313">
        <v>3.9555442537334118E-2</v>
      </c>
      <c r="V279" s="313">
        <v>2.5137932711715605E-2</v>
      </c>
      <c r="W279" s="313"/>
      <c r="X279" s="313"/>
      <c r="Y279" s="313"/>
      <c r="Z279" s="313"/>
      <c r="AA279" s="313"/>
      <c r="AD279" s="161"/>
      <c r="AE279" s="161"/>
      <c r="AF279" s="161"/>
      <c r="AG279" s="161"/>
      <c r="AH279" s="161"/>
      <c r="AI279" s="161"/>
      <c r="AJ279" s="161"/>
      <c r="AK279" s="161"/>
      <c r="AL279" s="161"/>
      <c r="AM279" s="161"/>
      <c r="AN279" s="161"/>
      <c r="AO279" s="161"/>
      <c r="AP279" s="161"/>
      <c r="AQ279" s="161"/>
      <c r="AR279" s="161"/>
      <c r="AS279" s="161"/>
      <c r="AT279" s="161"/>
      <c r="AU279" s="161"/>
      <c r="AV279" s="161"/>
      <c r="AW279" s="161"/>
      <c r="AX279" s="161"/>
      <c r="AY279" s="161"/>
      <c r="AZ279" s="161"/>
      <c r="BA279" s="161"/>
      <c r="BB279" s="161"/>
      <c r="BC279" s="161"/>
      <c r="BD279" s="161"/>
      <c r="BE279" s="161"/>
      <c r="BF279" s="161"/>
      <c r="BG279" s="161"/>
      <c r="BH279" s="161"/>
      <c r="BI279" s="161"/>
      <c r="BJ279" s="161"/>
      <c r="BK279" s="161"/>
      <c r="BL279" s="161"/>
      <c r="BM279" s="161"/>
      <c r="BN279" s="161"/>
      <c r="BO279" s="161"/>
      <c r="BP279" s="161"/>
      <c r="BQ279" s="161"/>
      <c r="BR279" s="161"/>
      <c r="BS279" s="161"/>
      <c r="BT279" s="161"/>
      <c r="BU279" s="161"/>
      <c r="BV279" s="161"/>
    </row>
    <row r="280" spans="1:74">
      <c r="A280" s="161"/>
      <c r="B280" s="163" t="s">
        <v>545</v>
      </c>
      <c r="C280" s="310" t="str">
        <f>Quarts!AR4</f>
        <v>1Q19</v>
      </c>
      <c r="D280" s="310" t="str">
        <f>Quarts!AS4</f>
        <v>2Q19</v>
      </c>
      <c r="E280" s="310" t="str">
        <f>Quarts!AT4</f>
        <v>3Q19</v>
      </c>
      <c r="F280" s="310" t="str">
        <f>Quarts!AU4</f>
        <v>4Q19</v>
      </c>
      <c r="G280" s="310" t="str">
        <f>Quarts!AV4</f>
        <v>1Q20</v>
      </c>
      <c r="H280" s="310" t="str">
        <f>Quarts!AW4</f>
        <v>2Q20</v>
      </c>
      <c r="I280" s="310" t="str">
        <f>Quarts!AX4</f>
        <v>3Q20</v>
      </c>
      <c r="J280" s="310" t="str">
        <f>Quarts!AY4</f>
        <v>4Q20</v>
      </c>
      <c r="K280" s="310" t="str">
        <f>Quarts!AZ4</f>
        <v>1Q21</v>
      </c>
      <c r="L280" s="310" t="str">
        <f>Quarts!BA4</f>
        <v>2Q21</v>
      </c>
      <c r="M280" s="310" t="str">
        <f>Quarts!BB4</f>
        <v>3Q21</v>
      </c>
      <c r="N280" s="310" t="str">
        <f>Quarts!BC4</f>
        <v>4Q21</v>
      </c>
      <c r="O280" s="310" t="str">
        <f>Quarts!BD4</f>
        <v>1Q22</v>
      </c>
      <c r="P280" s="310" t="str">
        <f>Quarts!BE4</f>
        <v>2Q22</v>
      </c>
      <c r="Q280" s="310" t="str">
        <f>Quarts!BF4</f>
        <v>3Q22</v>
      </c>
      <c r="R280" s="310" t="str">
        <f>Quarts!BG4</f>
        <v>4Q22</v>
      </c>
      <c r="S280" s="310" t="str">
        <f>Quarts!BH4</f>
        <v>1Q23</v>
      </c>
      <c r="T280" s="310" t="str">
        <f>Quarts!BI4</f>
        <v>2Q23</v>
      </c>
      <c r="U280" s="310" t="str">
        <f>Quarts!BJ4</f>
        <v>3Q23</v>
      </c>
      <c r="V280" s="310" t="str">
        <f>Quarts!BK4</f>
        <v>4Q23</v>
      </c>
      <c r="W280" s="310"/>
      <c r="X280" s="310"/>
      <c r="Y280" s="310"/>
      <c r="Z280" s="310"/>
      <c r="AA280" s="310"/>
      <c r="AD280" s="310"/>
      <c r="AE280" s="161"/>
      <c r="AF280" s="161"/>
      <c r="AG280" s="161"/>
      <c r="AH280" s="161"/>
      <c r="AI280" s="161"/>
      <c r="AJ280" s="161"/>
      <c r="AK280" s="161"/>
      <c r="AL280" s="161"/>
      <c r="AM280" s="161"/>
      <c r="AN280" s="161"/>
      <c r="AO280" s="161"/>
      <c r="AP280" s="161"/>
      <c r="AQ280" s="161"/>
      <c r="AR280" s="161"/>
      <c r="AS280" s="161"/>
      <c r="AT280" s="161"/>
      <c r="AU280" s="161"/>
      <c r="AV280" s="161"/>
      <c r="AW280" s="161"/>
      <c r="AX280" s="161"/>
      <c r="AY280" s="161"/>
      <c r="AZ280" s="161"/>
      <c r="BA280" s="161"/>
      <c r="BB280" s="161"/>
      <c r="BC280" s="161"/>
      <c r="BD280" s="161"/>
      <c r="BE280" s="161"/>
      <c r="BF280" s="161"/>
      <c r="BG280" s="161"/>
      <c r="BH280" s="161"/>
      <c r="BI280" s="161"/>
      <c r="BJ280" s="161"/>
      <c r="BK280" s="161"/>
      <c r="BL280" s="161"/>
      <c r="BM280" s="161"/>
      <c r="BN280" s="161"/>
      <c r="BO280" s="161"/>
      <c r="BP280" s="161"/>
      <c r="BQ280" s="161"/>
      <c r="BR280" s="161"/>
      <c r="BS280" s="161"/>
      <c r="BT280" s="161"/>
      <c r="BU280" s="161"/>
      <c r="BV280" s="161"/>
    </row>
    <row r="281" spans="1:74">
      <c r="A281" s="161"/>
      <c r="B281" s="263" t="s">
        <v>724</v>
      </c>
      <c r="C281" s="313">
        <f>Quarts!CY140</f>
        <v>7.4520915006519806E-2</v>
      </c>
      <c r="D281" s="313">
        <f>Quarts!CZ140</f>
        <v>9.9988715637431946E-2</v>
      </c>
      <c r="E281" s="313">
        <f>Quarts!DA140</f>
        <v>7.1173242543703052E-2</v>
      </c>
      <c r="F281" s="313">
        <f>Quarts!DB140</f>
        <v>0.10280615600473553</v>
      </c>
      <c r="G281" s="313">
        <f>Quarts!DC140</f>
        <v>8.4779994455799867E-2</v>
      </c>
      <c r="H281" s="313">
        <f>Quarts!DD140</f>
        <v>4.1193704884096682E-2</v>
      </c>
      <c r="I281" s="313">
        <f>Quarts!DE140</f>
        <v>0.12108672010311361</v>
      </c>
      <c r="J281" s="313">
        <f>Quarts!DF140</f>
        <v>0.10022662484046796</v>
      </c>
      <c r="K281" s="313">
        <f>Quarts!DG140</f>
        <v>8.5425735288004789E-2</v>
      </c>
      <c r="L281" s="313">
        <f>Quarts!DH140</f>
        <v>0.10696331764001732</v>
      </c>
      <c r="M281" s="313">
        <f>Quarts!DI140</f>
        <v>8.3462136253009689E-2</v>
      </c>
      <c r="N281" s="313">
        <f>Quarts!DJ140</f>
        <v>0.11560798292316177</v>
      </c>
      <c r="O281" s="313">
        <f>Quarts!DK140</f>
        <v>7.5095097235112318E-2</v>
      </c>
      <c r="P281" s="313">
        <f>Quarts!DL140</f>
        <v>8.190036532713374E-2</v>
      </c>
      <c r="Q281" s="313">
        <f>Quarts!DM140</f>
        <v>5.0537467535740621E-2</v>
      </c>
      <c r="R281" s="313">
        <f>Quarts!DN140</f>
        <v>8.982001014520069E-3</v>
      </c>
      <c r="S281" s="313">
        <f>Quarts!DO140</f>
        <v>1.2453817390679633E-2</v>
      </c>
      <c r="T281" s="313">
        <f>Quarts!DP140</f>
        <v>9.1392380039059251E-3</v>
      </c>
      <c r="U281" s="313">
        <f>Quarts!DQ140</f>
        <v>4.3630639395005E-2</v>
      </c>
      <c r="V281" s="313">
        <f>Quarts!DR140</f>
        <v>0.11004291305379343</v>
      </c>
      <c r="W281" s="313"/>
      <c r="X281" s="313"/>
      <c r="Y281" s="313"/>
      <c r="Z281" s="313"/>
      <c r="AA281" s="313"/>
      <c r="AD281" s="161"/>
      <c r="AE281" s="161"/>
      <c r="AF281" s="161"/>
      <c r="AG281" s="161"/>
      <c r="AH281" s="161"/>
      <c r="AI281" s="161"/>
      <c r="AJ281" s="161"/>
      <c r="AK281" s="161"/>
      <c r="AL281" s="161"/>
      <c r="AM281" s="161"/>
      <c r="AN281" s="161"/>
      <c r="AO281" s="161"/>
      <c r="AP281" s="161"/>
      <c r="AQ281" s="161"/>
      <c r="AR281" s="161"/>
      <c r="AS281" s="161"/>
      <c r="AT281" s="161"/>
      <c r="AU281" s="161"/>
      <c r="AV281" s="161"/>
      <c r="AW281" s="161"/>
      <c r="AX281" s="161"/>
      <c r="AY281" s="161"/>
      <c r="AZ281" s="161"/>
      <c r="BA281" s="161"/>
      <c r="BB281" s="161"/>
      <c r="BC281" s="161"/>
      <c r="BD281" s="161"/>
      <c r="BE281" s="161"/>
      <c r="BF281" s="161"/>
      <c r="BG281" s="161"/>
      <c r="BH281" s="161"/>
      <c r="BI281" s="161"/>
      <c r="BJ281" s="161"/>
      <c r="BK281" s="161"/>
      <c r="BL281" s="161"/>
      <c r="BM281" s="161"/>
      <c r="BN281" s="161"/>
      <c r="BO281" s="161"/>
      <c r="BP281" s="161"/>
      <c r="BQ281" s="161"/>
      <c r="BR281" s="161"/>
      <c r="BS281" s="161"/>
      <c r="BT281" s="161"/>
      <c r="BU281" s="161"/>
      <c r="BV281" s="161"/>
    </row>
    <row r="282" spans="1:74">
      <c r="A282" s="161"/>
      <c r="B282" s="263" t="s">
        <v>730</v>
      </c>
      <c r="C282" s="313">
        <f>Quarts!CY117</f>
        <v>5.4539840838028431E-2</v>
      </c>
      <c r="D282" s="313">
        <f>Quarts!CZ117</f>
        <v>9.0788988639036727E-2</v>
      </c>
      <c r="E282" s="313">
        <f>Quarts!DA117</f>
        <v>4.5404742518822205E-2</v>
      </c>
      <c r="F282" s="313">
        <f>Quarts!DB117</f>
        <v>6.7891669364910534E-2</v>
      </c>
      <c r="G282" s="313">
        <f>Quarts!DC117</f>
        <v>9.4194525292563558E-2</v>
      </c>
      <c r="H282" s="313">
        <f>Quarts!DD117</f>
        <v>3.428765708755499E-2</v>
      </c>
      <c r="I282" s="313">
        <f>Quarts!DE117</f>
        <v>0.14417089160839147</v>
      </c>
      <c r="J282" s="313">
        <f>Quarts!DF117</f>
        <v>0.12686714240852437</v>
      </c>
      <c r="K282" s="313">
        <f>Quarts!DG117</f>
        <v>9.5395834234278887E-2</v>
      </c>
      <c r="L282" s="313">
        <f>Quarts!DH117</f>
        <v>0.11859159936920571</v>
      </c>
      <c r="M282" s="313">
        <f>Quarts!DI117</f>
        <v>8.7841113152216099E-2</v>
      </c>
      <c r="N282" s="313">
        <f>Quarts!DJ117</f>
        <v>0.13363084598915265</v>
      </c>
      <c r="O282" s="313">
        <f>Quarts!DK117</f>
        <v>7.8632397287918154E-2</v>
      </c>
      <c r="P282" s="313">
        <f>Quarts!DL117</f>
        <v>8.0107822410147911E-2</v>
      </c>
      <c r="Q282" s="313">
        <f>Quarts!DM117</f>
        <v>4.6471352287487333E-2</v>
      </c>
      <c r="R282" s="313">
        <f>Quarts!DN117</f>
        <v>2.9770583408494922E-3</v>
      </c>
      <c r="S282" s="313">
        <f>Quarts!DO117</f>
        <v>8.0529148597552336E-3</v>
      </c>
      <c r="T282" s="313">
        <f>Quarts!DP117</f>
        <v>9.2038549644968271E-3</v>
      </c>
      <c r="U282" s="313">
        <f>Quarts!DQ117</f>
        <v>5.3525631668893014E-2</v>
      </c>
      <c r="V282" s="313">
        <f>Quarts!DR117</f>
        <v>0.11403042596348878</v>
      </c>
      <c r="W282" s="313"/>
      <c r="X282" s="313"/>
      <c r="Y282" s="313"/>
      <c r="Z282" s="313"/>
      <c r="AA282" s="313"/>
      <c r="AD282" s="161"/>
      <c r="AE282" s="161"/>
      <c r="AF282" s="161"/>
      <c r="AG282" s="161"/>
      <c r="AH282" s="161"/>
      <c r="AI282" s="161"/>
      <c r="AJ282" s="161"/>
      <c r="AK282" s="161"/>
      <c r="AL282" s="161"/>
      <c r="AM282" s="161"/>
      <c r="AN282" s="161"/>
      <c r="AO282" s="161"/>
      <c r="AP282" s="161"/>
      <c r="AQ282" s="161"/>
      <c r="AR282" s="161"/>
      <c r="AS282" s="161"/>
      <c r="AT282" s="161"/>
      <c r="AU282" s="161"/>
      <c r="AV282" s="161"/>
      <c r="AW282" s="161"/>
      <c r="AX282" s="161"/>
      <c r="AY282" s="161"/>
      <c r="AZ282" s="161"/>
      <c r="BA282" s="161"/>
      <c r="BB282" s="161"/>
      <c r="BC282" s="161"/>
      <c r="BD282" s="161"/>
      <c r="BE282" s="161"/>
      <c r="BF282" s="161"/>
      <c r="BG282" s="161"/>
      <c r="BH282" s="161"/>
      <c r="BI282" s="161"/>
      <c r="BJ282" s="161"/>
      <c r="BK282" s="161"/>
      <c r="BL282" s="161"/>
      <c r="BM282" s="161"/>
      <c r="BN282" s="161"/>
      <c r="BO282" s="161"/>
      <c r="BP282" s="161"/>
      <c r="BQ282" s="161"/>
      <c r="BR282" s="161"/>
      <c r="BS282" s="161"/>
      <c r="BT282" s="161"/>
      <c r="BU282" s="161"/>
      <c r="BV282" s="161"/>
    </row>
    <row r="283" spans="1:74">
      <c r="A283" s="161"/>
      <c r="B283" s="263" t="s">
        <v>728</v>
      </c>
      <c r="C283" s="313">
        <v>0.17250129607901998</v>
      </c>
      <c r="D283" s="313">
        <v>0.20118676833852422</v>
      </c>
      <c r="E283" s="313">
        <v>0.14694817658349324</v>
      </c>
      <c r="F283" s="313">
        <v>0.13463314776443558</v>
      </c>
      <c r="G283" s="313">
        <v>4.4960554792767171E-2</v>
      </c>
      <c r="H283" s="313">
        <v>4.0861032255180341E-2</v>
      </c>
      <c r="I283" s="313">
        <v>7.0285829038088332E-2</v>
      </c>
      <c r="J283" s="313">
        <v>9.0165016501650097E-2</v>
      </c>
      <c r="K283" s="313">
        <v>7.6676391332427762E-2</v>
      </c>
      <c r="L283" s="313">
        <v>7.8084398153119405E-2</v>
      </c>
      <c r="M283" s="313">
        <v>5.5830049825922101E-2</v>
      </c>
      <c r="N283" s="313">
        <v>8.2949866795834382E-2</v>
      </c>
      <c r="O283" s="313">
        <v>2.9930087287469487E-2</v>
      </c>
      <c r="P283" s="313">
        <v>-1.3605306667197947E-2</v>
      </c>
      <c r="Q283" s="313">
        <v>-3.0032579721591568E-2</v>
      </c>
      <c r="R283" s="313">
        <v>-5.7121025755712096E-2</v>
      </c>
      <c r="S283" s="313">
        <v>-4.478541160404137E-3</v>
      </c>
      <c r="T283" s="313">
        <v>-3.0655519205137538E-2</v>
      </c>
      <c r="U283" s="313">
        <v>7.6540998290042239E-3</v>
      </c>
      <c r="V283" s="313">
        <v>-2.3277098116339934E-2</v>
      </c>
      <c r="W283" s="313"/>
      <c r="X283" s="313"/>
      <c r="Y283" s="313"/>
      <c r="Z283" s="313"/>
      <c r="AA283" s="313"/>
      <c r="AD283" s="161"/>
      <c r="AE283" s="161"/>
      <c r="AF283" s="161"/>
      <c r="AG283" s="161"/>
      <c r="AH283" s="161"/>
      <c r="AI283" s="161"/>
      <c r="AJ283" s="161"/>
      <c r="AK283" s="161"/>
      <c r="AL283" s="161"/>
      <c r="AM283" s="161"/>
      <c r="AN283" s="161"/>
      <c r="AO283" s="161"/>
      <c r="AP283" s="161"/>
      <c r="AQ283" s="161"/>
      <c r="AR283" s="161"/>
      <c r="AS283" s="161"/>
      <c r="AT283" s="161"/>
      <c r="AU283" s="161"/>
      <c r="AV283" s="161"/>
      <c r="AW283" s="161"/>
      <c r="AX283" s="161"/>
      <c r="AY283" s="161"/>
      <c r="AZ283" s="161"/>
      <c r="BA283" s="161"/>
      <c r="BB283" s="161"/>
      <c r="BC283" s="161"/>
      <c r="BD283" s="161"/>
      <c r="BE283" s="161"/>
      <c r="BF283" s="161"/>
      <c r="BG283" s="161"/>
      <c r="BH283" s="161"/>
      <c r="BI283" s="161"/>
      <c r="BJ283" s="161"/>
      <c r="BK283" s="161"/>
      <c r="BL283" s="161"/>
      <c r="BM283" s="161"/>
      <c r="BN283" s="161"/>
      <c r="BO283" s="161"/>
      <c r="BP283" s="161"/>
      <c r="BQ283" s="161"/>
      <c r="BR283" s="161"/>
      <c r="BS283" s="161"/>
      <c r="BT283" s="161"/>
      <c r="BU283" s="161"/>
      <c r="BV283" s="161"/>
    </row>
    <row r="284" spans="1:74">
      <c r="A284" s="161"/>
      <c r="B284" s="263" t="s">
        <v>729</v>
      </c>
      <c r="C284" s="313">
        <v>0.17363690832834022</v>
      </c>
      <c r="D284" s="313">
        <v>0.19216538438949904</v>
      </c>
      <c r="E284" s="313">
        <v>0.16096942370015488</v>
      </c>
      <c r="F284" s="313">
        <v>0.13105909920710612</v>
      </c>
      <c r="G284" s="313">
        <v>5.2353481723504069E-2</v>
      </c>
      <c r="H284" s="313">
        <v>2.8203359771417302E-2</v>
      </c>
      <c r="I284" s="313">
        <v>4.9372527125761678E-2</v>
      </c>
      <c r="J284" s="313">
        <v>7.716027077160259E-2</v>
      </c>
      <c r="K284" s="313">
        <v>8.7466951269798976E-2</v>
      </c>
      <c r="L284" s="313">
        <v>7.1964161655846404E-2</v>
      </c>
      <c r="M284" s="313">
        <v>6.0211422358955158E-2</v>
      </c>
      <c r="N284" s="313">
        <v>8.379925750324313E-2</v>
      </c>
      <c r="O284" s="313">
        <v>4.2647157227934773E-2</v>
      </c>
      <c r="P284" s="313">
        <v>4.983574317831363E-2</v>
      </c>
      <c r="Q284" s="313">
        <v>2.9017759741676308E-3</v>
      </c>
      <c r="R284" s="313">
        <v>1.0338210107096124E-2</v>
      </c>
      <c r="S284" s="313">
        <v>1.4375869076906689E-2</v>
      </c>
      <c r="T284" s="313">
        <v>-1.4246784596717466E-2</v>
      </c>
      <c r="U284" s="313">
        <v>1.3696390889116117E-2</v>
      </c>
      <c r="V284" s="313">
        <v>-3.9323994117887229E-2</v>
      </c>
      <c r="W284" s="313"/>
      <c r="X284" s="313"/>
      <c r="Y284" s="313"/>
      <c r="Z284" s="313"/>
      <c r="AA284" s="313"/>
      <c r="AD284" s="161"/>
      <c r="AE284" s="161"/>
      <c r="AF284" s="161"/>
      <c r="AG284" s="161"/>
      <c r="AH284" s="161"/>
      <c r="AI284" s="161"/>
      <c r="AJ284" s="161"/>
      <c r="AK284" s="161"/>
      <c r="AL284" s="161"/>
      <c r="AM284" s="161"/>
      <c r="AN284" s="161"/>
      <c r="AO284" s="161"/>
      <c r="AP284" s="161"/>
      <c r="AQ284" s="161"/>
      <c r="AR284" s="161"/>
      <c r="AS284" s="161"/>
      <c r="AT284" s="161"/>
      <c r="AU284" s="161"/>
      <c r="AV284" s="161"/>
      <c r="AW284" s="161"/>
      <c r="AX284" s="161"/>
      <c r="AY284" s="161"/>
      <c r="AZ284" s="161"/>
      <c r="BA284" s="161"/>
      <c r="BB284" s="161"/>
      <c r="BC284" s="161"/>
      <c r="BD284" s="161"/>
      <c r="BE284" s="161"/>
      <c r="BF284" s="161"/>
      <c r="BG284" s="161"/>
      <c r="BH284" s="161"/>
      <c r="BI284" s="161"/>
      <c r="BJ284" s="161"/>
      <c r="BK284" s="161"/>
      <c r="BL284" s="161"/>
      <c r="BM284" s="161"/>
      <c r="BN284" s="161"/>
      <c r="BO284" s="161"/>
      <c r="BP284" s="161"/>
      <c r="BQ284" s="161"/>
      <c r="BR284" s="161"/>
      <c r="BS284" s="161"/>
      <c r="BT284" s="161"/>
      <c r="BU284" s="161"/>
      <c r="BV284" s="161"/>
    </row>
    <row r="285" spans="1:74">
      <c r="A285" s="161"/>
      <c r="B285" s="263" t="s">
        <v>731</v>
      </c>
      <c r="C285" s="313">
        <f>C289/3/100</f>
        <v>4.1033333333333324E-2</v>
      </c>
      <c r="D285" s="313">
        <f t="shared" ref="D285:T285" si="101">D289/3/100</f>
        <v>4.2139999999999997E-2</v>
      </c>
      <c r="E285" s="313">
        <f t="shared" si="101"/>
        <v>3.3136666666666661E-2</v>
      </c>
      <c r="F285" s="313">
        <f t="shared" si="101"/>
        <v>2.9410000000000002E-2</v>
      </c>
      <c r="G285" s="313">
        <f t="shared" si="101"/>
        <v>3.3943333333333332E-2</v>
      </c>
      <c r="H285" s="313">
        <f t="shared" si="101"/>
        <v>2.7730000000000001E-2</v>
      </c>
      <c r="I285" s="313">
        <f t="shared" si="101"/>
        <v>3.8949999999999999E-2</v>
      </c>
      <c r="J285" s="313">
        <f t="shared" si="101"/>
        <v>3.5229999999999997E-2</v>
      </c>
      <c r="K285" s="313">
        <f t="shared" si="101"/>
        <v>3.9870000000000003E-2</v>
      </c>
      <c r="L285" s="313">
        <f t="shared" si="101"/>
        <v>5.9526666666666658E-2</v>
      </c>
      <c r="M285" s="313">
        <f t="shared" si="101"/>
        <v>5.7993333333333334E-2</v>
      </c>
      <c r="N285" s="313">
        <f t="shared" si="101"/>
        <v>6.989999999999999E-2</v>
      </c>
      <c r="O285" s="313">
        <f t="shared" si="101"/>
        <v>7.2680000000000008E-2</v>
      </c>
      <c r="P285" s="313">
        <f t="shared" si="101"/>
        <v>7.7740000000000004E-2</v>
      </c>
      <c r="Q285" s="313">
        <f t="shared" si="101"/>
        <v>8.5153333333333331E-2</v>
      </c>
      <c r="R285" s="313">
        <f t="shared" si="101"/>
        <v>8.0070000000000002E-2</v>
      </c>
      <c r="S285" s="313">
        <f t="shared" si="101"/>
        <v>7.4593333333333331E-2</v>
      </c>
      <c r="T285" s="313">
        <f t="shared" si="101"/>
        <v>5.7146666666666672E-2</v>
      </c>
      <c r="U285" s="313"/>
      <c r="V285" s="313"/>
      <c r="W285" s="313"/>
      <c r="X285" s="313"/>
      <c r="Y285" s="313"/>
      <c r="Z285" s="313"/>
      <c r="AA285" s="313"/>
      <c r="AD285" s="161"/>
      <c r="AE285" s="161"/>
      <c r="AF285" s="161"/>
      <c r="AG285" s="161"/>
      <c r="AH285" s="161"/>
      <c r="AI285" s="161"/>
      <c r="AJ285" s="161"/>
      <c r="AK285" s="161"/>
      <c r="AL285" s="161"/>
      <c r="AM285" s="161"/>
      <c r="AN285" s="161"/>
      <c r="AO285" s="161"/>
      <c r="AP285" s="161"/>
      <c r="AQ285" s="161"/>
      <c r="AR285" s="161"/>
      <c r="AS285" s="161"/>
      <c r="AT285" s="161"/>
      <c r="AU285" s="161"/>
      <c r="AV285" s="161"/>
      <c r="AW285" s="161"/>
      <c r="AX285" s="161"/>
      <c r="AY285" s="161"/>
      <c r="AZ285" s="161"/>
      <c r="BA285" s="161"/>
      <c r="BB285" s="161"/>
      <c r="BC285" s="161"/>
      <c r="BD285" s="161"/>
      <c r="BE285" s="161"/>
      <c r="BF285" s="161"/>
      <c r="BG285" s="161"/>
      <c r="BH285" s="161"/>
      <c r="BI285" s="161"/>
      <c r="BJ285" s="161"/>
      <c r="BK285" s="161"/>
      <c r="BL285" s="161"/>
      <c r="BM285" s="161"/>
      <c r="BN285" s="161"/>
      <c r="BO285" s="161"/>
      <c r="BP285" s="161"/>
      <c r="BQ285" s="161"/>
      <c r="BR285" s="161"/>
      <c r="BS285" s="161"/>
      <c r="BT285" s="161"/>
      <c r="BU285" s="161"/>
      <c r="BV285" s="161"/>
    </row>
    <row r="286" spans="1:74">
      <c r="A286" s="161"/>
      <c r="B286" s="263" t="s">
        <v>36</v>
      </c>
      <c r="C286" s="313">
        <v>3.1026706231454426E-2</v>
      </c>
      <c r="D286" s="313">
        <v>-7.5397223951951919E-2</v>
      </c>
      <c r="E286" s="313">
        <v>5.7294554138769493E-2</v>
      </c>
      <c r="F286" s="313">
        <v>0.19678158832474635</v>
      </c>
      <c r="G286" s="313">
        <v>-5.6905046969976003E-2</v>
      </c>
      <c r="H286" s="313">
        <v>-0.13888919062774929</v>
      </c>
      <c r="I286" s="313">
        <v>-2.8234345064035438E-3</v>
      </c>
      <c r="J286" s="313">
        <v>9.0491001156858486E-2</v>
      </c>
      <c r="K286" s="313">
        <v>6.3268270650992831E-2</v>
      </c>
      <c r="L286" s="313">
        <v>0.1617827002888752</v>
      </c>
      <c r="M286" s="313">
        <v>2.9325513196481134E-2</v>
      </c>
      <c r="N286" s="313">
        <v>0.34803175624559834</v>
      </c>
      <c r="O286" s="313">
        <v>-0.22907099559147692</v>
      </c>
      <c r="P286" s="313">
        <v>-0.27042932528393671</v>
      </c>
      <c r="Q286" s="313">
        <v>-0.35828666863149627</v>
      </c>
      <c r="R286" s="313">
        <v>-0.64271569101757786</v>
      </c>
      <c r="S286" s="313">
        <v>-2.5301186877336179E-2</v>
      </c>
      <c r="T286" s="313">
        <v>-6.2388379568996455E-2</v>
      </c>
      <c r="U286" s="313">
        <v>-2.0973668095529585E-2</v>
      </c>
      <c r="V286" s="313">
        <v>5.3890797574570826E-2</v>
      </c>
      <c r="W286" s="313"/>
      <c r="X286" s="313"/>
      <c r="Y286" s="313"/>
      <c r="Z286" s="313"/>
      <c r="AA286" s="313"/>
      <c r="AD286" s="161"/>
      <c r="AE286" s="161"/>
      <c r="AF286" s="161"/>
      <c r="AG286" s="161"/>
      <c r="AH286" s="161"/>
      <c r="AI286" s="161"/>
      <c r="AJ286" s="161"/>
      <c r="AK286" s="161"/>
      <c r="AL286" s="161"/>
      <c r="AM286" s="161"/>
      <c r="AN286" s="161"/>
      <c r="AO286" s="161"/>
      <c r="AP286" s="161"/>
      <c r="AQ286" s="161"/>
      <c r="AR286" s="161"/>
      <c r="AS286" s="161"/>
      <c r="AT286" s="161"/>
      <c r="AU286" s="161"/>
      <c r="AV286" s="161"/>
      <c r="AW286" s="161"/>
      <c r="AX286" s="161"/>
      <c r="AY286" s="161"/>
      <c r="AZ286" s="161"/>
      <c r="BA286" s="161"/>
      <c r="BB286" s="161"/>
      <c r="BC286" s="161"/>
      <c r="BD286" s="161"/>
      <c r="BE286" s="161"/>
      <c r="BF286" s="161"/>
      <c r="BG286" s="161"/>
      <c r="BH286" s="161"/>
      <c r="BI286" s="161"/>
      <c r="BJ286" s="161"/>
      <c r="BK286" s="161"/>
      <c r="BL286" s="161"/>
      <c r="BM286" s="161"/>
      <c r="BN286" s="161"/>
      <c r="BO286" s="161"/>
      <c r="BP286" s="161"/>
      <c r="BQ286" s="161"/>
      <c r="BR286" s="161"/>
      <c r="BS286" s="161"/>
      <c r="BT286" s="161"/>
      <c r="BU286" s="161"/>
      <c r="BV286" s="161"/>
    </row>
    <row r="287" spans="1:74">
      <c r="A287" s="161"/>
      <c r="B287" s="161"/>
      <c r="C287" s="161"/>
      <c r="D287" s="161"/>
      <c r="E287" s="161"/>
      <c r="F287" s="161"/>
      <c r="G287" s="161"/>
      <c r="H287" s="161"/>
      <c r="I287" s="161"/>
      <c r="J287" s="161"/>
      <c r="K287" s="161"/>
      <c r="L287" s="161"/>
      <c r="M287" s="161"/>
      <c r="N287" s="161"/>
      <c r="O287" s="161"/>
      <c r="P287" s="161"/>
      <c r="Q287" s="161"/>
      <c r="R287" s="161"/>
      <c r="S287" s="161"/>
      <c r="T287" s="161"/>
      <c r="U287" s="161"/>
      <c r="V287" s="161"/>
      <c r="W287" s="161"/>
      <c r="X287" s="161"/>
      <c r="Y287" s="161"/>
      <c r="Z287" s="161"/>
      <c r="AA287" s="161"/>
      <c r="AB287" s="161"/>
      <c r="AC287" s="161"/>
      <c r="AD287" s="161"/>
      <c r="AE287" s="161"/>
      <c r="AF287" s="161"/>
      <c r="AG287" s="161"/>
      <c r="AH287" s="161"/>
      <c r="AI287" s="161"/>
      <c r="AJ287" s="161"/>
      <c r="AK287" s="161"/>
      <c r="AL287" s="161"/>
      <c r="AM287" s="161"/>
      <c r="AN287" s="161"/>
      <c r="AO287" s="161"/>
      <c r="AP287" s="161"/>
      <c r="AQ287" s="161"/>
      <c r="AR287" s="161"/>
      <c r="AS287" s="161"/>
      <c r="AT287" s="161"/>
      <c r="AU287" s="161"/>
      <c r="AV287" s="161"/>
      <c r="AW287" s="161"/>
      <c r="AX287" s="161"/>
      <c r="AY287" s="161"/>
      <c r="AZ287" s="161"/>
      <c r="BA287" s="161"/>
      <c r="BB287" s="161"/>
      <c r="BC287" s="161"/>
      <c r="BD287" s="161"/>
      <c r="BE287" s="161"/>
      <c r="BF287" s="161"/>
      <c r="BG287" s="161"/>
      <c r="BH287" s="161"/>
      <c r="BI287" s="161"/>
      <c r="BJ287" s="161"/>
      <c r="BK287" s="161"/>
      <c r="BL287" s="161"/>
      <c r="BM287" s="161"/>
      <c r="BN287" s="161"/>
      <c r="BO287" s="161"/>
      <c r="BP287" s="161"/>
      <c r="BQ287" s="161"/>
      <c r="BR287" s="161"/>
      <c r="BS287" s="161"/>
      <c r="BT287" s="161"/>
      <c r="BU287" s="161"/>
      <c r="BV287" s="161"/>
    </row>
    <row r="288" spans="1:74">
      <c r="A288" s="161"/>
      <c r="B288" s="161"/>
      <c r="C288" s="161"/>
      <c r="D288" s="161"/>
      <c r="E288" s="161"/>
      <c r="F288" s="161"/>
      <c r="G288" s="161"/>
      <c r="H288" s="161"/>
      <c r="I288" s="161"/>
      <c r="J288" s="161"/>
      <c r="K288" s="161"/>
      <c r="L288" s="161"/>
      <c r="M288" s="161"/>
      <c r="N288" s="161"/>
      <c r="O288" s="161"/>
      <c r="P288" s="161"/>
      <c r="Q288" s="161"/>
      <c r="R288" s="161"/>
      <c r="S288" s="161"/>
      <c r="T288" s="161"/>
      <c r="U288" s="161"/>
      <c r="V288" s="161"/>
      <c r="W288" s="161"/>
      <c r="X288" s="161"/>
      <c r="Y288" s="161"/>
      <c r="Z288" s="161"/>
      <c r="AA288" s="161"/>
      <c r="AB288" s="161"/>
      <c r="AC288" s="161"/>
      <c r="AD288" s="161"/>
      <c r="AE288" s="161"/>
      <c r="AF288" s="161"/>
      <c r="AG288" s="161"/>
      <c r="AH288" s="161"/>
      <c r="AI288" s="161"/>
      <c r="AJ288" s="161"/>
      <c r="AK288" s="161"/>
      <c r="AL288" s="161"/>
      <c r="AM288" s="161"/>
      <c r="AN288" s="161"/>
      <c r="AO288" s="161"/>
      <c r="AP288" s="161"/>
      <c r="AQ288" s="161"/>
      <c r="AR288" s="161"/>
      <c r="AS288" s="161"/>
      <c r="AT288" s="161"/>
      <c r="AU288" s="161"/>
      <c r="AV288" s="161"/>
      <c r="AW288" s="161"/>
      <c r="AX288" s="161"/>
      <c r="AY288" s="161"/>
      <c r="AZ288" s="161"/>
      <c r="BA288" s="161"/>
      <c r="BB288" s="161"/>
      <c r="BC288" s="161"/>
      <c r="BD288" s="161"/>
      <c r="BE288" s="161"/>
      <c r="BF288" s="161"/>
      <c r="BG288" s="161"/>
      <c r="BH288" s="161"/>
      <c r="BI288" s="161"/>
      <c r="BJ288" s="161"/>
      <c r="BK288" s="161"/>
      <c r="BL288" s="161"/>
      <c r="BM288" s="161"/>
      <c r="BN288" s="161"/>
      <c r="BO288" s="161"/>
      <c r="BP288" s="161"/>
      <c r="BQ288" s="161"/>
      <c r="BR288" s="161"/>
      <c r="BS288" s="161"/>
      <c r="BT288" s="161"/>
      <c r="BU288" s="161"/>
      <c r="BV288" s="161"/>
    </row>
    <row r="289" spans="1:74">
      <c r="A289" s="161"/>
      <c r="B289" s="161"/>
      <c r="C289" s="161">
        <f>4.366+3.94+4.004</f>
        <v>12.309999999999999</v>
      </c>
      <c r="D289" s="161">
        <f>4.413+4.282+3.947</f>
        <v>12.641999999999999</v>
      </c>
      <c r="E289" s="161">
        <f>3.781+3.162+2.998</f>
        <v>9.9409999999999989</v>
      </c>
      <c r="F289" s="161">
        <f>3.02+2.974+2.829</f>
        <v>8.8230000000000004</v>
      </c>
      <c r="G289" s="161">
        <f>3.238+3.696+3.249</f>
        <v>10.183</v>
      </c>
      <c r="H289" s="161">
        <f>2.148+2.837+3.334</f>
        <v>8.3190000000000008</v>
      </c>
      <c r="I289" s="161">
        <f>3.623+4.048+4.014</f>
        <v>11.685</v>
      </c>
      <c r="J289" s="161">
        <f>4.087+3.332+3.15</f>
        <v>10.568999999999999</v>
      </c>
      <c r="K289" s="161">
        <f>3.535+3.759+4.667</f>
        <v>11.961</v>
      </c>
      <c r="L289" s="161">
        <f>6.085+5.894+5.879</f>
        <v>17.857999999999997</v>
      </c>
      <c r="M289" s="161">
        <f>5.806+5.592+6</f>
        <v>17.398</v>
      </c>
      <c r="N289" s="161">
        <f>6.24+7.375+7.355</f>
        <v>20.97</v>
      </c>
      <c r="O289" s="161">
        <f>7.07+7.28+7.454</f>
        <v>21.804000000000002</v>
      </c>
      <c r="P289" s="161">
        <f>7.683+7.653+7.986</f>
        <v>23.321999999999999</v>
      </c>
      <c r="Q289" s="161">
        <f>8.151+8.695+8.7</f>
        <v>25.545999999999999</v>
      </c>
      <c r="R289" s="161">
        <f>8.407+7.797+7.817</f>
        <v>24.021000000000001</v>
      </c>
      <c r="S289" s="161">
        <f>7.91+7.619+6.849</f>
        <v>22.378</v>
      </c>
      <c r="T289" s="161">
        <f>6.253+5.835+5.056</f>
        <v>17.144000000000002</v>
      </c>
      <c r="U289" s="161"/>
      <c r="V289" s="161"/>
      <c r="W289" s="161"/>
      <c r="X289" s="161"/>
      <c r="Y289" s="161"/>
      <c r="Z289" s="161"/>
      <c r="AA289" s="161"/>
      <c r="AB289" s="161"/>
      <c r="AC289" s="161"/>
      <c r="AD289" s="161"/>
      <c r="AE289" s="161"/>
      <c r="AF289" s="161"/>
      <c r="AG289" s="161"/>
      <c r="AH289" s="161"/>
      <c r="AI289" s="161"/>
      <c r="AJ289" s="161"/>
      <c r="AK289" s="161"/>
      <c r="AL289" s="161"/>
      <c r="AM289" s="161"/>
      <c r="AN289" s="161"/>
      <c r="AO289" s="161"/>
      <c r="AP289" s="161"/>
      <c r="AQ289" s="161"/>
      <c r="AR289" s="161"/>
      <c r="AS289" s="161"/>
      <c r="AT289" s="161"/>
      <c r="AU289" s="161"/>
      <c r="AV289" s="161"/>
      <c r="AW289" s="161"/>
      <c r="AX289" s="161"/>
      <c r="AY289" s="161"/>
      <c r="AZ289" s="161"/>
      <c r="BA289" s="161"/>
      <c r="BB289" s="161"/>
      <c r="BC289" s="161"/>
      <c r="BD289" s="161"/>
      <c r="BE289" s="161"/>
      <c r="BF289" s="161"/>
      <c r="BG289" s="161"/>
      <c r="BH289" s="161"/>
      <c r="BI289" s="161"/>
      <c r="BJ289" s="161"/>
      <c r="BK289" s="161"/>
      <c r="BL289" s="161"/>
      <c r="BM289" s="161"/>
      <c r="BN289" s="161"/>
      <c r="BO289" s="161"/>
      <c r="BP289" s="161"/>
      <c r="BQ289" s="161"/>
      <c r="BR289" s="161"/>
      <c r="BS289" s="161"/>
      <c r="BT289" s="161"/>
      <c r="BU289" s="161"/>
      <c r="BV289" s="161"/>
    </row>
    <row r="290" spans="1:74">
      <c r="A290" s="161"/>
      <c r="B290" s="161"/>
      <c r="C290" s="161"/>
      <c r="D290" s="161"/>
      <c r="E290" s="161"/>
      <c r="F290" s="161"/>
      <c r="G290" s="161"/>
      <c r="H290" s="161"/>
      <c r="I290" s="161"/>
      <c r="J290" s="161"/>
      <c r="K290" s="161"/>
      <c r="L290" s="161"/>
      <c r="M290" s="161"/>
      <c r="N290" s="161"/>
      <c r="O290" s="161"/>
      <c r="P290" s="161"/>
      <c r="Q290" s="161"/>
      <c r="R290" s="161"/>
      <c r="S290" s="161"/>
      <c r="T290" s="161"/>
      <c r="U290" s="161"/>
      <c r="V290" s="161"/>
      <c r="W290" s="161"/>
      <c r="X290" s="161"/>
      <c r="Y290" s="161"/>
      <c r="Z290" s="161"/>
      <c r="AA290" s="161"/>
      <c r="AB290" s="161"/>
      <c r="AC290" s="161"/>
      <c r="AD290" s="161"/>
      <c r="AE290" s="161"/>
      <c r="AF290" s="161"/>
      <c r="AG290" s="161"/>
      <c r="AH290" s="161"/>
      <c r="AI290" s="161"/>
      <c r="AJ290" s="161"/>
      <c r="AK290" s="161"/>
      <c r="AL290" s="161"/>
      <c r="AM290" s="161"/>
      <c r="AN290" s="161"/>
      <c r="AO290" s="161"/>
      <c r="AP290" s="161"/>
      <c r="AQ290" s="161"/>
      <c r="AR290" s="161"/>
      <c r="AS290" s="161"/>
      <c r="AT290" s="161"/>
      <c r="AU290" s="161"/>
      <c r="AV290" s="161"/>
      <c r="AW290" s="161"/>
      <c r="AX290" s="161"/>
      <c r="AY290" s="161"/>
      <c r="AZ290" s="161"/>
      <c r="BA290" s="161"/>
      <c r="BB290" s="161"/>
      <c r="BC290" s="161"/>
      <c r="BD290" s="161"/>
      <c r="BE290" s="161"/>
      <c r="BF290" s="161"/>
      <c r="BG290" s="161"/>
      <c r="BH290" s="161"/>
      <c r="BI290" s="161"/>
      <c r="BJ290" s="161"/>
      <c r="BK290" s="161"/>
      <c r="BL290" s="161"/>
      <c r="BM290" s="161"/>
      <c r="BN290" s="161"/>
      <c r="BO290" s="161"/>
      <c r="BP290" s="161"/>
      <c r="BQ290" s="161"/>
      <c r="BR290" s="161"/>
      <c r="BS290" s="161"/>
      <c r="BT290" s="161"/>
      <c r="BU290" s="161"/>
      <c r="BV290" s="161"/>
    </row>
    <row r="291" spans="1:74">
      <c r="A291" s="161"/>
      <c r="B291" s="161"/>
      <c r="C291" s="161"/>
      <c r="D291" s="161"/>
      <c r="E291" s="161"/>
      <c r="F291" s="161"/>
      <c r="G291" s="161"/>
      <c r="H291" s="161"/>
      <c r="I291" s="161"/>
      <c r="J291" s="161"/>
      <c r="K291" s="161"/>
      <c r="L291" s="161"/>
      <c r="M291" s="161"/>
      <c r="N291" s="161"/>
      <c r="O291" s="161"/>
      <c r="P291" s="161"/>
      <c r="Q291" s="161"/>
      <c r="R291" s="161"/>
      <c r="S291" s="161"/>
      <c r="T291" s="161"/>
      <c r="U291" s="161"/>
      <c r="V291" s="161"/>
      <c r="W291" s="161"/>
      <c r="X291" s="161"/>
      <c r="Y291" s="161"/>
      <c r="Z291" s="161"/>
      <c r="AA291" s="161"/>
      <c r="AB291" s="161"/>
      <c r="AC291" s="161"/>
      <c r="AD291" s="161"/>
      <c r="AE291" s="161"/>
      <c r="AF291" s="161"/>
      <c r="AG291" s="161"/>
      <c r="AH291" s="161"/>
      <c r="AI291" s="161"/>
      <c r="AJ291" s="161"/>
      <c r="AK291" s="161"/>
      <c r="AL291" s="161"/>
      <c r="AM291" s="161"/>
      <c r="AN291" s="161"/>
      <c r="AO291" s="161"/>
      <c r="AP291" s="161"/>
      <c r="AQ291" s="161"/>
      <c r="AR291" s="161"/>
      <c r="AS291" s="161"/>
      <c r="AT291" s="161"/>
      <c r="AU291" s="161"/>
      <c r="AV291" s="161"/>
      <c r="AW291" s="161"/>
      <c r="AX291" s="161"/>
      <c r="AY291" s="161"/>
      <c r="AZ291" s="161"/>
      <c r="BA291" s="161"/>
      <c r="BB291" s="161"/>
      <c r="BC291" s="161"/>
      <c r="BD291" s="161"/>
      <c r="BE291" s="161"/>
      <c r="BF291" s="161"/>
      <c r="BG291" s="161"/>
      <c r="BH291" s="161"/>
      <c r="BI291" s="161"/>
      <c r="BJ291" s="161"/>
      <c r="BK291" s="161"/>
      <c r="BL291" s="161"/>
      <c r="BM291" s="161"/>
      <c r="BN291" s="161"/>
      <c r="BO291" s="161"/>
      <c r="BP291" s="161"/>
      <c r="BQ291" s="161"/>
      <c r="BR291" s="161"/>
      <c r="BS291" s="161"/>
      <c r="BT291" s="161"/>
      <c r="BU291" s="161"/>
      <c r="BV291" s="161"/>
    </row>
    <row r="292" spans="1:74">
      <c r="A292" s="161"/>
      <c r="B292" s="161"/>
      <c r="C292" s="161"/>
      <c r="D292" s="161"/>
      <c r="E292" s="161"/>
      <c r="F292" s="161"/>
      <c r="G292" s="161"/>
      <c r="H292" s="161"/>
      <c r="I292" s="161"/>
      <c r="J292" s="161"/>
      <c r="K292" s="161"/>
      <c r="L292" s="161"/>
      <c r="M292" s="161"/>
      <c r="N292" s="161"/>
      <c r="O292" s="161"/>
      <c r="P292" s="161"/>
      <c r="Q292" s="161"/>
      <c r="R292" s="161"/>
      <c r="S292" s="161"/>
      <c r="T292" s="161"/>
      <c r="U292" s="161"/>
      <c r="V292" s="161"/>
      <c r="W292" s="161"/>
      <c r="X292" s="161"/>
      <c r="Y292" s="161"/>
      <c r="Z292" s="161"/>
      <c r="AA292" s="161"/>
      <c r="AB292" s="161"/>
      <c r="AC292" s="161"/>
      <c r="AD292" s="161"/>
      <c r="AE292" s="161"/>
      <c r="AF292" s="161"/>
      <c r="AG292" s="161"/>
      <c r="AH292" s="161"/>
      <c r="AI292" s="161"/>
      <c r="AJ292" s="161"/>
      <c r="AK292" s="161"/>
      <c r="AL292" s="161"/>
      <c r="AM292" s="161"/>
      <c r="AN292" s="161"/>
      <c r="AO292" s="161"/>
      <c r="AP292" s="161"/>
      <c r="AQ292" s="161"/>
      <c r="AR292" s="161"/>
      <c r="AS292" s="161"/>
      <c r="AT292" s="161"/>
      <c r="AU292" s="161"/>
      <c r="AV292" s="161"/>
      <c r="AW292" s="161"/>
      <c r="AX292" s="161"/>
      <c r="AY292" s="161"/>
      <c r="AZ292" s="161"/>
      <c r="BA292" s="161"/>
      <c r="BB292" s="161"/>
      <c r="BC292" s="161"/>
      <c r="BD292" s="161"/>
      <c r="BE292" s="161"/>
      <c r="BF292" s="161"/>
      <c r="BG292" s="161"/>
      <c r="BH292" s="161"/>
      <c r="BI292" s="161"/>
      <c r="BJ292" s="161"/>
      <c r="BK292" s="161"/>
      <c r="BL292" s="161"/>
      <c r="BM292" s="161"/>
      <c r="BN292" s="161"/>
      <c r="BO292" s="161"/>
      <c r="BP292" s="161"/>
      <c r="BQ292" s="161"/>
      <c r="BR292" s="161"/>
      <c r="BS292" s="161"/>
      <c r="BT292" s="161"/>
      <c r="BU292" s="161"/>
      <c r="BV292" s="161"/>
    </row>
    <row r="293" spans="1:74">
      <c r="A293" s="161"/>
      <c r="B293" s="161"/>
      <c r="C293" s="161"/>
      <c r="D293" s="161"/>
      <c r="E293" s="161"/>
      <c r="F293" s="161"/>
      <c r="G293" s="161"/>
      <c r="H293" s="161"/>
      <c r="I293" s="161"/>
      <c r="J293" s="161"/>
      <c r="K293" s="161"/>
      <c r="L293" s="161"/>
      <c r="M293" s="161"/>
      <c r="N293" s="161"/>
      <c r="O293" s="161"/>
      <c r="P293" s="161"/>
      <c r="Q293" s="161"/>
      <c r="R293" s="161"/>
      <c r="S293" s="161"/>
      <c r="T293" s="161"/>
      <c r="U293" s="161"/>
      <c r="V293" s="161"/>
      <c r="W293" s="161"/>
      <c r="X293" s="161"/>
      <c r="Y293" s="161"/>
      <c r="Z293" s="161"/>
      <c r="AA293" s="161"/>
      <c r="AB293" s="161"/>
      <c r="AC293" s="161"/>
      <c r="AD293" s="161"/>
      <c r="AE293" s="161"/>
      <c r="AF293" s="161"/>
      <c r="AG293" s="161"/>
      <c r="AH293" s="161"/>
      <c r="AI293" s="161"/>
      <c r="AJ293" s="161"/>
      <c r="AK293" s="161"/>
      <c r="AL293" s="161"/>
      <c r="AM293" s="161"/>
      <c r="AN293" s="161"/>
      <c r="AO293" s="161"/>
      <c r="AP293" s="161"/>
      <c r="AQ293" s="161"/>
      <c r="AR293" s="161"/>
      <c r="AS293" s="161"/>
      <c r="AT293" s="161"/>
      <c r="AU293" s="161"/>
      <c r="AV293" s="161"/>
      <c r="AW293" s="161"/>
      <c r="AX293" s="161"/>
      <c r="AY293" s="161"/>
      <c r="AZ293" s="161"/>
      <c r="BA293" s="161"/>
      <c r="BB293" s="161"/>
      <c r="BC293" s="161"/>
      <c r="BD293" s="161"/>
      <c r="BE293" s="161"/>
      <c r="BF293" s="161"/>
      <c r="BG293" s="161"/>
      <c r="BH293" s="161"/>
      <c r="BI293" s="161"/>
      <c r="BJ293" s="161"/>
      <c r="BK293" s="161"/>
      <c r="BL293" s="161"/>
      <c r="BM293" s="161"/>
      <c r="BN293" s="161"/>
      <c r="BO293" s="161"/>
      <c r="BP293" s="161"/>
      <c r="BQ293" s="161"/>
      <c r="BR293" s="161"/>
      <c r="BS293" s="161"/>
      <c r="BT293" s="161"/>
      <c r="BU293" s="161"/>
      <c r="BV293" s="161"/>
    </row>
    <row r="294" spans="1:74">
      <c r="A294" s="161"/>
      <c r="B294" s="161"/>
      <c r="C294" s="161"/>
      <c r="D294" s="161"/>
      <c r="E294" s="161"/>
      <c r="F294" s="161"/>
      <c r="G294" s="161"/>
      <c r="H294" s="161"/>
      <c r="I294" s="161"/>
      <c r="J294" s="161"/>
      <c r="K294" s="161"/>
      <c r="L294" s="161"/>
      <c r="M294" s="161"/>
      <c r="N294" s="161"/>
      <c r="O294" s="161"/>
      <c r="P294" s="161"/>
      <c r="Q294" s="161"/>
      <c r="R294" s="161"/>
      <c r="S294" s="161"/>
      <c r="T294" s="161"/>
      <c r="U294" s="161"/>
      <c r="V294" s="161"/>
      <c r="W294" s="161"/>
      <c r="X294" s="161"/>
      <c r="Y294" s="161"/>
      <c r="Z294" s="161"/>
      <c r="AA294" s="161"/>
      <c r="AB294" s="161"/>
      <c r="AC294" s="161"/>
      <c r="AD294" s="161"/>
      <c r="AE294" s="161"/>
      <c r="AF294" s="161"/>
      <c r="AG294" s="161"/>
      <c r="AH294" s="161"/>
      <c r="AI294" s="161"/>
      <c r="AJ294" s="161"/>
      <c r="AK294" s="161"/>
      <c r="AL294" s="161"/>
      <c r="AM294" s="161"/>
      <c r="AN294" s="161"/>
      <c r="AO294" s="161"/>
      <c r="AP294" s="161"/>
      <c r="AQ294" s="161"/>
      <c r="AR294" s="161"/>
      <c r="AS294" s="161"/>
      <c r="AT294" s="161"/>
      <c r="AU294" s="161"/>
      <c r="AV294" s="161"/>
      <c r="AW294" s="161"/>
      <c r="AX294" s="161"/>
      <c r="AY294" s="161"/>
      <c r="AZ294" s="161"/>
      <c r="BA294" s="161"/>
      <c r="BB294" s="161"/>
      <c r="BC294" s="161"/>
      <c r="BD294" s="161"/>
      <c r="BE294" s="161"/>
      <c r="BF294" s="161"/>
      <c r="BG294" s="161"/>
      <c r="BH294" s="161"/>
      <c r="BI294" s="161"/>
      <c r="BJ294" s="161"/>
      <c r="BK294" s="161"/>
      <c r="BL294" s="161"/>
      <c r="BM294" s="161"/>
      <c r="BN294" s="161"/>
      <c r="BO294" s="161"/>
      <c r="BP294" s="161"/>
      <c r="BQ294" s="161"/>
      <c r="BR294" s="161"/>
      <c r="BS294" s="161"/>
      <c r="BT294" s="161"/>
      <c r="BU294" s="161"/>
      <c r="BV294" s="161"/>
    </row>
    <row r="295" spans="1:74">
      <c r="A295" s="161"/>
      <c r="B295" s="161"/>
      <c r="C295" s="161"/>
      <c r="D295" s="161"/>
      <c r="E295" s="161"/>
      <c r="F295" s="161"/>
      <c r="G295" s="161"/>
      <c r="H295" s="161"/>
      <c r="I295" s="161"/>
      <c r="J295" s="161"/>
      <c r="K295" s="161"/>
      <c r="L295" s="161"/>
      <c r="M295" s="161"/>
      <c r="N295" s="161"/>
      <c r="O295" s="161"/>
      <c r="P295" s="161"/>
      <c r="Q295" s="161"/>
      <c r="R295" s="161"/>
      <c r="S295" s="161"/>
      <c r="T295" s="161"/>
      <c r="U295" s="161"/>
      <c r="V295" s="161"/>
      <c r="W295" s="161"/>
      <c r="X295" s="161"/>
      <c r="Y295" s="161"/>
      <c r="Z295" s="161"/>
      <c r="AA295" s="161"/>
      <c r="AB295" s="161"/>
      <c r="AC295" s="161"/>
      <c r="AD295" s="161"/>
      <c r="AE295" s="161"/>
      <c r="AF295" s="161"/>
      <c r="AG295" s="161"/>
      <c r="AH295" s="161"/>
      <c r="AI295" s="161"/>
      <c r="AJ295" s="161"/>
      <c r="AK295" s="161"/>
      <c r="AL295" s="161"/>
      <c r="AM295" s="161"/>
      <c r="AN295" s="161"/>
      <c r="AO295" s="161"/>
      <c r="AP295" s="161"/>
      <c r="AQ295" s="161"/>
      <c r="AR295" s="161"/>
      <c r="AS295" s="161"/>
      <c r="AT295" s="161"/>
      <c r="AU295" s="161"/>
      <c r="AV295" s="161"/>
      <c r="AW295" s="161"/>
      <c r="AX295" s="161"/>
      <c r="AY295" s="161"/>
      <c r="AZ295" s="161"/>
      <c r="BA295" s="161"/>
      <c r="BB295" s="161"/>
      <c r="BC295" s="161"/>
      <c r="BD295" s="161"/>
      <c r="BE295" s="161"/>
      <c r="BF295" s="161"/>
      <c r="BG295" s="161"/>
      <c r="BH295" s="161"/>
      <c r="BI295" s="161"/>
      <c r="BJ295" s="161"/>
      <c r="BK295" s="161"/>
      <c r="BL295" s="161"/>
      <c r="BM295" s="161"/>
      <c r="BN295" s="161"/>
      <c r="BO295" s="161"/>
      <c r="BP295" s="161"/>
      <c r="BQ295" s="161"/>
      <c r="BR295" s="161"/>
      <c r="BS295" s="161"/>
      <c r="BT295" s="161"/>
      <c r="BU295" s="161"/>
      <c r="BV295" s="161"/>
    </row>
    <row r="296" spans="1:74">
      <c r="A296" s="161"/>
      <c r="B296" s="161"/>
      <c r="C296" s="161"/>
      <c r="D296" s="161"/>
      <c r="E296" s="161"/>
      <c r="F296" s="161"/>
      <c r="G296" s="161"/>
      <c r="H296" s="161"/>
      <c r="I296" s="161"/>
      <c r="J296" s="161"/>
      <c r="K296" s="161"/>
      <c r="L296" s="161"/>
      <c r="M296" s="161"/>
      <c r="N296" s="161"/>
      <c r="O296" s="161"/>
      <c r="P296" s="161"/>
      <c r="Q296" s="161"/>
      <c r="R296" s="161"/>
      <c r="S296" s="161"/>
      <c r="T296" s="161"/>
      <c r="U296" s="161"/>
      <c r="V296" s="161"/>
      <c r="W296" s="161"/>
      <c r="X296" s="161"/>
      <c r="Y296" s="161"/>
      <c r="Z296" s="161"/>
      <c r="AA296" s="161"/>
      <c r="AB296" s="161"/>
      <c r="AC296" s="161"/>
      <c r="AD296" s="161"/>
      <c r="AE296" s="161"/>
      <c r="AF296" s="161"/>
      <c r="AG296" s="161"/>
      <c r="AH296" s="161"/>
      <c r="AI296" s="161"/>
      <c r="AJ296" s="161"/>
      <c r="AK296" s="161"/>
      <c r="AL296" s="161"/>
      <c r="AM296" s="161"/>
      <c r="AN296" s="161"/>
      <c r="AO296" s="161"/>
      <c r="AP296" s="161"/>
      <c r="AQ296" s="161"/>
      <c r="AR296" s="161"/>
      <c r="AS296" s="161"/>
      <c r="AT296" s="161"/>
      <c r="AU296" s="161"/>
      <c r="AV296" s="161"/>
      <c r="AW296" s="161"/>
      <c r="AX296" s="161"/>
      <c r="AY296" s="161"/>
      <c r="AZ296" s="161"/>
      <c r="BA296" s="161"/>
      <c r="BB296" s="161"/>
      <c r="BC296" s="161"/>
      <c r="BD296" s="161"/>
      <c r="BE296" s="161"/>
      <c r="BF296" s="161"/>
      <c r="BG296" s="161"/>
      <c r="BH296" s="161"/>
      <c r="BI296" s="161"/>
      <c r="BJ296" s="161"/>
      <c r="BK296" s="161"/>
      <c r="BL296" s="161"/>
      <c r="BM296" s="161"/>
      <c r="BN296" s="161"/>
      <c r="BO296" s="161"/>
      <c r="BP296" s="161"/>
      <c r="BQ296" s="161"/>
      <c r="BR296" s="161"/>
      <c r="BS296" s="161"/>
      <c r="BT296" s="161"/>
      <c r="BU296" s="161"/>
      <c r="BV296" s="161"/>
    </row>
    <row r="297" spans="1:74">
      <c r="A297" s="161"/>
      <c r="B297" s="161"/>
      <c r="C297" s="161"/>
      <c r="D297" s="161"/>
      <c r="E297" s="161"/>
      <c r="F297" s="161"/>
      <c r="G297" s="161"/>
      <c r="H297" s="161"/>
      <c r="I297" s="161"/>
      <c r="J297" s="161"/>
      <c r="K297" s="161"/>
      <c r="L297" s="161"/>
      <c r="M297" s="161"/>
      <c r="N297" s="161"/>
      <c r="O297" s="161"/>
      <c r="P297" s="161"/>
      <c r="Q297" s="161"/>
      <c r="R297" s="161"/>
      <c r="S297" s="161"/>
      <c r="T297" s="161"/>
      <c r="U297" s="161"/>
      <c r="V297" s="161"/>
      <c r="W297" s="161"/>
      <c r="X297" s="161"/>
      <c r="Y297" s="161"/>
      <c r="Z297" s="161"/>
      <c r="AA297" s="161"/>
      <c r="AB297" s="161"/>
      <c r="AC297" s="161"/>
      <c r="AD297" s="161"/>
      <c r="AE297" s="161"/>
      <c r="AF297" s="161"/>
      <c r="AG297" s="161"/>
      <c r="AH297" s="161"/>
      <c r="AI297" s="161"/>
      <c r="AJ297" s="161"/>
      <c r="AK297" s="161"/>
      <c r="AL297" s="161"/>
      <c r="AM297" s="161"/>
      <c r="AN297" s="161"/>
      <c r="AO297" s="161"/>
      <c r="AP297" s="161"/>
      <c r="AQ297" s="161"/>
      <c r="AR297" s="161"/>
      <c r="AS297" s="161"/>
      <c r="AT297" s="161"/>
      <c r="AU297" s="161"/>
      <c r="AV297" s="161"/>
      <c r="AW297" s="161"/>
      <c r="AX297" s="161"/>
      <c r="AY297" s="161"/>
      <c r="AZ297" s="161"/>
      <c r="BA297" s="161"/>
      <c r="BB297" s="161"/>
      <c r="BC297" s="161"/>
      <c r="BD297" s="161"/>
      <c r="BE297" s="161"/>
      <c r="BF297" s="161"/>
      <c r="BG297" s="161"/>
      <c r="BH297" s="161"/>
      <c r="BI297" s="161"/>
      <c r="BJ297" s="161"/>
      <c r="BK297" s="161"/>
      <c r="BL297" s="161"/>
      <c r="BM297" s="161"/>
      <c r="BN297" s="161"/>
      <c r="BO297" s="161"/>
      <c r="BP297" s="161"/>
      <c r="BQ297" s="161"/>
      <c r="BR297" s="161"/>
      <c r="BS297" s="161"/>
      <c r="BT297" s="161"/>
      <c r="BU297" s="161"/>
      <c r="BV297" s="161"/>
    </row>
    <row r="298" spans="1:74">
      <c r="A298" s="161"/>
      <c r="B298" s="163" t="s">
        <v>363</v>
      </c>
      <c r="C298" s="310">
        <v>2022</v>
      </c>
      <c r="D298" s="310" t="s">
        <v>721</v>
      </c>
      <c r="E298" s="310" t="s">
        <v>722</v>
      </c>
      <c r="F298" s="310" t="s">
        <v>723</v>
      </c>
      <c r="G298" s="310" t="s">
        <v>732</v>
      </c>
      <c r="H298" s="310" t="s">
        <v>733</v>
      </c>
      <c r="I298" s="161"/>
      <c r="J298" s="161"/>
      <c r="K298" s="161"/>
      <c r="L298" s="161"/>
      <c r="M298" s="161"/>
      <c r="N298" s="161"/>
      <c r="O298" s="161"/>
      <c r="P298" s="161"/>
      <c r="Q298" s="161"/>
      <c r="R298" s="161"/>
      <c r="S298" s="161"/>
      <c r="T298" s="161"/>
      <c r="U298" s="161"/>
      <c r="V298" s="161"/>
      <c r="W298" s="161"/>
      <c r="X298" s="161"/>
      <c r="Y298" s="161"/>
      <c r="Z298" s="161"/>
      <c r="AA298" s="161"/>
      <c r="AB298" s="161"/>
      <c r="AC298" s="161"/>
      <c r="AD298" s="161"/>
      <c r="AE298" s="161"/>
      <c r="AF298" s="161"/>
      <c r="AG298" s="161"/>
      <c r="AH298" s="161"/>
      <c r="AI298" s="161"/>
      <c r="AJ298" s="161"/>
      <c r="AK298" s="161"/>
      <c r="AL298" s="161"/>
      <c r="AM298" s="161"/>
      <c r="AN298" s="161"/>
      <c r="AO298" s="161"/>
      <c r="AP298" s="161"/>
      <c r="AQ298" s="161"/>
      <c r="AR298" s="161"/>
      <c r="AS298" s="161"/>
      <c r="AT298" s="161"/>
      <c r="AU298" s="161"/>
      <c r="AV298" s="161"/>
      <c r="AW298" s="161"/>
      <c r="AX298" s="161"/>
      <c r="AY298" s="161"/>
      <c r="AZ298" s="161"/>
      <c r="BA298" s="161"/>
      <c r="BB298" s="161"/>
      <c r="BC298" s="161"/>
      <c r="BD298" s="161"/>
      <c r="BE298" s="161"/>
      <c r="BF298" s="161"/>
      <c r="BG298" s="161"/>
      <c r="BH298" s="161"/>
      <c r="BI298" s="161"/>
      <c r="BJ298" s="161"/>
      <c r="BK298" s="161"/>
      <c r="BL298" s="161"/>
      <c r="BM298" s="161"/>
      <c r="BN298" s="161"/>
      <c r="BO298" s="161"/>
      <c r="BP298" s="161"/>
      <c r="BQ298" s="161"/>
      <c r="BR298" s="161"/>
      <c r="BS298" s="161"/>
      <c r="BT298" s="161"/>
      <c r="BU298" s="161"/>
      <c r="BV298" s="161"/>
    </row>
    <row r="299" spans="1:74">
      <c r="A299" s="161"/>
      <c r="B299" s="263" t="s">
        <v>724</v>
      </c>
      <c r="C299" s="313">
        <f>Master!V14</f>
        <v>0.47021753007810002</v>
      </c>
      <c r="D299" s="313">
        <f>Master!W14</f>
        <v>0.44592407770331571</v>
      </c>
      <c r="E299" s="313">
        <f>Master!X14</f>
        <v>0.44547732141386848</v>
      </c>
      <c r="F299" s="313">
        <f>Master!Y14</f>
        <v>0.44979295625055921</v>
      </c>
      <c r="G299" s="313">
        <f>Master!Z14</f>
        <v>0.45000000000000007</v>
      </c>
      <c r="H299" s="313">
        <f>Master!AA14</f>
        <v>0.46000000000000008</v>
      </c>
      <c r="I299" s="161"/>
      <c r="J299" s="161"/>
      <c r="K299" s="161"/>
      <c r="L299" s="161"/>
      <c r="M299" s="161"/>
      <c r="N299" s="161"/>
      <c r="O299" s="161"/>
      <c r="P299" s="161"/>
      <c r="Q299" s="161"/>
      <c r="R299" s="161"/>
      <c r="S299" s="161"/>
      <c r="T299" s="161"/>
      <c r="U299" s="161"/>
      <c r="V299" s="161"/>
      <c r="W299" s="161"/>
      <c r="X299" s="161"/>
      <c r="Y299" s="161"/>
      <c r="Z299" s="161"/>
      <c r="AA299" s="161"/>
      <c r="AB299" s="161"/>
      <c r="AC299" s="161"/>
      <c r="AD299" s="161"/>
      <c r="AE299" s="161"/>
      <c r="AF299" s="161"/>
      <c r="AG299" s="161"/>
      <c r="AH299" s="161"/>
      <c r="AI299" s="161"/>
      <c r="AJ299" s="161"/>
      <c r="AK299" s="161"/>
      <c r="AL299" s="161"/>
      <c r="AM299" s="161"/>
      <c r="AN299" s="161"/>
      <c r="AO299" s="161"/>
      <c r="AP299" s="161"/>
      <c r="AQ299" s="161"/>
      <c r="AR299" s="161"/>
      <c r="AS299" s="161"/>
      <c r="AT299" s="161"/>
      <c r="AU299" s="161"/>
      <c r="AV299" s="161"/>
      <c r="AW299" s="161"/>
      <c r="AX299" s="161"/>
      <c r="AY299" s="161"/>
      <c r="AZ299" s="161"/>
      <c r="BA299" s="161"/>
      <c r="BB299" s="161"/>
      <c r="BC299" s="161"/>
      <c r="BD299" s="161"/>
      <c r="BE299" s="161"/>
      <c r="BF299" s="161"/>
      <c r="BG299" s="161"/>
      <c r="BH299" s="161"/>
      <c r="BI299" s="161"/>
      <c r="BJ299" s="161"/>
      <c r="BK299" s="161"/>
      <c r="BL299" s="161"/>
      <c r="BM299" s="161"/>
      <c r="BN299" s="161"/>
      <c r="BO299" s="161"/>
      <c r="BP299" s="161"/>
      <c r="BQ299" s="161"/>
      <c r="BR299" s="161"/>
      <c r="BS299" s="161"/>
      <c r="BT299" s="161"/>
      <c r="BU299" s="161"/>
      <c r="BV299" s="161"/>
    </row>
    <row r="300" spans="1:74">
      <c r="A300" s="161"/>
      <c r="B300" s="263" t="s">
        <v>730</v>
      </c>
      <c r="C300" s="313">
        <f>Fixed!Q141</f>
        <v>0.49102636189359133</v>
      </c>
      <c r="D300" s="313">
        <f>Fixed!R141</f>
        <v>0.46186161532699932</v>
      </c>
      <c r="E300" s="313">
        <f>Fixed!S141</f>
        <v>0.46212731927889483</v>
      </c>
      <c r="F300" s="313">
        <f>Fixed!T141</f>
        <v>0.46250000000000002</v>
      </c>
      <c r="G300" s="313">
        <f>Fixed!U141</f>
        <v>0.46750000000000003</v>
      </c>
      <c r="H300" s="313">
        <f>Fixed!V141</f>
        <v>0.47</v>
      </c>
      <c r="I300" s="161"/>
      <c r="J300" s="161"/>
      <c r="K300" s="161"/>
      <c r="L300" s="161"/>
      <c r="M300" s="161"/>
      <c r="N300" s="161"/>
      <c r="O300" s="161"/>
      <c r="P300" s="161"/>
      <c r="Q300" s="161"/>
      <c r="R300" s="161"/>
      <c r="S300" s="161"/>
      <c r="T300" s="161"/>
      <c r="U300" s="161"/>
      <c r="V300" s="161"/>
      <c r="W300" s="161"/>
      <c r="X300" s="161"/>
      <c r="Y300" s="161"/>
      <c r="Z300" s="161"/>
      <c r="AA300" s="161"/>
      <c r="AB300" s="161"/>
      <c r="AC300" s="161"/>
      <c r="AD300" s="161"/>
      <c r="AE300" s="161"/>
      <c r="AF300" s="161"/>
      <c r="AG300" s="161"/>
      <c r="AH300" s="161"/>
      <c r="AI300" s="161"/>
      <c r="AJ300" s="161"/>
      <c r="AK300" s="161"/>
      <c r="AL300" s="161"/>
      <c r="AM300" s="161"/>
      <c r="AN300" s="161"/>
      <c r="AO300" s="161"/>
      <c r="AP300" s="161"/>
      <c r="AQ300" s="161"/>
      <c r="AR300" s="161"/>
      <c r="AS300" s="161"/>
      <c r="AT300" s="161"/>
      <c r="AU300" s="161"/>
      <c r="AV300" s="161"/>
      <c r="AW300" s="161"/>
      <c r="AX300" s="161"/>
      <c r="AY300" s="161"/>
      <c r="AZ300" s="161"/>
      <c r="BA300" s="161"/>
      <c r="BB300" s="161"/>
      <c r="BC300" s="161"/>
      <c r="BD300" s="161"/>
      <c r="BE300" s="161"/>
      <c r="BF300" s="161"/>
      <c r="BG300" s="161"/>
      <c r="BH300" s="161"/>
      <c r="BI300" s="161"/>
      <c r="BJ300" s="161"/>
      <c r="BK300" s="161"/>
      <c r="BL300" s="161"/>
      <c r="BM300" s="161"/>
      <c r="BN300" s="161"/>
      <c r="BO300" s="161"/>
      <c r="BP300" s="161"/>
      <c r="BQ300" s="161"/>
      <c r="BR300" s="161"/>
      <c r="BS300" s="161"/>
      <c r="BT300" s="161"/>
      <c r="BU300" s="161"/>
      <c r="BV300" s="161"/>
    </row>
    <row r="301" spans="1:74">
      <c r="A301" s="161"/>
      <c r="B301" s="263" t="s">
        <v>728</v>
      </c>
      <c r="C301" s="313">
        <v>0.41111464560293148</v>
      </c>
      <c r="D301" s="313">
        <v>0.39499999999999996</v>
      </c>
      <c r="E301" s="313">
        <v>0.39400000000000007</v>
      </c>
      <c r="F301" s="313">
        <v>0.39300000000000002</v>
      </c>
      <c r="G301" s="313">
        <v>0.39200000000000002</v>
      </c>
      <c r="H301" s="313">
        <v>0.39100000000000007</v>
      </c>
      <c r="I301" s="161"/>
      <c r="J301" s="161"/>
      <c r="K301" s="161"/>
      <c r="L301" s="161"/>
      <c r="M301" s="161"/>
      <c r="N301" s="161"/>
      <c r="O301" s="161"/>
      <c r="P301" s="161"/>
      <c r="Q301" s="161"/>
      <c r="R301" s="161"/>
      <c r="S301" s="161"/>
      <c r="T301" s="161"/>
      <c r="U301" s="161"/>
      <c r="V301" s="161"/>
      <c r="W301" s="161"/>
      <c r="X301" s="161"/>
      <c r="Y301" s="161"/>
      <c r="Z301" s="161"/>
      <c r="AA301" s="161"/>
      <c r="AB301" s="161"/>
      <c r="AC301" s="161"/>
      <c r="AD301" s="161"/>
      <c r="AE301" s="161"/>
      <c r="AF301" s="161"/>
      <c r="AG301" s="161"/>
      <c r="AH301" s="161"/>
      <c r="AI301" s="161"/>
      <c r="AJ301" s="161"/>
      <c r="AK301" s="161"/>
      <c r="AL301" s="161"/>
      <c r="AM301" s="161"/>
      <c r="AN301" s="161"/>
      <c r="AO301" s="161"/>
      <c r="AP301" s="161"/>
      <c r="AQ301" s="161"/>
      <c r="AR301" s="161"/>
      <c r="AS301" s="161"/>
      <c r="AT301" s="161"/>
      <c r="AU301" s="161"/>
      <c r="AV301" s="161"/>
      <c r="AW301" s="161"/>
      <c r="AX301" s="161"/>
      <c r="AY301" s="161"/>
      <c r="AZ301" s="161"/>
      <c r="BA301" s="161"/>
      <c r="BB301" s="161"/>
      <c r="BC301" s="161"/>
      <c r="BD301" s="161"/>
      <c r="BE301" s="161"/>
      <c r="BF301" s="161"/>
      <c r="BG301" s="161"/>
      <c r="BH301" s="161"/>
      <c r="BI301" s="161"/>
      <c r="BJ301" s="161"/>
      <c r="BK301" s="161"/>
      <c r="BL301" s="161"/>
      <c r="BM301" s="161"/>
      <c r="BN301" s="161"/>
      <c r="BO301" s="161"/>
      <c r="BP301" s="161"/>
      <c r="BQ301" s="161"/>
      <c r="BR301" s="161"/>
      <c r="BS301" s="161"/>
      <c r="BT301" s="161"/>
      <c r="BU301" s="161"/>
      <c r="BV301" s="161"/>
    </row>
    <row r="302" spans="1:74">
      <c r="A302" s="161"/>
      <c r="B302" s="263" t="s">
        <v>729</v>
      </c>
      <c r="C302" s="313">
        <v>0.41299999999999998</v>
      </c>
      <c r="D302" s="313"/>
      <c r="E302" s="313"/>
      <c r="F302" s="313"/>
      <c r="G302" s="313"/>
      <c r="H302" s="313"/>
      <c r="I302" s="161"/>
      <c r="J302" s="161"/>
      <c r="K302" s="161"/>
      <c r="L302" s="161"/>
      <c r="M302" s="161"/>
      <c r="N302" s="161"/>
      <c r="O302" s="161"/>
      <c r="P302" s="161"/>
      <c r="Q302" s="161"/>
      <c r="R302" s="161"/>
      <c r="S302" s="161"/>
      <c r="T302" s="161"/>
      <c r="U302" s="161"/>
      <c r="V302" s="161"/>
      <c r="W302" s="161"/>
      <c r="X302" s="161"/>
      <c r="Y302" s="161"/>
      <c r="Z302" s="161"/>
      <c r="AA302" s="161"/>
      <c r="AB302" s="161"/>
      <c r="AC302" s="161"/>
      <c r="AD302" s="161"/>
      <c r="AE302" s="161"/>
      <c r="AF302" s="161"/>
      <c r="AG302" s="161"/>
      <c r="AH302" s="161"/>
      <c r="AI302" s="161"/>
      <c r="AJ302" s="161"/>
      <c r="AK302" s="161"/>
      <c r="AL302" s="161"/>
      <c r="AM302" s="161"/>
      <c r="AN302" s="161"/>
      <c r="AO302" s="161"/>
      <c r="AP302" s="161"/>
      <c r="AQ302" s="161"/>
      <c r="AR302" s="161"/>
      <c r="AS302" s="161"/>
      <c r="AT302" s="161"/>
      <c r="AU302" s="161"/>
      <c r="AV302" s="161"/>
      <c r="AW302" s="161"/>
      <c r="AX302" s="161"/>
      <c r="AY302" s="161"/>
      <c r="AZ302" s="161"/>
      <c r="BA302" s="161"/>
      <c r="BB302" s="161"/>
      <c r="BC302" s="161"/>
      <c r="BD302" s="161"/>
      <c r="BE302" s="161"/>
      <c r="BF302" s="161"/>
      <c r="BG302" s="161"/>
      <c r="BH302" s="161"/>
      <c r="BI302" s="161"/>
      <c r="BJ302" s="161"/>
      <c r="BK302" s="161"/>
      <c r="BL302" s="161"/>
      <c r="BM302" s="161"/>
      <c r="BN302" s="161"/>
      <c r="BO302" s="161"/>
      <c r="BP302" s="161"/>
      <c r="BQ302" s="161"/>
      <c r="BR302" s="161"/>
      <c r="BS302" s="161"/>
      <c r="BT302" s="161"/>
      <c r="BU302" s="161"/>
      <c r="BV302" s="161"/>
    </row>
    <row r="303" spans="1:74">
      <c r="A303" s="161"/>
      <c r="B303" s="263" t="s">
        <v>36</v>
      </c>
      <c r="C303" s="313">
        <v>0.33769466651484376</v>
      </c>
      <c r="D303" s="313">
        <v>0.33183074521740308</v>
      </c>
      <c r="E303" s="313">
        <v>0.32983180467896489</v>
      </c>
      <c r="F303" s="313">
        <v>0.32604267575499329</v>
      </c>
      <c r="G303" s="313">
        <v>0.32320453412064409</v>
      </c>
      <c r="H303" s="313">
        <v>0.32078848494505746</v>
      </c>
      <c r="I303" s="161"/>
      <c r="J303" s="161"/>
      <c r="K303" s="161"/>
      <c r="L303" s="161"/>
      <c r="M303" s="161"/>
      <c r="N303" s="161"/>
      <c r="O303" s="161"/>
      <c r="P303" s="161"/>
      <c r="Q303" s="161"/>
      <c r="R303" s="161"/>
      <c r="S303" s="161"/>
      <c r="T303" s="161"/>
      <c r="U303" s="161"/>
      <c r="V303" s="161"/>
      <c r="W303" s="161"/>
      <c r="X303" s="161"/>
      <c r="Y303" s="161"/>
      <c r="Z303" s="161"/>
      <c r="AA303" s="161"/>
      <c r="AB303" s="161"/>
      <c r="AC303" s="161"/>
      <c r="AD303" s="161"/>
      <c r="AE303" s="161"/>
      <c r="AF303" s="161"/>
      <c r="AG303" s="161"/>
      <c r="AH303" s="161"/>
      <c r="AI303" s="161"/>
      <c r="AJ303" s="161"/>
      <c r="AK303" s="161"/>
      <c r="AL303" s="161"/>
      <c r="AM303" s="161"/>
      <c r="AN303" s="161"/>
      <c r="AO303" s="161"/>
      <c r="AP303" s="161"/>
      <c r="AQ303" s="161"/>
      <c r="AR303" s="161"/>
      <c r="AS303" s="161"/>
      <c r="AT303" s="161"/>
      <c r="AU303" s="161"/>
      <c r="AV303" s="161"/>
      <c r="AW303" s="161"/>
      <c r="AX303" s="161"/>
      <c r="AY303" s="161"/>
      <c r="AZ303" s="161"/>
      <c r="BA303" s="161"/>
      <c r="BB303" s="161"/>
      <c r="BC303" s="161"/>
      <c r="BD303" s="161"/>
      <c r="BE303" s="161"/>
      <c r="BF303" s="161"/>
      <c r="BG303" s="161"/>
      <c r="BH303" s="161"/>
      <c r="BI303" s="161"/>
      <c r="BJ303" s="161"/>
      <c r="BK303" s="161"/>
      <c r="BL303" s="161"/>
      <c r="BM303" s="161"/>
      <c r="BN303" s="161"/>
      <c r="BO303" s="161"/>
      <c r="BP303" s="161"/>
      <c r="BQ303" s="161"/>
      <c r="BR303" s="161"/>
      <c r="BS303" s="161"/>
      <c r="BT303" s="161"/>
      <c r="BU303" s="161"/>
      <c r="BV303" s="161"/>
    </row>
    <row r="304" spans="1:74">
      <c r="A304" s="161"/>
      <c r="B304" s="161"/>
      <c r="C304" s="313"/>
      <c r="D304" s="313"/>
      <c r="E304" s="313"/>
      <c r="F304" s="313"/>
      <c r="G304" s="313"/>
      <c r="H304" s="313"/>
      <c r="I304" s="161"/>
      <c r="J304" s="161"/>
      <c r="K304" s="161"/>
      <c r="L304" s="161"/>
      <c r="M304" s="161"/>
      <c r="N304" s="161"/>
      <c r="O304" s="161"/>
      <c r="P304" s="161"/>
      <c r="Q304" s="161"/>
      <c r="R304" s="161"/>
      <c r="S304" s="161"/>
      <c r="T304" s="161"/>
      <c r="U304" s="161"/>
      <c r="V304" s="161"/>
      <c r="W304" s="161"/>
      <c r="X304" s="161"/>
      <c r="Y304" s="161"/>
      <c r="Z304" s="161"/>
      <c r="AA304" s="161"/>
      <c r="AB304" s="161"/>
      <c r="AC304" s="161"/>
      <c r="AD304" s="161"/>
      <c r="AE304" s="161"/>
      <c r="AF304" s="161"/>
      <c r="AG304" s="161"/>
      <c r="AH304" s="161"/>
      <c r="AI304" s="161"/>
      <c r="AJ304" s="161"/>
      <c r="AK304" s="161"/>
      <c r="AL304" s="161"/>
      <c r="AM304" s="161"/>
      <c r="AN304" s="161"/>
      <c r="AO304" s="161"/>
      <c r="AP304" s="161"/>
      <c r="AQ304" s="161"/>
      <c r="AR304" s="161"/>
      <c r="AS304" s="161"/>
      <c r="AT304" s="161"/>
      <c r="AU304" s="161"/>
      <c r="AV304" s="161"/>
      <c r="AW304" s="161"/>
      <c r="AX304" s="161"/>
      <c r="AY304" s="161"/>
      <c r="AZ304" s="161"/>
      <c r="BA304" s="161"/>
      <c r="BB304" s="161"/>
      <c r="BC304" s="161"/>
      <c r="BD304" s="161"/>
      <c r="BE304" s="161"/>
      <c r="BF304" s="161"/>
      <c r="BG304" s="161"/>
      <c r="BH304" s="161"/>
      <c r="BI304" s="161"/>
      <c r="BJ304" s="161"/>
      <c r="BK304" s="161"/>
      <c r="BL304" s="161"/>
      <c r="BM304" s="161"/>
      <c r="BN304" s="161"/>
      <c r="BO304" s="161"/>
      <c r="BP304" s="161"/>
      <c r="BQ304" s="161"/>
      <c r="BR304" s="161"/>
      <c r="BS304" s="161"/>
      <c r="BT304" s="161"/>
      <c r="BU304" s="161"/>
      <c r="BV304" s="161"/>
    </row>
    <row r="305" spans="1:74">
      <c r="A305" s="161"/>
      <c r="B305" s="161"/>
      <c r="C305" s="161"/>
      <c r="D305" s="161"/>
      <c r="E305" s="161"/>
      <c r="F305" s="161"/>
      <c r="G305" s="161"/>
      <c r="H305" s="161"/>
      <c r="I305" s="161"/>
      <c r="J305" s="161"/>
      <c r="K305" s="161"/>
      <c r="L305" s="161"/>
      <c r="M305" s="161"/>
      <c r="N305" s="161"/>
      <c r="O305" s="161"/>
      <c r="P305" s="161"/>
      <c r="Q305" s="161"/>
      <c r="R305" s="161"/>
      <c r="S305" s="161"/>
      <c r="T305" s="161"/>
      <c r="U305" s="161"/>
      <c r="V305" s="161"/>
      <c r="W305" s="161"/>
      <c r="X305" s="161"/>
      <c r="Y305" s="161"/>
      <c r="Z305" s="161"/>
      <c r="AA305" s="161"/>
      <c r="AB305" s="161"/>
      <c r="AC305" s="161"/>
      <c r="AD305" s="161"/>
      <c r="AE305" s="161"/>
      <c r="AF305" s="161"/>
      <c r="AG305" s="161"/>
      <c r="AH305" s="161"/>
      <c r="AI305" s="161"/>
      <c r="AJ305" s="161"/>
      <c r="AK305" s="161"/>
      <c r="AL305" s="161"/>
      <c r="AM305" s="161"/>
      <c r="AN305" s="161"/>
      <c r="AO305" s="161"/>
      <c r="AP305" s="161"/>
      <c r="AQ305" s="161"/>
      <c r="AR305" s="161"/>
      <c r="AS305" s="161"/>
      <c r="AT305" s="161"/>
      <c r="AU305" s="161"/>
      <c r="AV305" s="161"/>
      <c r="AW305" s="161"/>
      <c r="AX305" s="161"/>
      <c r="AY305" s="161"/>
      <c r="AZ305" s="161"/>
      <c r="BA305" s="161"/>
      <c r="BB305" s="161"/>
      <c r="BC305" s="161"/>
      <c r="BD305" s="161"/>
      <c r="BE305" s="161"/>
      <c r="BF305" s="161"/>
      <c r="BG305" s="161"/>
      <c r="BH305" s="161"/>
      <c r="BI305" s="161"/>
      <c r="BJ305" s="161"/>
      <c r="BK305" s="161"/>
      <c r="BL305" s="161"/>
      <c r="BM305" s="161"/>
      <c r="BN305" s="161"/>
      <c r="BO305" s="161"/>
      <c r="BP305" s="161"/>
      <c r="BQ305" s="161"/>
      <c r="BR305" s="161"/>
      <c r="BS305" s="161"/>
      <c r="BT305" s="161"/>
      <c r="BU305" s="161"/>
      <c r="BV305" s="161"/>
    </row>
    <row r="306" spans="1:74">
      <c r="A306" s="161"/>
      <c r="B306" s="161"/>
      <c r="C306" s="161"/>
      <c r="D306" s="161"/>
      <c r="E306" s="161"/>
      <c r="F306" s="161"/>
      <c r="G306" s="161"/>
      <c r="H306" s="161"/>
      <c r="I306" s="161"/>
      <c r="J306" s="161"/>
      <c r="K306" s="161"/>
      <c r="L306" s="161"/>
      <c r="M306" s="161"/>
      <c r="N306" s="161"/>
      <c r="O306" s="161"/>
      <c r="P306" s="161"/>
      <c r="Q306" s="161"/>
      <c r="R306" s="161"/>
      <c r="S306" s="161"/>
      <c r="T306" s="161"/>
      <c r="U306" s="161"/>
      <c r="V306" s="161"/>
      <c r="W306" s="161"/>
      <c r="X306" s="161"/>
      <c r="Y306" s="161"/>
      <c r="Z306" s="161"/>
      <c r="AA306" s="161"/>
      <c r="AB306" s="161"/>
      <c r="AC306" s="161"/>
      <c r="AD306" s="161"/>
      <c r="AE306" s="161"/>
      <c r="AF306" s="161"/>
      <c r="AG306" s="161"/>
      <c r="AH306" s="161"/>
      <c r="AI306" s="161"/>
      <c r="AJ306" s="161"/>
      <c r="AK306" s="161"/>
      <c r="AL306" s="161"/>
      <c r="AM306" s="161"/>
      <c r="AN306" s="161"/>
      <c r="AO306" s="161"/>
      <c r="AP306" s="161"/>
      <c r="AQ306" s="161"/>
      <c r="AR306" s="161"/>
      <c r="AS306" s="161"/>
      <c r="AT306" s="161"/>
      <c r="AU306" s="161"/>
      <c r="AV306" s="161"/>
      <c r="AW306" s="161"/>
      <c r="AX306" s="161"/>
      <c r="AY306" s="161"/>
      <c r="AZ306" s="161"/>
      <c r="BA306" s="161"/>
      <c r="BB306" s="161"/>
      <c r="BC306" s="161"/>
      <c r="BD306" s="161"/>
      <c r="BE306" s="161"/>
      <c r="BF306" s="161"/>
      <c r="BG306" s="161"/>
      <c r="BH306" s="161"/>
      <c r="BI306" s="161"/>
      <c r="BJ306" s="161"/>
      <c r="BK306" s="161"/>
      <c r="BL306" s="161"/>
      <c r="BM306" s="161"/>
      <c r="BN306" s="161"/>
      <c r="BO306" s="161"/>
      <c r="BP306" s="161"/>
      <c r="BQ306" s="161"/>
      <c r="BR306" s="161"/>
      <c r="BS306" s="161"/>
      <c r="BT306" s="161"/>
      <c r="BU306" s="161"/>
      <c r="BV306" s="161"/>
    </row>
    <row r="307" spans="1:74">
      <c r="A307" s="161"/>
      <c r="B307" s="161"/>
      <c r="C307" s="161"/>
      <c r="D307" s="161"/>
      <c r="E307" s="161"/>
      <c r="F307" s="161"/>
      <c r="G307" s="161"/>
      <c r="H307" s="161"/>
      <c r="I307" s="161"/>
      <c r="J307" s="161"/>
      <c r="K307" s="161"/>
      <c r="L307" s="161"/>
      <c r="M307" s="161"/>
      <c r="N307" s="161"/>
      <c r="O307" s="161"/>
      <c r="P307" s="161"/>
      <c r="Q307" s="161"/>
      <c r="R307" s="161"/>
      <c r="S307" s="161"/>
      <c r="T307" s="161"/>
      <c r="U307" s="161"/>
      <c r="V307" s="161"/>
      <c r="W307" s="161"/>
      <c r="X307" s="161"/>
      <c r="Y307" s="161"/>
      <c r="Z307" s="161"/>
      <c r="AA307" s="161"/>
      <c r="AB307" s="161"/>
      <c r="AC307" s="161"/>
      <c r="AD307" s="161"/>
      <c r="AE307" s="161"/>
      <c r="AF307" s="161"/>
      <c r="AG307" s="161"/>
      <c r="AH307" s="161"/>
      <c r="AI307" s="161"/>
      <c r="AJ307" s="161"/>
      <c r="AK307" s="161"/>
      <c r="AL307" s="161"/>
      <c r="AM307" s="161"/>
      <c r="AN307" s="161"/>
      <c r="AO307" s="161"/>
      <c r="AP307" s="161"/>
      <c r="AQ307" s="161"/>
      <c r="AR307" s="161"/>
      <c r="AS307" s="161"/>
      <c r="AT307" s="161"/>
      <c r="AU307" s="161"/>
      <c r="AV307" s="161"/>
      <c r="AW307" s="161"/>
      <c r="AX307" s="161"/>
      <c r="AY307" s="161"/>
      <c r="AZ307" s="161"/>
      <c r="BA307" s="161"/>
      <c r="BB307" s="161"/>
      <c r="BC307" s="161"/>
      <c r="BD307" s="161"/>
      <c r="BE307" s="161"/>
      <c r="BF307" s="161"/>
      <c r="BG307" s="161"/>
      <c r="BH307" s="161"/>
      <c r="BI307" s="161"/>
      <c r="BJ307" s="161"/>
      <c r="BK307" s="161"/>
      <c r="BL307" s="161"/>
      <c r="BM307" s="161"/>
      <c r="BN307" s="161"/>
      <c r="BO307" s="161"/>
      <c r="BP307" s="161"/>
      <c r="BQ307" s="161"/>
      <c r="BR307" s="161"/>
      <c r="BS307" s="161"/>
      <c r="BT307" s="161"/>
      <c r="BU307" s="161"/>
      <c r="BV307" s="161"/>
    </row>
    <row r="308" spans="1:74">
      <c r="A308" s="161"/>
      <c r="B308" s="161"/>
      <c r="C308" s="161"/>
      <c r="D308" s="161"/>
      <c r="E308" s="161"/>
      <c r="F308" s="161"/>
      <c r="G308" s="161"/>
      <c r="H308" s="161"/>
      <c r="I308" s="161"/>
      <c r="J308" s="161"/>
      <c r="K308" s="161"/>
      <c r="L308" s="161"/>
      <c r="M308" s="161"/>
      <c r="N308" s="161"/>
      <c r="O308" s="161"/>
      <c r="P308" s="161"/>
      <c r="Q308" s="161"/>
      <c r="R308" s="161"/>
      <c r="S308" s="161"/>
      <c r="T308" s="161"/>
      <c r="U308" s="161"/>
      <c r="V308" s="161"/>
      <c r="W308" s="161"/>
      <c r="X308" s="161"/>
      <c r="Y308" s="161"/>
      <c r="Z308" s="161"/>
      <c r="AA308" s="161"/>
      <c r="AB308" s="161"/>
      <c r="AC308" s="161"/>
      <c r="AD308" s="161"/>
      <c r="AE308" s="161"/>
      <c r="AF308" s="161"/>
      <c r="AG308" s="161"/>
      <c r="AH308" s="161"/>
      <c r="AI308" s="161"/>
      <c r="AJ308" s="161"/>
      <c r="AK308" s="161"/>
      <c r="AL308" s="161"/>
      <c r="AM308" s="161"/>
      <c r="AN308" s="161"/>
      <c r="AO308" s="161"/>
      <c r="AP308" s="161"/>
      <c r="AQ308" s="161"/>
      <c r="AR308" s="161"/>
      <c r="AS308" s="161"/>
      <c r="AT308" s="161"/>
      <c r="AU308" s="161"/>
      <c r="AV308" s="161"/>
      <c r="AW308" s="161"/>
      <c r="AX308" s="161"/>
      <c r="AY308" s="161"/>
      <c r="AZ308" s="161"/>
      <c r="BA308" s="161"/>
      <c r="BB308" s="161"/>
      <c r="BC308" s="161"/>
      <c r="BD308" s="161"/>
      <c r="BE308" s="161"/>
      <c r="BF308" s="161"/>
      <c r="BG308" s="161"/>
      <c r="BH308" s="161"/>
      <c r="BI308" s="161"/>
      <c r="BJ308" s="161"/>
      <c r="BK308" s="161"/>
      <c r="BL308" s="161"/>
      <c r="BM308" s="161"/>
      <c r="BN308" s="161"/>
      <c r="BO308" s="161"/>
      <c r="BP308" s="161"/>
      <c r="BQ308" s="161"/>
      <c r="BR308" s="161"/>
      <c r="BS308" s="161"/>
      <c r="BT308" s="161"/>
      <c r="BU308" s="161"/>
      <c r="BV308" s="161"/>
    </row>
    <row r="309" spans="1:74">
      <c r="A309" s="161"/>
      <c r="B309" s="161"/>
      <c r="C309" s="161"/>
      <c r="D309" s="161"/>
      <c r="E309" s="161"/>
      <c r="F309" s="161"/>
      <c r="G309" s="161"/>
      <c r="H309" s="161"/>
      <c r="I309" s="161"/>
      <c r="J309" s="161"/>
      <c r="K309" s="161"/>
      <c r="L309" s="161"/>
      <c r="M309" s="161"/>
      <c r="N309" s="161"/>
      <c r="O309" s="161"/>
      <c r="P309" s="161"/>
      <c r="Q309" s="161"/>
      <c r="R309" s="161"/>
      <c r="S309" s="161"/>
      <c r="T309" s="161"/>
      <c r="U309" s="161"/>
      <c r="V309" s="161"/>
      <c r="W309" s="161"/>
      <c r="X309" s="161"/>
      <c r="Y309" s="161"/>
      <c r="Z309" s="161"/>
      <c r="AA309" s="161"/>
      <c r="AB309" s="161"/>
      <c r="AC309" s="161"/>
      <c r="AD309" s="161"/>
      <c r="AE309" s="161"/>
      <c r="AF309" s="161"/>
      <c r="AG309" s="161"/>
      <c r="AH309" s="161"/>
      <c r="AI309" s="161"/>
      <c r="AJ309" s="161"/>
      <c r="AK309" s="161"/>
      <c r="AL309" s="161"/>
      <c r="AM309" s="161"/>
      <c r="AN309" s="161"/>
      <c r="AO309" s="161"/>
      <c r="AP309" s="161"/>
      <c r="AQ309" s="161"/>
      <c r="AR309" s="161"/>
      <c r="AS309" s="161"/>
      <c r="AT309" s="161"/>
      <c r="AU309" s="161"/>
      <c r="AV309" s="161"/>
      <c r="AW309" s="161"/>
      <c r="AX309" s="161"/>
      <c r="AY309" s="161"/>
      <c r="AZ309" s="161"/>
      <c r="BA309" s="161"/>
      <c r="BB309" s="161"/>
      <c r="BC309" s="161"/>
      <c r="BD309" s="161"/>
      <c r="BE309" s="161"/>
      <c r="BF309" s="161"/>
      <c r="BG309" s="161"/>
      <c r="BH309" s="161"/>
      <c r="BI309" s="161"/>
      <c r="BJ309" s="161"/>
      <c r="BK309" s="161"/>
      <c r="BL309" s="161"/>
      <c r="BM309" s="161"/>
      <c r="BN309" s="161"/>
      <c r="BO309" s="161"/>
      <c r="BP309" s="161"/>
      <c r="BQ309" s="161"/>
      <c r="BR309" s="161"/>
      <c r="BS309" s="161"/>
      <c r="BT309" s="161"/>
      <c r="BU309" s="161"/>
      <c r="BV309" s="161"/>
    </row>
    <row r="310" spans="1:74">
      <c r="A310" s="161"/>
      <c r="B310" s="161"/>
      <c r="C310" s="161"/>
      <c r="D310" s="161"/>
      <c r="E310" s="161"/>
      <c r="F310" s="161"/>
      <c r="G310" s="161"/>
      <c r="H310" s="161"/>
      <c r="I310" s="161"/>
      <c r="J310" s="161"/>
      <c r="K310" s="161"/>
      <c r="L310" s="161"/>
      <c r="M310" s="161"/>
      <c r="N310" s="161"/>
      <c r="O310" s="161"/>
      <c r="P310" s="161"/>
      <c r="Q310" s="161"/>
      <c r="R310" s="161"/>
      <c r="S310" s="161"/>
      <c r="T310" s="161"/>
      <c r="U310" s="161"/>
      <c r="V310" s="161"/>
      <c r="W310" s="161"/>
      <c r="X310" s="161"/>
      <c r="Y310" s="161"/>
      <c r="Z310" s="161"/>
      <c r="AA310" s="161"/>
      <c r="AB310" s="161"/>
      <c r="AC310" s="161"/>
      <c r="AD310" s="161"/>
      <c r="AE310" s="161"/>
      <c r="AF310" s="161"/>
      <c r="AG310" s="161"/>
      <c r="AH310" s="161"/>
      <c r="AI310" s="161"/>
      <c r="AJ310" s="161"/>
      <c r="AK310" s="161"/>
      <c r="AL310" s="161"/>
      <c r="AM310" s="161"/>
      <c r="AN310" s="161"/>
      <c r="AO310" s="161"/>
      <c r="AP310" s="161"/>
      <c r="AQ310" s="161"/>
      <c r="AR310" s="161"/>
      <c r="AS310" s="161"/>
      <c r="AT310" s="161"/>
      <c r="AU310" s="161"/>
      <c r="AV310" s="161"/>
      <c r="AW310" s="161"/>
      <c r="AX310" s="161"/>
      <c r="AY310" s="161"/>
      <c r="AZ310" s="161"/>
      <c r="BA310" s="161"/>
      <c r="BB310" s="161"/>
      <c r="BC310" s="161"/>
      <c r="BD310" s="161"/>
      <c r="BE310" s="161"/>
      <c r="BF310" s="161"/>
      <c r="BG310" s="161"/>
      <c r="BH310" s="161"/>
      <c r="BI310" s="161"/>
      <c r="BJ310" s="161"/>
      <c r="BK310" s="161"/>
      <c r="BL310" s="161"/>
      <c r="BM310" s="161"/>
      <c r="BN310" s="161"/>
      <c r="BO310" s="161"/>
      <c r="BP310" s="161"/>
      <c r="BQ310" s="161"/>
      <c r="BR310" s="161"/>
      <c r="BS310" s="161"/>
      <c r="BT310" s="161"/>
      <c r="BU310" s="161"/>
      <c r="BV310" s="161"/>
    </row>
    <row r="311" spans="1:74">
      <c r="A311" s="161"/>
      <c r="B311" s="161"/>
      <c r="C311" s="161"/>
      <c r="D311" s="161"/>
      <c r="E311" s="161"/>
      <c r="F311" s="161"/>
      <c r="G311" s="161"/>
      <c r="H311" s="161"/>
      <c r="I311" s="161"/>
      <c r="J311" s="161"/>
      <c r="K311" s="161"/>
      <c r="L311" s="161"/>
      <c r="M311" s="161"/>
      <c r="N311" s="161"/>
      <c r="O311" s="161"/>
      <c r="P311" s="161"/>
      <c r="Q311" s="161"/>
      <c r="R311" s="161"/>
      <c r="S311" s="161"/>
      <c r="T311" s="161"/>
      <c r="U311" s="161"/>
      <c r="V311" s="161"/>
      <c r="W311" s="161"/>
      <c r="X311" s="161"/>
      <c r="Y311" s="161"/>
      <c r="Z311" s="161"/>
      <c r="AA311" s="161"/>
      <c r="AB311" s="161"/>
      <c r="AC311" s="161"/>
      <c r="AD311" s="161"/>
      <c r="AE311" s="161"/>
      <c r="AF311" s="161"/>
      <c r="AG311" s="161"/>
      <c r="AH311" s="161"/>
      <c r="AI311" s="161"/>
      <c r="AJ311" s="161"/>
      <c r="AK311" s="161"/>
      <c r="AL311" s="161"/>
      <c r="AM311" s="161"/>
      <c r="AN311" s="161"/>
      <c r="AO311" s="161"/>
      <c r="AP311" s="161"/>
      <c r="AQ311" s="161"/>
      <c r="AR311" s="161"/>
      <c r="AS311" s="161"/>
      <c r="AT311" s="161"/>
      <c r="AU311" s="161"/>
      <c r="AV311" s="161"/>
      <c r="AW311" s="161"/>
      <c r="AX311" s="161"/>
      <c r="AY311" s="161"/>
      <c r="AZ311" s="161"/>
      <c r="BA311" s="161"/>
      <c r="BB311" s="161"/>
      <c r="BC311" s="161"/>
      <c r="BD311" s="161"/>
      <c r="BE311" s="161"/>
      <c r="BF311" s="161"/>
      <c r="BG311" s="161"/>
      <c r="BH311" s="161"/>
      <c r="BI311" s="161"/>
      <c r="BJ311" s="161"/>
      <c r="BK311" s="161"/>
      <c r="BL311" s="161"/>
      <c r="BM311" s="161"/>
      <c r="BN311" s="161"/>
      <c r="BO311" s="161"/>
      <c r="BP311" s="161"/>
      <c r="BQ311" s="161"/>
      <c r="BR311" s="161"/>
      <c r="BS311" s="161"/>
      <c r="BT311" s="161"/>
      <c r="BU311" s="161"/>
      <c r="BV311" s="161"/>
    </row>
    <row r="312" spans="1:74">
      <c r="A312" s="161"/>
      <c r="B312" s="161"/>
      <c r="C312" s="161"/>
      <c r="D312" s="161"/>
      <c r="E312" s="161"/>
      <c r="F312" s="161"/>
      <c r="G312" s="161"/>
      <c r="H312" s="161"/>
      <c r="I312" s="161"/>
      <c r="J312" s="161"/>
      <c r="K312" s="161"/>
      <c r="L312" s="161"/>
      <c r="M312" s="161"/>
      <c r="N312" s="161"/>
      <c r="O312" s="161"/>
      <c r="P312" s="161"/>
      <c r="Q312" s="161"/>
      <c r="R312" s="161"/>
      <c r="S312" s="161"/>
      <c r="T312" s="161"/>
      <c r="U312" s="161"/>
      <c r="V312" s="161"/>
      <c r="W312" s="161"/>
      <c r="X312" s="161"/>
      <c r="Y312" s="161"/>
      <c r="Z312" s="161"/>
      <c r="AA312" s="161"/>
      <c r="AB312" s="161"/>
      <c r="AC312" s="161"/>
      <c r="AD312" s="161"/>
      <c r="AE312" s="161"/>
      <c r="AF312" s="161"/>
      <c r="AG312" s="161"/>
      <c r="AH312" s="161"/>
      <c r="AI312" s="161"/>
      <c r="AJ312" s="161"/>
      <c r="AK312" s="161"/>
      <c r="AL312" s="161"/>
      <c r="AM312" s="161"/>
      <c r="AN312" s="161"/>
      <c r="AO312" s="161"/>
      <c r="AP312" s="161"/>
      <c r="AQ312" s="161"/>
      <c r="AR312" s="161"/>
      <c r="AS312" s="161"/>
      <c r="AT312" s="161"/>
      <c r="AU312" s="161"/>
      <c r="AV312" s="161"/>
      <c r="AW312" s="161"/>
      <c r="AX312" s="161"/>
      <c r="AY312" s="161"/>
      <c r="AZ312" s="161"/>
      <c r="BA312" s="161"/>
      <c r="BB312" s="161"/>
      <c r="BC312" s="161"/>
      <c r="BD312" s="161"/>
      <c r="BE312" s="161"/>
      <c r="BF312" s="161"/>
      <c r="BG312" s="161"/>
      <c r="BH312" s="161"/>
      <c r="BI312" s="161"/>
      <c r="BJ312" s="161"/>
      <c r="BK312" s="161"/>
      <c r="BL312" s="161"/>
      <c r="BM312" s="161"/>
      <c r="BN312" s="161"/>
      <c r="BO312" s="161"/>
      <c r="BP312" s="161"/>
      <c r="BQ312" s="161"/>
      <c r="BR312" s="161"/>
      <c r="BS312" s="161"/>
      <c r="BT312" s="161"/>
      <c r="BU312" s="161"/>
      <c r="BV312" s="161"/>
    </row>
    <row r="313" spans="1:74">
      <c r="A313" s="161"/>
      <c r="B313" s="161"/>
      <c r="C313" s="161"/>
      <c r="D313" s="161"/>
      <c r="E313" s="161"/>
      <c r="F313" s="161"/>
      <c r="G313" s="161"/>
      <c r="H313" s="161"/>
      <c r="I313" s="161"/>
      <c r="J313" s="161"/>
      <c r="K313" s="161"/>
      <c r="L313" s="161"/>
      <c r="M313" s="161"/>
      <c r="N313" s="161"/>
      <c r="O313" s="161"/>
      <c r="P313" s="161"/>
      <c r="Q313" s="161"/>
      <c r="R313" s="161"/>
      <c r="S313" s="161"/>
      <c r="T313" s="161"/>
      <c r="U313" s="161"/>
      <c r="V313" s="161"/>
      <c r="W313" s="161"/>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c r="AS313" s="161"/>
      <c r="AT313" s="161"/>
      <c r="AU313" s="161"/>
      <c r="AV313" s="161"/>
      <c r="AW313" s="161"/>
      <c r="AX313" s="161"/>
      <c r="AY313" s="161"/>
      <c r="AZ313" s="161"/>
      <c r="BA313" s="161"/>
      <c r="BB313" s="161"/>
      <c r="BC313" s="161"/>
      <c r="BD313" s="161"/>
      <c r="BE313" s="161"/>
      <c r="BF313" s="161"/>
      <c r="BG313" s="161"/>
      <c r="BH313" s="161"/>
      <c r="BI313" s="161"/>
      <c r="BJ313" s="161"/>
      <c r="BK313" s="161"/>
      <c r="BL313" s="161"/>
      <c r="BM313" s="161"/>
      <c r="BN313" s="161"/>
      <c r="BO313" s="161"/>
      <c r="BP313" s="161"/>
      <c r="BQ313" s="161"/>
      <c r="BR313" s="161"/>
      <c r="BS313" s="161"/>
      <c r="BT313" s="161"/>
      <c r="BU313" s="161"/>
      <c r="BV313" s="161"/>
    </row>
    <row r="314" spans="1:74">
      <c r="A314" s="161"/>
      <c r="B314" s="161"/>
      <c r="C314" s="161"/>
      <c r="D314" s="161"/>
      <c r="E314" s="161"/>
      <c r="F314" s="161"/>
      <c r="G314" s="161"/>
      <c r="H314" s="161"/>
      <c r="I314" s="161"/>
      <c r="J314" s="161"/>
      <c r="K314" s="161"/>
      <c r="L314" s="161"/>
      <c r="M314" s="161"/>
      <c r="N314" s="161"/>
      <c r="O314" s="161"/>
      <c r="P314" s="161"/>
      <c r="Q314" s="161"/>
      <c r="R314" s="161"/>
      <c r="S314" s="161"/>
      <c r="T314" s="161"/>
      <c r="U314" s="161"/>
      <c r="V314" s="161"/>
      <c r="W314" s="161"/>
      <c r="X314" s="161"/>
      <c r="Y314" s="161"/>
      <c r="Z314" s="161"/>
      <c r="AA314" s="161"/>
      <c r="AB314" s="161"/>
      <c r="AC314" s="161"/>
      <c r="AD314" s="161"/>
      <c r="AE314" s="161"/>
      <c r="AF314" s="161"/>
      <c r="AG314" s="161"/>
      <c r="AH314" s="161"/>
      <c r="AI314" s="161"/>
      <c r="AJ314" s="161"/>
      <c r="AK314" s="161"/>
      <c r="AL314" s="161"/>
      <c r="AM314" s="161"/>
      <c r="AN314" s="161"/>
      <c r="AO314" s="161"/>
      <c r="AP314" s="161"/>
      <c r="AQ314" s="161"/>
      <c r="AR314" s="161"/>
      <c r="AS314" s="161"/>
      <c r="AT314" s="161"/>
      <c r="AU314" s="161"/>
      <c r="AV314" s="161"/>
      <c r="AW314" s="161"/>
      <c r="AX314" s="161"/>
      <c r="AY314" s="161"/>
      <c r="AZ314" s="161"/>
      <c r="BA314" s="161"/>
      <c r="BB314" s="161"/>
      <c r="BC314" s="161"/>
      <c r="BD314" s="161"/>
      <c r="BE314" s="161"/>
      <c r="BF314" s="161"/>
      <c r="BG314" s="161"/>
      <c r="BH314" s="161"/>
      <c r="BI314" s="161"/>
      <c r="BJ314" s="161"/>
      <c r="BK314" s="161"/>
      <c r="BL314" s="161"/>
      <c r="BM314" s="161"/>
      <c r="BN314" s="161"/>
      <c r="BO314" s="161"/>
      <c r="BP314" s="161"/>
      <c r="BQ314" s="161"/>
      <c r="BR314" s="161"/>
      <c r="BS314" s="161"/>
      <c r="BT314" s="161"/>
      <c r="BU314" s="161"/>
      <c r="BV314" s="161"/>
    </row>
    <row r="315" spans="1:74">
      <c r="A315" s="161"/>
      <c r="B315" s="161"/>
      <c r="C315" s="161"/>
      <c r="D315" s="161"/>
      <c r="E315" s="161"/>
      <c r="F315" s="161"/>
      <c r="G315" s="161"/>
      <c r="H315" s="161"/>
      <c r="I315" s="161"/>
      <c r="J315" s="161"/>
      <c r="K315" s="161"/>
      <c r="L315" s="161"/>
      <c r="M315" s="161"/>
      <c r="N315" s="161"/>
      <c r="O315" s="161"/>
      <c r="P315" s="161"/>
      <c r="Q315" s="161"/>
      <c r="R315" s="161"/>
      <c r="S315" s="161"/>
      <c r="T315" s="161"/>
      <c r="U315" s="161"/>
      <c r="V315" s="161"/>
      <c r="W315" s="161"/>
      <c r="X315" s="161"/>
      <c r="Y315" s="161"/>
      <c r="Z315" s="161"/>
      <c r="AA315" s="161"/>
      <c r="AB315" s="161"/>
      <c r="AC315" s="161"/>
      <c r="AD315" s="161"/>
      <c r="AE315" s="161"/>
      <c r="AF315" s="161"/>
      <c r="AG315" s="161"/>
      <c r="AH315" s="161"/>
      <c r="AI315" s="161"/>
      <c r="AJ315" s="161"/>
      <c r="AK315" s="161"/>
      <c r="AL315" s="161"/>
      <c r="AM315" s="161"/>
      <c r="AN315" s="161"/>
      <c r="AO315" s="161"/>
      <c r="AP315" s="161"/>
      <c r="AQ315" s="161"/>
      <c r="AR315" s="161"/>
      <c r="AS315" s="161"/>
      <c r="AT315" s="161"/>
      <c r="AU315" s="161"/>
      <c r="AV315" s="161"/>
      <c r="AW315" s="161"/>
      <c r="AX315" s="161"/>
      <c r="AY315" s="161"/>
      <c r="AZ315" s="161"/>
      <c r="BA315" s="161"/>
      <c r="BB315" s="161"/>
      <c r="BC315" s="161"/>
      <c r="BD315" s="161"/>
      <c r="BE315" s="161"/>
      <c r="BF315" s="161"/>
      <c r="BG315" s="161"/>
      <c r="BH315" s="161"/>
      <c r="BI315" s="161"/>
      <c r="BJ315" s="161"/>
      <c r="BK315" s="161"/>
      <c r="BL315" s="161"/>
      <c r="BM315" s="161"/>
      <c r="BN315" s="161"/>
      <c r="BO315" s="161"/>
      <c r="BP315" s="161"/>
      <c r="BQ315" s="161"/>
      <c r="BR315" s="161"/>
      <c r="BS315" s="161"/>
      <c r="BT315" s="161"/>
      <c r="BU315" s="161"/>
      <c r="BV315" s="161"/>
    </row>
    <row r="316" spans="1:74">
      <c r="A316" s="161"/>
      <c r="B316" s="161"/>
      <c r="C316" s="161"/>
      <c r="D316" s="161"/>
      <c r="E316" s="161"/>
      <c r="F316" s="161"/>
      <c r="G316" s="161"/>
      <c r="H316" s="161"/>
      <c r="I316" s="161"/>
      <c r="J316" s="161"/>
      <c r="K316" s="161"/>
      <c r="L316" s="161"/>
      <c r="M316" s="161"/>
      <c r="N316" s="161"/>
      <c r="O316" s="161"/>
      <c r="P316" s="161"/>
      <c r="Q316" s="161"/>
      <c r="R316" s="161"/>
      <c r="S316" s="161"/>
      <c r="T316" s="161"/>
      <c r="U316" s="161"/>
      <c r="V316" s="161"/>
      <c r="W316" s="161"/>
      <c r="X316" s="161"/>
      <c r="Y316" s="161"/>
      <c r="Z316" s="161"/>
      <c r="AA316" s="161"/>
      <c r="AB316" s="161"/>
      <c r="AC316" s="161"/>
      <c r="AD316" s="161"/>
      <c r="AE316" s="161"/>
      <c r="AF316" s="161"/>
      <c r="AG316" s="161"/>
      <c r="AH316" s="161"/>
      <c r="AI316" s="161"/>
      <c r="AJ316" s="161"/>
      <c r="AK316" s="161"/>
      <c r="AL316" s="161"/>
      <c r="AM316" s="161"/>
      <c r="AN316" s="161"/>
      <c r="AO316" s="161"/>
      <c r="AP316" s="161"/>
      <c r="AQ316" s="161"/>
      <c r="AR316" s="161"/>
      <c r="AS316" s="161"/>
      <c r="AT316" s="161"/>
      <c r="AU316" s="161"/>
      <c r="AV316" s="161"/>
      <c r="AW316" s="161"/>
      <c r="AX316" s="161"/>
      <c r="AY316" s="161"/>
      <c r="AZ316" s="161"/>
      <c r="BA316" s="161"/>
      <c r="BB316" s="161"/>
      <c r="BC316" s="161"/>
      <c r="BD316" s="161"/>
      <c r="BE316" s="161"/>
      <c r="BF316" s="161"/>
      <c r="BG316" s="161"/>
      <c r="BH316" s="161"/>
      <c r="BI316" s="161"/>
      <c r="BJ316" s="161"/>
      <c r="BK316" s="161"/>
      <c r="BL316" s="161"/>
      <c r="BM316" s="161"/>
      <c r="BN316" s="161"/>
      <c r="BO316" s="161"/>
      <c r="BP316" s="161"/>
      <c r="BQ316" s="161"/>
      <c r="BR316" s="161"/>
      <c r="BS316" s="161"/>
      <c r="BT316" s="161"/>
      <c r="BU316" s="161"/>
      <c r="BV316" s="161"/>
    </row>
    <row r="317" spans="1:74">
      <c r="A317" s="161"/>
      <c r="B317" s="161"/>
      <c r="C317" s="161"/>
      <c r="D317" s="161"/>
      <c r="E317" s="161"/>
      <c r="F317" s="161"/>
      <c r="G317" s="161"/>
      <c r="H317" s="161"/>
      <c r="I317" s="161"/>
      <c r="J317" s="161"/>
      <c r="K317" s="161"/>
      <c r="L317" s="161"/>
      <c r="M317" s="161"/>
      <c r="N317" s="161"/>
      <c r="O317" s="161"/>
      <c r="P317" s="161"/>
      <c r="Q317" s="161"/>
      <c r="R317" s="161"/>
      <c r="S317" s="161"/>
      <c r="T317" s="161"/>
      <c r="U317" s="161"/>
      <c r="V317" s="161"/>
      <c r="W317" s="161"/>
      <c r="X317" s="161"/>
      <c r="Y317" s="161"/>
      <c r="Z317" s="161"/>
      <c r="AA317" s="161"/>
      <c r="AB317" s="161"/>
      <c r="AC317" s="161"/>
      <c r="AD317" s="161"/>
      <c r="AE317" s="161"/>
      <c r="AF317" s="161"/>
      <c r="AG317" s="161"/>
      <c r="AH317" s="161"/>
      <c r="AI317" s="161"/>
      <c r="AJ317" s="161"/>
      <c r="AK317" s="161"/>
      <c r="AL317" s="161"/>
      <c r="AM317" s="161"/>
      <c r="AN317" s="161"/>
      <c r="AO317" s="161"/>
      <c r="AP317" s="161"/>
      <c r="AQ317" s="161"/>
      <c r="AR317" s="161"/>
      <c r="AS317" s="161"/>
      <c r="AT317" s="161"/>
      <c r="AU317" s="161"/>
      <c r="AV317" s="161"/>
      <c r="AW317" s="161"/>
      <c r="AX317" s="161"/>
      <c r="AY317" s="161"/>
      <c r="AZ317" s="161"/>
      <c r="BA317" s="161"/>
      <c r="BB317" s="161"/>
      <c r="BC317" s="161"/>
      <c r="BD317" s="161"/>
      <c r="BE317" s="161"/>
      <c r="BF317" s="161"/>
      <c r="BG317" s="161"/>
      <c r="BH317" s="161"/>
      <c r="BI317" s="161"/>
      <c r="BJ317" s="161"/>
      <c r="BK317" s="161"/>
      <c r="BL317" s="161"/>
      <c r="BM317" s="161"/>
      <c r="BN317" s="161"/>
      <c r="BO317" s="161"/>
      <c r="BP317" s="161"/>
      <c r="BQ317" s="161"/>
      <c r="BR317" s="161"/>
      <c r="BS317" s="161"/>
      <c r="BT317" s="161"/>
      <c r="BU317" s="161"/>
      <c r="BV317" s="161"/>
    </row>
    <row r="318" spans="1:74">
      <c r="A318" s="161"/>
      <c r="B318" s="161"/>
      <c r="C318" s="161"/>
      <c r="D318" s="161"/>
      <c r="E318" s="161"/>
      <c r="F318" s="161"/>
      <c r="G318" s="161"/>
      <c r="H318" s="161"/>
      <c r="I318" s="161"/>
      <c r="J318" s="161"/>
      <c r="K318" s="161"/>
      <c r="L318" s="161"/>
      <c r="M318" s="161"/>
      <c r="N318" s="161"/>
      <c r="O318" s="161"/>
      <c r="P318" s="161"/>
      <c r="Q318" s="161"/>
      <c r="R318" s="161"/>
      <c r="S318" s="161"/>
      <c r="T318" s="161"/>
      <c r="U318" s="161"/>
      <c r="V318" s="161"/>
      <c r="W318" s="161"/>
      <c r="X318" s="161"/>
      <c r="Y318" s="161"/>
      <c r="Z318" s="161"/>
      <c r="AA318" s="161"/>
      <c r="AB318" s="161"/>
      <c r="AC318" s="161"/>
      <c r="AD318" s="161"/>
      <c r="AE318" s="161"/>
      <c r="AF318" s="161"/>
      <c r="AG318" s="161"/>
      <c r="AH318" s="161"/>
      <c r="AI318" s="161"/>
      <c r="AJ318" s="161"/>
      <c r="AK318" s="161"/>
      <c r="AL318" s="161"/>
      <c r="AM318" s="161"/>
      <c r="AN318" s="161"/>
      <c r="AO318" s="161"/>
      <c r="AP318" s="161"/>
      <c r="AQ318" s="161"/>
      <c r="AR318" s="161"/>
      <c r="AS318" s="161"/>
      <c r="AT318" s="161"/>
      <c r="AU318" s="161"/>
      <c r="AV318" s="161"/>
      <c r="AW318" s="161"/>
      <c r="AX318" s="161"/>
      <c r="AY318" s="161"/>
      <c r="AZ318" s="161"/>
      <c r="BA318" s="161"/>
      <c r="BB318" s="161"/>
      <c r="BC318" s="161"/>
      <c r="BD318" s="161"/>
      <c r="BE318" s="161"/>
      <c r="BF318" s="161"/>
      <c r="BG318" s="161"/>
      <c r="BH318" s="161"/>
      <c r="BI318" s="161"/>
      <c r="BJ318" s="161"/>
      <c r="BK318" s="161"/>
      <c r="BL318" s="161"/>
      <c r="BM318" s="161"/>
      <c r="BN318" s="161"/>
      <c r="BO318" s="161"/>
      <c r="BP318" s="161"/>
      <c r="BQ318" s="161"/>
      <c r="BR318" s="161"/>
      <c r="BS318" s="161"/>
      <c r="BT318" s="161"/>
      <c r="BU318" s="161"/>
      <c r="BV318" s="161"/>
    </row>
    <row r="319" spans="1:74">
      <c r="A319" s="161"/>
      <c r="B319" s="161"/>
      <c r="C319" s="161"/>
      <c r="D319" s="161"/>
      <c r="E319" s="161"/>
      <c r="F319" s="161"/>
      <c r="G319" s="161"/>
      <c r="H319" s="161"/>
      <c r="I319" s="161"/>
      <c r="J319" s="161"/>
      <c r="K319" s="161"/>
      <c r="L319" s="161"/>
      <c r="M319" s="161"/>
      <c r="N319" s="161"/>
      <c r="O319" s="161"/>
      <c r="P319" s="161"/>
      <c r="Q319" s="161"/>
      <c r="R319" s="161"/>
      <c r="S319" s="161"/>
      <c r="T319" s="161"/>
      <c r="U319" s="161"/>
      <c r="V319" s="161"/>
      <c r="W319" s="161"/>
      <c r="X319" s="161"/>
      <c r="Y319" s="161"/>
      <c r="Z319" s="161"/>
      <c r="AA319" s="161"/>
      <c r="AB319" s="161"/>
      <c r="AC319" s="161"/>
      <c r="AD319" s="161"/>
      <c r="AE319" s="161"/>
      <c r="AF319" s="161"/>
      <c r="AG319" s="161"/>
      <c r="AH319" s="161"/>
      <c r="AI319" s="161"/>
      <c r="AJ319" s="161"/>
      <c r="AK319" s="161"/>
      <c r="AL319" s="161"/>
      <c r="AM319" s="161"/>
      <c r="AN319" s="161"/>
      <c r="AO319" s="161"/>
      <c r="AP319" s="161"/>
      <c r="AQ319" s="161"/>
      <c r="AR319" s="161"/>
      <c r="AS319" s="161"/>
      <c r="AT319" s="161"/>
      <c r="AU319" s="161"/>
      <c r="AV319" s="161"/>
      <c r="AW319" s="161"/>
      <c r="AX319" s="161"/>
      <c r="AY319" s="161"/>
      <c r="AZ319" s="161"/>
      <c r="BA319" s="161"/>
      <c r="BB319" s="161"/>
      <c r="BC319" s="161"/>
      <c r="BD319" s="161"/>
      <c r="BE319" s="161"/>
      <c r="BF319" s="161"/>
      <c r="BG319" s="161"/>
      <c r="BH319" s="161"/>
      <c r="BI319" s="161"/>
      <c r="BJ319" s="161"/>
      <c r="BK319" s="161"/>
      <c r="BL319" s="161"/>
      <c r="BM319" s="161"/>
      <c r="BN319" s="161"/>
      <c r="BO319" s="161"/>
      <c r="BP319" s="161"/>
      <c r="BQ319" s="161"/>
      <c r="BR319" s="161"/>
      <c r="BS319" s="161"/>
      <c r="BT319" s="161"/>
      <c r="BU319" s="161"/>
      <c r="BV319" s="161"/>
    </row>
    <row r="320" spans="1:74">
      <c r="A320" s="161"/>
      <c r="B320" s="161"/>
      <c r="C320" s="161"/>
      <c r="D320" s="161"/>
      <c r="E320" s="161"/>
      <c r="F320" s="161"/>
      <c r="G320" s="161"/>
      <c r="H320" s="161"/>
      <c r="I320" s="161"/>
      <c r="J320" s="161"/>
      <c r="K320" s="161"/>
      <c r="L320" s="161"/>
      <c r="M320" s="161"/>
      <c r="N320" s="161"/>
      <c r="O320" s="161"/>
      <c r="P320" s="161"/>
      <c r="Q320" s="161"/>
      <c r="R320" s="161"/>
      <c r="S320" s="161"/>
      <c r="T320" s="161"/>
      <c r="U320" s="161"/>
      <c r="V320" s="161"/>
      <c r="W320" s="161"/>
      <c r="X320" s="161"/>
      <c r="Y320" s="161"/>
      <c r="Z320" s="161"/>
      <c r="AA320" s="161"/>
      <c r="AB320" s="161"/>
      <c r="AC320" s="161"/>
      <c r="AD320" s="161"/>
      <c r="AE320" s="161"/>
      <c r="AF320" s="161"/>
      <c r="AG320" s="161"/>
      <c r="AH320" s="161"/>
      <c r="AI320" s="161"/>
      <c r="AJ320" s="161"/>
      <c r="AK320" s="161"/>
      <c r="AL320" s="161"/>
      <c r="AM320" s="161"/>
      <c r="AN320" s="161"/>
      <c r="AO320" s="161"/>
      <c r="AP320" s="161"/>
      <c r="AQ320" s="161"/>
      <c r="AR320" s="161"/>
      <c r="AS320" s="161"/>
      <c r="AT320" s="161"/>
      <c r="AU320" s="161"/>
      <c r="AV320" s="161"/>
      <c r="AW320" s="161"/>
      <c r="AX320" s="161"/>
      <c r="AY320" s="161"/>
      <c r="AZ320" s="161"/>
      <c r="BA320" s="161"/>
      <c r="BB320" s="161"/>
      <c r="BC320" s="161"/>
      <c r="BD320" s="161"/>
      <c r="BE320" s="161"/>
      <c r="BF320" s="161"/>
      <c r="BG320" s="161"/>
      <c r="BH320" s="161"/>
      <c r="BI320" s="161"/>
      <c r="BJ320" s="161"/>
      <c r="BK320" s="161"/>
      <c r="BL320" s="161"/>
      <c r="BM320" s="161"/>
      <c r="BN320" s="161"/>
      <c r="BO320" s="161"/>
      <c r="BP320" s="161"/>
      <c r="BQ320" s="161"/>
      <c r="BR320" s="161"/>
      <c r="BS320" s="161"/>
      <c r="BT320" s="161"/>
      <c r="BU320" s="161"/>
      <c r="BV320" s="161"/>
    </row>
    <row r="321" spans="1:74">
      <c r="A321" s="161"/>
      <c r="B321" s="161"/>
      <c r="C321" s="161"/>
      <c r="D321" s="161"/>
      <c r="E321" s="161"/>
      <c r="F321" s="161"/>
      <c r="G321" s="161"/>
      <c r="H321" s="161"/>
      <c r="I321" s="161"/>
      <c r="J321" s="161"/>
      <c r="K321" s="161"/>
      <c r="L321" s="161"/>
      <c r="M321" s="161"/>
      <c r="N321" s="161"/>
      <c r="O321" s="161"/>
      <c r="P321" s="161"/>
      <c r="Q321" s="161"/>
      <c r="R321" s="161"/>
      <c r="S321" s="161"/>
      <c r="T321" s="161"/>
      <c r="U321" s="161"/>
      <c r="V321" s="161"/>
      <c r="W321" s="161"/>
      <c r="X321" s="161"/>
      <c r="Y321" s="161"/>
      <c r="Z321" s="161"/>
      <c r="AA321" s="161"/>
      <c r="AB321" s="161"/>
      <c r="AC321" s="161"/>
      <c r="AD321" s="161"/>
      <c r="AE321" s="161"/>
      <c r="AF321" s="161"/>
      <c r="AG321" s="161"/>
      <c r="AH321" s="161"/>
      <c r="AI321" s="161"/>
      <c r="AJ321" s="161"/>
      <c r="AK321" s="161"/>
      <c r="AL321" s="161"/>
      <c r="AM321" s="161"/>
      <c r="AN321" s="161"/>
      <c r="AO321" s="161"/>
      <c r="AP321" s="161"/>
      <c r="AQ321" s="161"/>
      <c r="AR321" s="161"/>
      <c r="AS321" s="161"/>
      <c r="AT321" s="161"/>
      <c r="AU321" s="161"/>
      <c r="AV321" s="161"/>
      <c r="AW321" s="161"/>
      <c r="AX321" s="161"/>
      <c r="AY321" s="161"/>
      <c r="AZ321" s="161"/>
      <c r="BA321" s="161"/>
      <c r="BB321" s="161"/>
      <c r="BC321" s="161"/>
      <c r="BD321" s="161"/>
      <c r="BE321" s="161"/>
      <c r="BF321" s="161"/>
      <c r="BG321" s="161"/>
      <c r="BH321" s="161"/>
      <c r="BI321" s="161"/>
      <c r="BJ321" s="161"/>
      <c r="BK321" s="161"/>
      <c r="BL321" s="161"/>
      <c r="BM321" s="161"/>
      <c r="BN321" s="161"/>
      <c r="BO321" s="161"/>
      <c r="BP321" s="161"/>
      <c r="BQ321" s="161"/>
      <c r="BR321" s="161"/>
      <c r="BS321" s="161"/>
      <c r="BT321" s="161"/>
      <c r="BU321" s="161"/>
      <c r="BV321" s="161"/>
    </row>
    <row r="322" spans="1:74">
      <c r="A322" s="161"/>
      <c r="B322" s="161"/>
      <c r="C322" s="161"/>
      <c r="D322" s="161"/>
      <c r="E322" s="161"/>
      <c r="F322" s="161"/>
      <c r="G322" s="161"/>
      <c r="H322" s="161"/>
      <c r="I322" s="161"/>
      <c r="J322" s="161"/>
      <c r="K322" s="161"/>
      <c r="L322" s="161"/>
      <c r="M322" s="161"/>
      <c r="N322" s="161"/>
      <c r="O322" s="161"/>
      <c r="P322" s="161"/>
      <c r="Q322" s="161"/>
      <c r="R322" s="161"/>
      <c r="S322" s="161"/>
      <c r="T322" s="161"/>
      <c r="U322" s="161"/>
      <c r="V322" s="161"/>
      <c r="W322" s="161"/>
      <c r="X322" s="161"/>
      <c r="Y322" s="161"/>
      <c r="Z322" s="161"/>
      <c r="AA322" s="161"/>
      <c r="AB322" s="161"/>
      <c r="AC322" s="161"/>
      <c r="AD322" s="161"/>
      <c r="AE322" s="161"/>
      <c r="AF322" s="161"/>
      <c r="AG322" s="161"/>
      <c r="AH322" s="161"/>
      <c r="AI322" s="161"/>
      <c r="AJ322" s="161"/>
      <c r="AK322" s="161"/>
      <c r="AL322" s="161"/>
      <c r="AM322" s="161"/>
      <c r="AN322" s="161"/>
      <c r="AO322" s="161"/>
      <c r="AP322" s="161"/>
      <c r="AQ322" s="161"/>
      <c r="AR322" s="161"/>
      <c r="AS322" s="161"/>
      <c r="AT322" s="161"/>
      <c r="AU322" s="161"/>
      <c r="AV322" s="161"/>
      <c r="AW322" s="161"/>
      <c r="AX322" s="161"/>
      <c r="AY322" s="161"/>
      <c r="AZ322" s="161"/>
      <c r="BA322" s="161"/>
      <c r="BB322" s="161"/>
      <c r="BC322" s="161"/>
      <c r="BD322" s="161"/>
      <c r="BE322" s="161"/>
      <c r="BF322" s="161"/>
      <c r="BG322" s="161"/>
      <c r="BH322" s="161"/>
      <c r="BI322" s="161"/>
      <c r="BJ322" s="161"/>
      <c r="BK322" s="161"/>
      <c r="BL322" s="161"/>
      <c r="BM322" s="161"/>
      <c r="BN322" s="161"/>
      <c r="BO322" s="161"/>
      <c r="BP322" s="161"/>
      <c r="BQ322" s="161"/>
      <c r="BR322" s="161"/>
      <c r="BS322" s="161"/>
      <c r="BT322" s="161"/>
      <c r="BU322" s="161"/>
      <c r="BV322" s="161"/>
    </row>
    <row r="323" spans="1:74">
      <c r="A323" s="161"/>
      <c r="B323" s="161"/>
      <c r="C323" s="161"/>
      <c r="D323" s="161"/>
      <c r="E323" s="161"/>
      <c r="F323" s="161"/>
      <c r="G323" s="161"/>
      <c r="H323" s="161"/>
      <c r="I323" s="161"/>
      <c r="J323" s="161"/>
      <c r="K323" s="161"/>
      <c r="L323" s="161"/>
      <c r="M323" s="161"/>
      <c r="N323" s="161"/>
      <c r="O323" s="161"/>
      <c r="P323" s="161"/>
      <c r="Q323" s="161"/>
      <c r="R323" s="161"/>
      <c r="S323" s="161"/>
      <c r="T323" s="161"/>
      <c r="U323" s="161"/>
      <c r="V323" s="161"/>
      <c r="W323" s="161"/>
      <c r="X323" s="161"/>
      <c r="Y323" s="161"/>
      <c r="Z323" s="161"/>
      <c r="AA323" s="161"/>
      <c r="AB323" s="161"/>
      <c r="AC323" s="161"/>
      <c r="AD323" s="161"/>
      <c r="AE323" s="161"/>
      <c r="AF323" s="161"/>
      <c r="AG323" s="161"/>
      <c r="AH323" s="161"/>
      <c r="AI323" s="161"/>
      <c r="AJ323" s="161"/>
      <c r="AK323" s="161"/>
      <c r="AL323" s="161"/>
      <c r="AM323" s="161"/>
      <c r="AN323" s="161"/>
      <c r="AO323" s="161"/>
      <c r="AP323" s="161"/>
      <c r="AQ323" s="161"/>
      <c r="AR323" s="161"/>
      <c r="AS323" s="161"/>
      <c r="AT323" s="161"/>
      <c r="AU323" s="161"/>
      <c r="AV323" s="161"/>
      <c r="AW323" s="161"/>
      <c r="AX323" s="161"/>
      <c r="AY323" s="161"/>
      <c r="AZ323" s="161"/>
      <c r="BA323" s="161"/>
      <c r="BB323" s="161"/>
      <c r="BC323" s="161"/>
      <c r="BD323" s="161"/>
      <c r="BE323" s="161"/>
      <c r="BF323" s="161"/>
      <c r="BG323" s="161"/>
      <c r="BH323" s="161"/>
      <c r="BI323" s="161"/>
      <c r="BJ323" s="161"/>
      <c r="BK323" s="161"/>
      <c r="BL323" s="161"/>
      <c r="BM323" s="161"/>
      <c r="BN323" s="161"/>
      <c r="BO323" s="161"/>
      <c r="BP323" s="161"/>
      <c r="BQ323" s="161"/>
      <c r="BR323" s="161"/>
      <c r="BS323" s="161"/>
      <c r="BT323" s="161"/>
      <c r="BU323" s="161"/>
      <c r="BV323" s="161"/>
    </row>
    <row r="324" spans="1:74">
      <c r="A324" s="161"/>
      <c r="B324" s="161"/>
      <c r="C324" s="161"/>
      <c r="D324" s="161"/>
      <c r="E324" s="161"/>
      <c r="F324" s="161"/>
      <c r="G324" s="161"/>
      <c r="H324" s="161"/>
      <c r="I324" s="161"/>
      <c r="J324" s="161"/>
      <c r="K324" s="161"/>
      <c r="L324" s="161"/>
      <c r="M324" s="161"/>
      <c r="N324" s="161"/>
      <c r="O324" s="161"/>
      <c r="P324" s="161"/>
      <c r="Q324" s="161"/>
      <c r="R324" s="161"/>
      <c r="S324" s="161"/>
      <c r="T324" s="161"/>
      <c r="U324" s="161"/>
      <c r="V324" s="161"/>
      <c r="W324" s="161"/>
      <c r="X324" s="161"/>
      <c r="Y324" s="161"/>
      <c r="Z324" s="161"/>
      <c r="AA324" s="161"/>
      <c r="AB324" s="161"/>
      <c r="AC324" s="161"/>
      <c r="AD324" s="161"/>
      <c r="AE324" s="161"/>
      <c r="AF324" s="161"/>
      <c r="AG324" s="161"/>
      <c r="AH324" s="161"/>
      <c r="AI324" s="161"/>
      <c r="AJ324" s="161"/>
      <c r="AK324" s="161"/>
      <c r="AL324" s="161"/>
      <c r="AM324" s="161"/>
      <c r="AN324" s="161"/>
      <c r="AO324" s="161"/>
      <c r="AP324" s="161"/>
      <c r="AQ324" s="161"/>
      <c r="AR324" s="161"/>
      <c r="AS324" s="161"/>
      <c r="AT324" s="161"/>
      <c r="AU324" s="161"/>
      <c r="AV324" s="161"/>
      <c r="AW324" s="161"/>
      <c r="AX324" s="161"/>
      <c r="AY324" s="161"/>
      <c r="AZ324" s="161"/>
      <c r="BA324" s="161"/>
      <c r="BB324" s="161"/>
      <c r="BC324" s="161"/>
      <c r="BD324" s="161"/>
      <c r="BE324" s="161"/>
      <c r="BF324" s="161"/>
      <c r="BG324" s="161"/>
      <c r="BH324" s="161"/>
      <c r="BI324" s="161"/>
      <c r="BJ324" s="161"/>
      <c r="BK324" s="161"/>
      <c r="BL324" s="161"/>
      <c r="BM324" s="161"/>
      <c r="BN324" s="161"/>
      <c r="BO324" s="161"/>
      <c r="BP324" s="161"/>
      <c r="BQ324" s="161"/>
      <c r="BR324" s="161"/>
      <c r="BS324" s="161"/>
      <c r="BT324" s="161"/>
      <c r="BU324" s="161"/>
      <c r="BV324" s="161"/>
    </row>
    <row r="325" spans="1:74">
      <c r="A325" s="161"/>
      <c r="B325" s="161"/>
      <c r="C325" s="161"/>
      <c r="D325" s="161"/>
      <c r="E325" s="161"/>
      <c r="F325" s="161"/>
      <c r="G325" s="161"/>
      <c r="H325" s="161"/>
      <c r="I325" s="161"/>
      <c r="J325" s="161"/>
      <c r="K325" s="161"/>
      <c r="L325" s="161"/>
      <c r="M325" s="161"/>
      <c r="N325" s="161"/>
      <c r="O325" s="161"/>
      <c r="P325" s="161"/>
      <c r="Q325" s="161"/>
      <c r="R325" s="161"/>
      <c r="S325" s="161"/>
      <c r="T325" s="161"/>
      <c r="U325" s="161"/>
      <c r="V325" s="161"/>
      <c r="W325" s="161"/>
      <c r="X325" s="161"/>
      <c r="Y325" s="161"/>
      <c r="Z325" s="161"/>
      <c r="AA325" s="161"/>
      <c r="AB325" s="161"/>
      <c r="AC325" s="161"/>
      <c r="AD325" s="161"/>
      <c r="AE325" s="161"/>
      <c r="AF325" s="161"/>
      <c r="AG325" s="161"/>
      <c r="AH325" s="161"/>
      <c r="AI325" s="161"/>
      <c r="AJ325" s="161"/>
      <c r="AK325" s="161"/>
      <c r="AL325" s="161"/>
      <c r="AM325" s="161"/>
      <c r="AN325" s="161"/>
      <c r="AO325" s="161"/>
      <c r="AP325" s="161"/>
      <c r="AQ325" s="161"/>
      <c r="AR325" s="161"/>
      <c r="AS325" s="161"/>
      <c r="AT325" s="161"/>
      <c r="AU325" s="161"/>
      <c r="AV325" s="161"/>
      <c r="AW325" s="161"/>
      <c r="AX325" s="161"/>
      <c r="AY325" s="161"/>
      <c r="AZ325" s="161"/>
      <c r="BA325" s="161"/>
      <c r="BB325" s="161"/>
      <c r="BC325" s="161"/>
      <c r="BD325" s="161"/>
      <c r="BE325" s="161"/>
      <c r="BF325" s="161"/>
      <c r="BG325" s="161"/>
      <c r="BH325" s="161"/>
      <c r="BI325" s="161"/>
      <c r="BJ325" s="161"/>
      <c r="BK325" s="161"/>
      <c r="BL325" s="161"/>
      <c r="BM325" s="161"/>
      <c r="BN325" s="161"/>
      <c r="BO325" s="161"/>
      <c r="BP325" s="161"/>
      <c r="BQ325" s="161"/>
      <c r="BR325" s="161"/>
      <c r="BS325" s="161"/>
      <c r="BT325" s="161"/>
      <c r="BU325" s="161"/>
      <c r="BV325" s="161"/>
    </row>
    <row r="326" spans="1:74">
      <c r="A326" s="161"/>
      <c r="B326" s="163" t="s">
        <v>558</v>
      </c>
      <c r="C326" s="310" t="str">
        <f>Quarts!BD4</f>
        <v>1Q22</v>
      </c>
      <c r="D326" s="310" t="str">
        <f>Quarts!BE4</f>
        <v>2Q22</v>
      </c>
      <c r="E326" s="310" t="str">
        <f>Quarts!BF4</f>
        <v>3Q22</v>
      </c>
      <c r="F326" s="310" t="str">
        <f>Quarts!BG4</f>
        <v>4Q22</v>
      </c>
      <c r="G326" s="310" t="str">
        <f>Quarts!BH4</f>
        <v>1Q23</v>
      </c>
      <c r="H326" s="310" t="str">
        <f>Quarts!BI4</f>
        <v>2Q23</v>
      </c>
      <c r="I326" s="310" t="str">
        <f>Quarts!BJ4</f>
        <v>3Q23</v>
      </c>
      <c r="J326" s="310" t="str">
        <f>Quarts!BK4</f>
        <v>4Q23</v>
      </c>
      <c r="K326" s="161"/>
      <c r="L326" s="161"/>
      <c r="M326" s="161"/>
      <c r="N326" s="161"/>
      <c r="O326" s="161"/>
      <c r="P326" s="161"/>
      <c r="Q326" s="161"/>
      <c r="R326" s="161"/>
      <c r="S326" s="161"/>
      <c r="T326" s="161"/>
      <c r="U326" s="161"/>
      <c r="V326" s="161"/>
      <c r="W326" s="161"/>
      <c r="X326" s="161"/>
      <c r="Y326" s="161"/>
      <c r="Z326" s="161"/>
      <c r="AA326" s="161"/>
      <c r="AB326" s="161"/>
      <c r="AC326" s="161"/>
      <c r="AD326" s="161"/>
      <c r="AE326" s="161"/>
      <c r="AF326" s="161"/>
      <c r="AG326" s="161"/>
      <c r="AH326" s="161"/>
      <c r="AI326" s="161"/>
      <c r="AJ326" s="161"/>
      <c r="AK326" s="161"/>
      <c r="AL326" s="161"/>
      <c r="AM326" s="161"/>
      <c r="AN326" s="161"/>
      <c r="AO326" s="161"/>
      <c r="AP326" s="161"/>
      <c r="AQ326" s="161"/>
      <c r="AR326" s="161"/>
      <c r="AS326" s="161"/>
      <c r="AT326" s="161"/>
      <c r="AU326" s="161"/>
      <c r="AV326" s="161"/>
      <c r="AW326" s="161"/>
      <c r="AX326" s="161"/>
      <c r="AY326" s="161"/>
      <c r="AZ326" s="161"/>
      <c r="BA326" s="161"/>
      <c r="BB326" s="161"/>
      <c r="BC326" s="161"/>
      <c r="BD326" s="161"/>
      <c r="BE326" s="161"/>
      <c r="BF326" s="161"/>
      <c r="BG326" s="161"/>
      <c r="BH326" s="161"/>
      <c r="BI326" s="161"/>
      <c r="BJ326" s="161"/>
      <c r="BK326" s="161"/>
      <c r="BL326" s="161"/>
      <c r="BM326" s="161"/>
      <c r="BN326" s="161"/>
      <c r="BO326" s="161"/>
      <c r="BP326" s="161"/>
      <c r="BQ326" s="161"/>
      <c r="BR326" s="161"/>
      <c r="BS326" s="161"/>
      <c r="BT326" s="161"/>
      <c r="BU326" s="161"/>
      <c r="BV326" s="161"/>
    </row>
    <row r="327" spans="1:74">
      <c r="A327" s="161"/>
      <c r="B327" s="263" t="s">
        <v>724</v>
      </c>
      <c r="C327" s="313">
        <f>Quarts!BD160</f>
        <v>0.35657544938411495</v>
      </c>
      <c r="D327" s="313">
        <f>Quarts!BE160</f>
        <v>0.41848857373526199</v>
      </c>
      <c r="E327" s="313">
        <f>Quarts!BF160</f>
        <v>0.40739555447361803</v>
      </c>
      <c r="F327" s="313">
        <f>Quarts!BG160</f>
        <v>0.5512150563800321</v>
      </c>
      <c r="G327" s="313">
        <f>Quarts!BH160</f>
        <v>0.3124917857304646</v>
      </c>
      <c r="H327" s="313">
        <f>Quarts!BI160</f>
        <v>0.3973585017224745</v>
      </c>
      <c r="I327" s="313">
        <f>Quarts!BJ160</f>
        <v>0.50649262401760253</v>
      </c>
      <c r="J327" s="313">
        <f>Quarts!BK160</f>
        <v>0.50802611228752192</v>
      </c>
      <c r="K327" s="161"/>
      <c r="L327" s="161"/>
      <c r="M327" s="161"/>
      <c r="N327" s="161"/>
      <c r="O327" s="161"/>
      <c r="P327" s="161"/>
      <c r="Q327" s="161"/>
      <c r="R327" s="161"/>
      <c r="S327" s="161"/>
      <c r="T327" s="161"/>
      <c r="U327" s="161"/>
      <c r="V327" s="161"/>
      <c r="W327" s="161"/>
      <c r="X327" s="161"/>
      <c r="Y327" s="161"/>
      <c r="Z327" s="161"/>
      <c r="AA327" s="161"/>
      <c r="AB327" s="161"/>
      <c r="AC327" s="161"/>
      <c r="AD327" s="161"/>
      <c r="AE327" s="161"/>
      <c r="AF327" s="161"/>
      <c r="AG327" s="161"/>
      <c r="AH327" s="161"/>
      <c r="AI327" s="161"/>
      <c r="AJ327" s="161"/>
      <c r="AK327" s="161"/>
      <c r="AL327" s="161"/>
      <c r="AM327" s="161"/>
      <c r="AN327" s="161"/>
      <c r="AO327" s="161"/>
      <c r="AP327" s="161"/>
      <c r="AQ327" s="161"/>
      <c r="AR327" s="161"/>
      <c r="AS327" s="161"/>
      <c r="AT327" s="161"/>
      <c r="AU327" s="161"/>
      <c r="AV327" s="161"/>
      <c r="AW327" s="161"/>
      <c r="AX327" s="161"/>
      <c r="AY327" s="161"/>
      <c r="AZ327" s="161"/>
      <c r="BA327" s="161"/>
      <c r="BB327" s="161"/>
      <c r="BC327" s="161"/>
      <c r="BD327" s="161"/>
      <c r="BE327" s="161"/>
      <c r="BF327" s="161"/>
      <c r="BG327" s="161"/>
      <c r="BH327" s="161"/>
      <c r="BI327" s="161"/>
      <c r="BJ327" s="161"/>
      <c r="BK327" s="161"/>
      <c r="BL327" s="161"/>
      <c r="BM327" s="161"/>
      <c r="BN327" s="161"/>
      <c r="BO327" s="161"/>
      <c r="BP327" s="161"/>
      <c r="BQ327" s="161"/>
      <c r="BR327" s="161"/>
      <c r="BS327" s="161"/>
      <c r="BT327" s="161"/>
      <c r="BU327" s="161"/>
      <c r="BV327" s="161"/>
    </row>
    <row r="328" spans="1:74">
      <c r="A328" s="161"/>
      <c r="B328" s="263" t="s">
        <v>734</v>
      </c>
      <c r="C328" s="313">
        <v>0.29230576196170288</v>
      </c>
      <c r="D328" s="313">
        <v>0.31365276090343691</v>
      </c>
      <c r="E328" s="313">
        <v>0.26577376042170947</v>
      </c>
      <c r="F328" s="313">
        <v>0.20578417273113853</v>
      </c>
      <c r="G328" s="313">
        <v>0.25767230072508601</v>
      </c>
      <c r="H328" s="313">
        <v>0.21894325346784368</v>
      </c>
      <c r="I328" s="313">
        <v>0.19813054108117453</v>
      </c>
      <c r="J328" s="313">
        <v>0.24703972092415283</v>
      </c>
      <c r="K328" s="161"/>
      <c r="L328" s="161"/>
      <c r="M328" s="161"/>
      <c r="N328" s="161"/>
      <c r="O328" s="161"/>
      <c r="P328" s="161"/>
      <c r="Q328" s="161"/>
      <c r="R328" s="161"/>
      <c r="S328" s="161"/>
      <c r="T328" s="161"/>
      <c r="U328" s="161"/>
      <c r="V328" s="161"/>
      <c r="W328" s="161"/>
      <c r="X328" s="161"/>
      <c r="Y328" s="161"/>
      <c r="Z328" s="161"/>
      <c r="AA328" s="161"/>
      <c r="AB328" s="161"/>
      <c r="AC328" s="161"/>
      <c r="AD328" s="161"/>
      <c r="AE328" s="161"/>
      <c r="AF328" s="161"/>
      <c r="AG328" s="161"/>
      <c r="AH328" s="161"/>
      <c r="AI328" s="161"/>
      <c r="AJ328" s="161"/>
      <c r="AK328" s="161"/>
      <c r="AL328" s="161"/>
      <c r="AM328" s="161"/>
      <c r="AN328" s="161"/>
      <c r="AO328" s="161"/>
      <c r="AP328" s="161"/>
      <c r="AQ328" s="161"/>
      <c r="AR328" s="161"/>
      <c r="AS328" s="161"/>
      <c r="AT328" s="161"/>
      <c r="AU328" s="161"/>
      <c r="AV328" s="161"/>
      <c r="AW328" s="161"/>
      <c r="AX328" s="161"/>
      <c r="AY328" s="161"/>
      <c r="AZ328" s="161"/>
      <c r="BA328" s="161"/>
      <c r="BB328" s="161"/>
      <c r="BC328" s="161"/>
      <c r="BD328" s="161"/>
      <c r="BE328" s="161"/>
      <c r="BF328" s="161"/>
      <c r="BG328" s="161"/>
      <c r="BH328" s="161"/>
      <c r="BI328" s="161"/>
      <c r="BJ328" s="161"/>
      <c r="BK328" s="161"/>
      <c r="BL328" s="161"/>
      <c r="BM328" s="161"/>
      <c r="BN328" s="161"/>
      <c r="BO328" s="161"/>
      <c r="BP328" s="161"/>
      <c r="BQ328" s="161"/>
      <c r="BR328" s="161"/>
      <c r="BS328" s="161"/>
      <c r="BT328" s="161"/>
      <c r="BU328" s="161"/>
      <c r="BV328" s="161"/>
    </row>
    <row r="329" spans="1:74">
      <c r="A329" s="161"/>
      <c r="B329" s="161" t="s">
        <v>678</v>
      </c>
      <c r="C329" s="313">
        <v>0.6105038022813688</v>
      </c>
      <c r="D329" s="313">
        <v>0.6294256490952006</v>
      </c>
      <c r="E329" s="313">
        <v>0.66645168225303664</v>
      </c>
      <c r="F329" s="313">
        <v>0.56491372226787184</v>
      </c>
      <c r="G329" s="313">
        <v>0.41726032973743132</v>
      </c>
      <c r="H329" s="313">
        <v>0.40336475119083814</v>
      </c>
      <c r="I329" s="313">
        <v>0.36888318863456987</v>
      </c>
      <c r="J329" s="313">
        <v>0.35666104553119732</v>
      </c>
      <c r="K329" s="161"/>
      <c r="L329" s="161"/>
      <c r="M329" s="161"/>
      <c r="N329" s="161"/>
      <c r="O329" s="161"/>
      <c r="P329" s="161"/>
      <c r="Q329" s="161"/>
      <c r="R329" s="161"/>
      <c r="S329" s="161"/>
      <c r="T329" s="161"/>
      <c r="U329" s="161"/>
      <c r="V329" s="161"/>
      <c r="W329" s="161"/>
      <c r="X329" s="161"/>
      <c r="Y329" s="161"/>
      <c r="Z329" s="161"/>
      <c r="AA329" s="161"/>
      <c r="AB329" s="161"/>
      <c r="AC329" s="161"/>
      <c r="AD329" s="161"/>
      <c r="AE329" s="161"/>
      <c r="AF329" s="161"/>
      <c r="AG329" s="161"/>
      <c r="AH329" s="161"/>
      <c r="AI329" s="161"/>
      <c r="AJ329" s="161"/>
      <c r="AK329" s="161"/>
      <c r="AL329" s="161"/>
      <c r="AM329" s="161"/>
      <c r="AN329" s="161"/>
      <c r="AO329" s="161"/>
      <c r="AP329" s="161"/>
      <c r="AQ329" s="161"/>
      <c r="AR329" s="161"/>
      <c r="AS329" s="161"/>
      <c r="AT329" s="161"/>
      <c r="AU329" s="161"/>
      <c r="AV329" s="161"/>
      <c r="AW329" s="161"/>
      <c r="AX329" s="161"/>
      <c r="AY329" s="161"/>
      <c r="AZ329" s="161"/>
      <c r="BA329" s="161"/>
      <c r="BB329" s="161"/>
      <c r="BC329" s="161"/>
      <c r="BD329" s="161"/>
      <c r="BE329" s="161"/>
      <c r="BF329" s="161"/>
      <c r="BG329" s="161"/>
      <c r="BH329" s="161"/>
      <c r="BI329" s="161"/>
      <c r="BJ329" s="161"/>
      <c r="BK329" s="161"/>
      <c r="BL329" s="161"/>
      <c r="BM329" s="161"/>
      <c r="BN329" s="161"/>
      <c r="BO329" s="161"/>
      <c r="BP329" s="161"/>
      <c r="BQ329" s="161"/>
      <c r="BR329" s="161"/>
      <c r="BS329" s="161"/>
      <c r="BT329" s="161"/>
      <c r="BU329" s="161"/>
      <c r="BV329" s="161"/>
    </row>
    <row r="330" spans="1:74">
      <c r="A330" s="161"/>
      <c r="B330" s="161"/>
      <c r="C330" s="161"/>
      <c r="D330" s="161"/>
      <c r="E330" s="161"/>
      <c r="F330" s="161"/>
      <c r="G330" s="161"/>
      <c r="H330" s="161"/>
      <c r="I330" s="161"/>
      <c r="J330" s="161"/>
      <c r="K330" s="161"/>
      <c r="L330" s="161"/>
      <c r="M330" s="161"/>
      <c r="N330" s="161"/>
      <c r="O330" s="161"/>
      <c r="P330" s="161"/>
      <c r="Q330" s="161"/>
      <c r="R330" s="161"/>
      <c r="S330" s="161"/>
      <c r="T330" s="161"/>
      <c r="U330" s="161"/>
      <c r="V330" s="161"/>
      <c r="W330" s="161"/>
      <c r="X330" s="161"/>
      <c r="Y330" s="161"/>
      <c r="Z330" s="161"/>
      <c r="AA330" s="161"/>
      <c r="AB330" s="161"/>
      <c r="AC330" s="161"/>
      <c r="AD330" s="161"/>
      <c r="AE330" s="161"/>
      <c r="AF330" s="161"/>
      <c r="AG330" s="161"/>
      <c r="AH330" s="161"/>
      <c r="AI330" s="161"/>
      <c r="AJ330" s="161"/>
      <c r="AK330" s="161"/>
      <c r="AL330" s="161"/>
      <c r="AM330" s="161"/>
      <c r="AN330" s="161"/>
      <c r="AO330" s="161"/>
      <c r="AP330" s="161"/>
      <c r="AQ330" s="161"/>
      <c r="AR330" s="161"/>
      <c r="AS330" s="161"/>
      <c r="AT330" s="161"/>
      <c r="AU330" s="161"/>
      <c r="AV330" s="161"/>
      <c r="AW330" s="161"/>
      <c r="AX330" s="161"/>
      <c r="AY330" s="161"/>
      <c r="AZ330" s="161"/>
      <c r="BA330" s="161"/>
      <c r="BB330" s="161"/>
      <c r="BC330" s="161"/>
      <c r="BD330" s="161"/>
      <c r="BE330" s="161"/>
      <c r="BF330" s="161"/>
      <c r="BG330" s="161"/>
      <c r="BH330" s="161"/>
      <c r="BI330" s="161"/>
      <c r="BJ330" s="161"/>
      <c r="BK330" s="161"/>
      <c r="BL330" s="161"/>
      <c r="BM330" s="161"/>
      <c r="BN330" s="161"/>
      <c r="BO330" s="161"/>
      <c r="BP330" s="161"/>
      <c r="BQ330" s="161"/>
      <c r="BR330" s="161"/>
      <c r="BS330" s="161"/>
      <c r="BT330" s="161"/>
      <c r="BU330" s="161"/>
      <c r="BV330" s="161"/>
    </row>
    <row r="331" spans="1:74">
      <c r="A331" s="161"/>
      <c r="B331" s="161"/>
      <c r="C331" s="161"/>
      <c r="D331" s="161"/>
      <c r="E331" s="161"/>
      <c r="F331" s="161"/>
      <c r="G331" s="161"/>
      <c r="H331" s="161"/>
      <c r="I331" s="161"/>
      <c r="J331" s="161"/>
      <c r="K331" s="161"/>
      <c r="L331" s="161"/>
      <c r="M331" s="161"/>
      <c r="N331" s="161"/>
      <c r="O331" s="161"/>
      <c r="P331" s="161"/>
      <c r="Q331" s="161"/>
      <c r="R331" s="161"/>
      <c r="S331" s="161"/>
      <c r="T331" s="161"/>
      <c r="U331" s="161"/>
      <c r="V331" s="161"/>
      <c r="W331" s="161"/>
      <c r="X331" s="161"/>
      <c r="Y331" s="161"/>
      <c r="Z331" s="161"/>
      <c r="AA331" s="161"/>
      <c r="AB331" s="161"/>
      <c r="AC331" s="161"/>
      <c r="AD331" s="161"/>
      <c r="AE331" s="161"/>
      <c r="AF331" s="161"/>
      <c r="AG331" s="161"/>
      <c r="AH331" s="161"/>
      <c r="AI331" s="161"/>
      <c r="AJ331" s="161"/>
      <c r="AK331" s="161"/>
      <c r="AL331" s="161"/>
      <c r="AM331" s="161"/>
      <c r="AN331" s="161"/>
      <c r="AO331" s="161"/>
      <c r="AP331" s="161"/>
      <c r="AQ331" s="161"/>
      <c r="AR331" s="161"/>
      <c r="AS331" s="161"/>
      <c r="AT331" s="161"/>
      <c r="AU331" s="161"/>
      <c r="AV331" s="161"/>
      <c r="AW331" s="161"/>
      <c r="AX331" s="161"/>
      <c r="AY331" s="161"/>
      <c r="AZ331" s="161"/>
      <c r="BA331" s="161"/>
      <c r="BB331" s="161"/>
      <c r="BC331" s="161"/>
      <c r="BD331" s="161"/>
      <c r="BE331" s="161"/>
      <c r="BF331" s="161"/>
      <c r="BG331" s="161"/>
      <c r="BH331" s="161"/>
      <c r="BI331" s="161"/>
      <c r="BJ331" s="161"/>
      <c r="BK331" s="161"/>
      <c r="BL331" s="161"/>
      <c r="BM331" s="161"/>
      <c r="BN331" s="161"/>
      <c r="BO331" s="161"/>
      <c r="BP331" s="161"/>
      <c r="BQ331" s="161"/>
      <c r="BR331" s="161"/>
      <c r="BS331" s="161"/>
      <c r="BT331" s="161"/>
      <c r="BU331" s="161"/>
      <c r="BV331" s="161"/>
    </row>
    <row r="332" spans="1:74">
      <c r="A332" s="161"/>
      <c r="B332" s="161"/>
      <c r="C332" s="161"/>
      <c r="D332" s="161"/>
      <c r="E332" s="161"/>
      <c r="F332" s="161"/>
      <c r="G332" s="161"/>
      <c r="H332" s="161"/>
      <c r="I332" s="161"/>
      <c r="J332" s="161"/>
      <c r="K332" s="161"/>
      <c r="L332" s="161"/>
      <c r="M332" s="161"/>
      <c r="N332" s="161"/>
      <c r="O332" s="161"/>
      <c r="P332" s="161"/>
      <c r="Q332" s="161"/>
      <c r="R332" s="161"/>
      <c r="S332" s="161"/>
      <c r="T332" s="161"/>
      <c r="U332" s="161"/>
      <c r="V332" s="161"/>
      <c r="W332" s="161"/>
      <c r="X332" s="161"/>
      <c r="Y332" s="161"/>
      <c r="Z332" s="161"/>
      <c r="AA332" s="161"/>
      <c r="AB332" s="161"/>
      <c r="AC332" s="161"/>
      <c r="AD332" s="161"/>
      <c r="AE332" s="161"/>
      <c r="AF332" s="161"/>
      <c r="AG332" s="161"/>
      <c r="AH332" s="161"/>
      <c r="AI332" s="161"/>
      <c r="AJ332" s="161"/>
      <c r="AK332" s="161"/>
      <c r="AL332" s="161"/>
      <c r="AM332" s="161"/>
      <c r="AN332" s="161"/>
      <c r="AO332" s="161"/>
      <c r="AP332" s="161"/>
      <c r="AQ332" s="161"/>
      <c r="AR332" s="161"/>
      <c r="AS332" s="161"/>
      <c r="AT332" s="161"/>
      <c r="AU332" s="161"/>
      <c r="AV332" s="161"/>
      <c r="AW332" s="161"/>
      <c r="AX332" s="161"/>
      <c r="AY332" s="161"/>
      <c r="AZ332" s="161"/>
      <c r="BA332" s="161"/>
      <c r="BB332" s="161"/>
      <c r="BC332" s="161"/>
      <c r="BD332" s="161"/>
      <c r="BE332" s="161"/>
      <c r="BF332" s="161"/>
      <c r="BG332" s="161"/>
      <c r="BH332" s="161"/>
      <c r="BI332" s="161"/>
      <c r="BJ332" s="161"/>
      <c r="BK332" s="161"/>
      <c r="BL332" s="161"/>
      <c r="BM332" s="161"/>
      <c r="BN332" s="161"/>
      <c r="BO332" s="161"/>
      <c r="BP332" s="161"/>
      <c r="BQ332" s="161"/>
      <c r="BR332" s="161"/>
      <c r="BS332" s="161"/>
      <c r="BT332" s="161"/>
      <c r="BU332" s="161"/>
      <c r="BV332" s="161"/>
    </row>
    <row r="333" spans="1:74">
      <c r="A333" s="161"/>
      <c r="B333" s="161"/>
      <c r="C333" s="161"/>
      <c r="D333" s="161"/>
      <c r="E333" s="161"/>
      <c r="F333" s="161"/>
      <c r="G333" s="161"/>
      <c r="H333" s="161"/>
      <c r="I333" s="161"/>
      <c r="J333" s="161"/>
      <c r="K333" s="161"/>
      <c r="L333" s="161"/>
      <c r="M333" s="161"/>
      <c r="N333" s="161"/>
      <c r="O333" s="161"/>
      <c r="P333" s="161"/>
      <c r="Q333" s="161"/>
      <c r="R333" s="161"/>
      <c r="S333" s="161"/>
      <c r="T333" s="161"/>
      <c r="U333" s="161"/>
      <c r="V333" s="161"/>
      <c r="W333" s="161"/>
      <c r="X333" s="161"/>
      <c r="Y333" s="161"/>
      <c r="Z333" s="161"/>
      <c r="AA333" s="161"/>
      <c r="AB333" s="161"/>
      <c r="AC333" s="161"/>
      <c r="AD333" s="161"/>
      <c r="AE333" s="161"/>
      <c r="AF333" s="161"/>
      <c r="AG333" s="161"/>
      <c r="AH333" s="161"/>
      <c r="AI333" s="161"/>
      <c r="AJ333" s="161"/>
      <c r="AK333" s="161"/>
      <c r="AL333" s="161"/>
      <c r="AM333" s="161"/>
      <c r="AN333" s="161"/>
      <c r="AO333" s="161"/>
      <c r="AP333" s="161"/>
      <c r="AQ333" s="161"/>
      <c r="AR333" s="161"/>
      <c r="AS333" s="161"/>
      <c r="AT333" s="161"/>
      <c r="AU333" s="161"/>
      <c r="AV333" s="161"/>
      <c r="AW333" s="161"/>
      <c r="AX333" s="161"/>
      <c r="AY333" s="161"/>
      <c r="AZ333" s="161"/>
      <c r="BA333" s="161"/>
      <c r="BB333" s="161"/>
      <c r="BC333" s="161"/>
      <c r="BD333" s="161"/>
      <c r="BE333" s="161"/>
      <c r="BF333" s="161"/>
      <c r="BG333" s="161"/>
      <c r="BH333" s="161"/>
      <c r="BI333" s="161"/>
      <c r="BJ333" s="161"/>
      <c r="BK333" s="161"/>
      <c r="BL333" s="161"/>
      <c r="BM333" s="161"/>
      <c r="BN333" s="161"/>
      <c r="BO333" s="161"/>
      <c r="BP333" s="161"/>
      <c r="BQ333" s="161"/>
      <c r="BR333" s="161"/>
      <c r="BS333" s="161"/>
      <c r="BT333" s="161"/>
      <c r="BU333" s="161"/>
      <c r="BV333" s="161"/>
    </row>
    <row r="334" spans="1:74">
      <c r="A334" s="161"/>
      <c r="B334" s="163" t="s">
        <v>558</v>
      </c>
      <c r="C334" s="310" t="s">
        <v>721</v>
      </c>
      <c r="D334" s="310" t="s">
        <v>722</v>
      </c>
      <c r="E334" s="310" t="s">
        <v>723</v>
      </c>
      <c r="F334" s="310" t="s">
        <v>732</v>
      </c>
      <c r="G334" s="310" t="s">
        <v>733</v>
      </c>
      <c r="H334" s="161"/>
      <c r="I334" s="161"/>
      <c r="J334" s="161"/>
      <c r="K334" s="161"/>
      <c r="L334" s="161"/>
      <c r="M334" s="161"/>
      <c r="N334" s="161"/>
      <c r="O334" s="161"/>
      <c r="P334" s="161"/>
      <c r="Q334" s="161"/>
      <c r="R334" s="161"/>
      <c r="S334" s="161"/>
      <c r="T334" s="161"/>
      <c r="U334" s="161"/>
      <c r="V334" s="161"/>
      <c r="W334" s="161"/>
      <c r="X334" s="161"/>
      <c r="Y334" s="161"/>
      <c r="Z334" s="161"/>
      <c r="AA334" s="161"/>
      <c r="AB334" s="161"/>
      <c r="AC334" s="161"/>
      <c r="AD334" s="161"/>
      <c r="AE334" s="161"/>
      <c r="AF334" s="161"/>
      <c r="AG334" s="161"/>
      <c r="AH334" s="161"/>
      <c r="AI334" s="161"/>
      <c r="AJ334" s="161"/>
      <c r="AK334" s="161"/>
      <c r="AL334" s="161"/>
      <c r="AM334" s="161"/>
      <c r="AN334" s="161"/>
      <c r="AO334" s="161"/>
      <c r="AP334" s="161"/>
      <c r="AQ334" s="161"/>
      <c r="AR334" s="161"/>
      <c r="AS334" s="161"/>
      <c r="AT334" s="161"/>
      <c r="AU334" s="161"/>
      <c r="AV334" s="161"/>
      <c r="AW334" s="161"/>
      <c r="AX334" s="161"/>
      <c r="AY334" s="161"/>
      <c r="AZ334" s="161"/>
      <c r="BA334" s="161"/>
      <c r="BB334" s="161"/>
      <c r="BC334" s="161"/>
      <c r="BD334" s="161"/>
      <c r="BE334" s="161"/>
      <c r="BF334" s="161"/>
      <c r="BG334" s="161"/>
      <c r="BH334" s="161"/>
      <c r="BI334" s="161"/>
      <c r="BJ334" s="161"/>
      <c r="BK334" s="161"/>
      <c r="BL334" s="161"/>
      <c r="BM334" s="161"/>
      <c r="BN334" s="161"/>
      <c r="BO334" s="161"/>
      <c r="BP334" s="161"/>
      <c r="BQ334" s="161"/>
      <c r="BR334" s="161"/>
      <c r="BS334" s="161"/>
      <c r="BT334" s="161"/>
      <c r="BU334" s="161"/>
      <c r="BV334" s="161"/>
    </row>
    <row r="335" spans="1:74">
      <c r="A335" s="161"/>
      <c r="B335" s="263" t="s">
        <v>724</v>
      </c>
      <c r="C335" s="314">
        <f>Master!W46</f>
        <v>0.43350404780094365</v>
      </c>
      <c r="D335" s="314">
        <f>Master!X46</f>
        <v>0.31485179676237351</v>
      </c>
      <c r="E335" s="314">
        <f>Master!Y46</f>
        <v>0.25931321481321751</v>
      </c>
      <c r="F335" s="314">
        <f>Master!Z46</f>
        <v>0.2525</v>
      </c>
      <c r="G335" s="314">
        <f>Master!AA46</f>
        <v>0.24</v>
      </c>
      <c r="H335" s="161"/>
      <c r="I335" s="161"/>
      <c r="J335" s="161"/>
      <c r="K335" s="161"/>
      <c r="L335" s="161"/>
      <c r="M335" s="161"/>
      <c r="N335" s="161"/>
      <c r="O335" s="161"/>
      <c r="P335" s="161"/>
      <c r="Q335" s="161"/>
      <c r="R335" s="161"/>
      <c r="S335" s="161"/>
      <c r="T335" s="161"/>
      <c r="U335" s="161"/>
      <c r="V335" s="161"/>
      <c r="W335" s="161"/>
      <c r="X335" s="161"/>
      <c r="Y335" s="161"/>
      <c r="Z335" s="161"/>
      <c r="AA335" s="161"/>
      <c r="AB335" s="161"/>
      <c r="AC335" s="161"/>
      <c r="AD335" s="161"/>
      <c r="AE335" s="161"/>
      <c r="AF335" s="161"/>
      <c r="AG335" s="161"/>
      <c r="AH335" s="161"/>
      <c r="AI335" s="161"/>
      <c r="AJ335" s="161"/>
      <c r="AK335" s="161"/>
      <c r="AL335" s="161"/>
      <c r="AM335" s="161"/>
      <c r="AN335" s="161"/>
      <c r="AO335" s="161"/>
      <c r="AP335" s="161"/>
      <c r="AQ335" s="161"/>
      <c r="AR335" s="161"/>
      <c r="AS335" s="161"/>
      <c r="AT335" s="161"/>
      <c r="AU335" s="161"/>
      <c r="AV335" s="161"/>
      <c r="AW335" s="161"/>
      <c r="AX335" s="161"/>
      <c r="AY335" s="161"/>
      <c r="AZ335" s="161"/>
      <c r="BA335" s="161"/>
      <c r="BB335" s="161"/>
      <c r="BC335" s="161"/>
      <c r="BD335" s="161"/>
      <c r="BE335" s="161"/>
      <c r="BF335" s="161"/>
      <c r="BG335" s="161"/>
      <c r="BH335" s="161"/>
      <c r="BI335" s="161"/>
      <c r="BJ335" s="161"/>
      <c r="BK335" s="161"/>
      <c r="BL335" s="161"/>
      <c r="BM335" s="161"/>
      <c r="BN335" s="161"/>
      <c r="BO335" s="161"/>
      <c r="BP335" s="161"/>
      <c r="BQ335" s="161"/>
      <c r="BR335" s="161"/>
      <c r="BS335" s="161"/>
      <c r="BT335" s="161"/>
      <c r="BU335" s="161"/>
      <c r="BV335" s="161"/>
    </row>
    <row r="336" spans="1:74">
      <c r="A336" s="161"/>
      <c r="B336" s="263" t="s">
        <v>734</v>
      </c>
      <c r="C336" s="314">
        <v>0.25</v>
      </c>
      <c r="D336" s="314">
        <v>0.25</v>
      </c>
      <c r="E336" s="314">
        <v>0.25</v>
      </c>
      <c r="F336" s="314">
        <v>0.25</v>
      </c>
      <c r="G336" s="314">
        <v>0.23</v>
      </c>
      <c r="H336" s="161"/>
      <c r="I336" s="161"/>
      <c r="J336" s="161"/>
      <c r="K336" s="161"/>
      <c r="L336" s="161"/>
      <c r="M336" s="161"/>
      <c r="N336" s="161"/>
      <c r="O336" s="161"/>
      <c r="P336" s="161"/>
      <c r="Q336" s="161"/>
      <c r="R336" s="161"/>
      <c r="S336" s="161"/>
      <c r="T336" s="161"/>
      <c r="U336" s="161"/>
      <c r="V336" s="161"/>
      <c r="W336" s="161"/>
      <c r="X336" s="161"/>
      <c r="Y336" s="161"/>
      <c r="Z336" s="161"/>
      <c r="AA336" s="161"/>
      <c r="AB336" s="161"/>
      <c r="AC336" s="161"/>
      <c r="AD336" s="161"/>
      <c r="AE336" s="161"/>
      <c r="AF336" s="161"/>
      <c r="AG336" s="161"/>
      <c r="AH336" s="161"/>
      <c r="AI336" s="161"/>
      <c r="AJ336" s="161"/>
      <c r="AK336" s="161"/>
      <c r="AL336" s="161"/>
      <c r="AM336" s="161"/>
      <c r="AN336" s="161"/>
      <c r="AO336" s="161"/>
      <c r="AP336" s="161"/>
      <c r="AQ336" s="161"/>
      <c r="AR336" s="161"/>
      <c r="AS336" s="161"/>
      <c r="AT336" s="161"/>
      <c r="AU336" s="161"/>
      <c r="AV336" s="161"/>
      <c r="AW336" s="161"/>
      <c r="AX336" s="161"/>
      <c r="AY336" s="161"/>
      <c r="AZ336" s="161"/>
      <c r="BA336" s="161"/>
      <c r="BB336" s="161"/>
      <c r="BC336" s="161"/>
      <c r="BD336" s="161"/>
      <c r="BE336" s="161"/>
      <c r="BF336" s="161"/>
      <c r="BG336" s="161"/>
      <c r="BH336" s="161"/>
      <c r="BI336" s="161"/>
      <c r="BJ336" s="161"/>
      <c r="BK336" s="161"/>
      <c r="BL336" s="161"/>
      <c r="BM336" s="161"/>
      <c r="BN336" s="161"/>
      <c r="BO336" s="161"/>
      <c r="BP336" s="161"/>
      <c r="BQ336" s="161"/>
      <c r="BR336" s="161"/>
      <c r="BS336" s="161"/>
      <c r="BT336" s="161"/>
      <c r="BU336" s="161"/>
      <c r="BV336" s="161"/>
    </row>
    <row r="337" spans="1:74">
      <c r="A337" s="161"/>
      <c r="B337" s="161"/>
      <c r="C337" s="161"/>
      <c r="D337" s="161"/>
      <c r="E337" s="161"/>
      <c r="F337" s="161"/>
      <c r="G337" s="161"/>
      <c r="H337" s="161"/>
      <c r="I337" s="161"/>
      <c r="J337" s="161"/>
      <c r="K337" s="161"/>
      <c r="L337" s="161"/>
      <c r="M337" s="161"/>
      <c r="N337" s="161"/>
      <c r="O337" s="161"/>
      <c r="P337" s="161"/>
      <c r="Q337" s="161"/>
      <c r="R337" s="161"/>
      <c r="S337" s="161"/>
      <c r="T337" s="161"/>
      <c r="U337" s="161"/>
      <c r="V337" s="161"/>
      <c r="W337" s="161"/>
      <c r="X337" s="161"/>
      <c r="Y337" s="161"/>
      <c r="Z337" s="161"/>
      <c r="AA337" s="161"/>
      <c r="AB337" s="161"/>
      <c r="AC337" s="161"/>
      <c r="AD337" s="161"/>
      <c r="AE337" s="161"/>
      <c r="AF337" s="161"/>
      <c r="AG337" s="161"/>
      <c r="AH337" s="161"/>
      <c r="AI337" s="161"/>
      <c r="AJ337" s="161"/>
      <c r="AK337" s="161"/>
      <c r="AL337" s="161"/>
      <c r="AM337" s="161"/>
      <c r="AN337" s="161"/>
      <c r="AO337" s="161"/>
      <c r="AP337" s="161"/>
      <c r="AQ337" s="161"/>
      <c r="AR337" s="161"/>
      <c r="AS337" s="161"/>
      <c r="AT337" s="161"/>
      <c r="AU337" s="161"/>
      <c r="AV337" s="161"/>
      <c r="AW337" s="161"/>
      <c r="AX337" s="161"/>
      <c r="AY337" s="161"/>
      <c r="AZ337" s="161"/>
      <c r="BA337" s="161"/>
      <c r="BB337" s="161"/>
      <c r="BC337" s="161"/>
      <c r="BD337" s="161"/>
      <c r="BE337" s="161"/>
      <c r="BF337" s="161"/>
      <c r="BG337" s="161"/>
      <c r="BH337" s="161"/>
      <c r="BI337" s="161"/>
      <c r="BJ337" s="161"/>
      <c r="BK337" s="161"/>
      <c r="BL337" s="161"/>
      <c r="BM337" s="161"/>
      <c r="BN337" s="161"/>
      <c r="BO337" s="161"/>
      <c r="BP337" s="161"/>
      <c r="BQ337" s="161"/>
      <c r="BR337" s="161"/>
      <c r="BS337" s="161"/>
      <c r="BT337" s="161"/>
      <c r="BU337" s="161"/>
      <c r="BV337" s="161"/>
    </row>
    <row r="338" spans="1:74">
      <c r="A338" s="161"/>
      <c r="B338" s="161"/>
      <c r="C338" s="161"/>
      <c r="D338" s="161"/>
      <c r="E338" s="161"/>
      <c r="F338" s="161"/>
      <c r="G338" s="161"/>
      <c r="H338" s="161"/>
      <c r="I338" s="161"/>
      <c r="J338" s="161"/>
      <c r="K338" s="161"/>
      <c r="L338" s="161"/>
      <c r="M338" s="161"/>
      <c r="N338" s="161"/>
      <c r="O338" s="161"/>
      <c r="P338" s="161"/>
      <c r="Q338" s="161"/>
      <c r="R338" s="161"/>
      <c r="S338" s="161"/>
      <c r="T338" s="161"/>
      <c r="U338" s="161"/>
      <c r="V338" s="161"/>
      <c r="W338" s="161"/>
      <c r="X338" s="161"/>
      <c r="Y338" s="161"/>
      <c r="Z338" s="161"/>
      <c r="AA338" s="161"/>
      <c r="AB338" s="161"/>
      <c r="AC338" s="161"/>
      <c r="AD338" s="161"/>
      <c r="AE338" s="161"/>
      <c r="AF338" s="161"/>
      <c r="AG338" s="161"/>
      <c r="AH338" s="161"/>
      <c r="AI338" s="161"/>
      <c r="AJ338" s="161"/>
      <c r="AK338" s="161"/>
      <c r="AL338" s="161"/>
      <c r="AM338" s="161"/>
      <c r="AN338" s="161"/>
      <c r="AO338" s="161"/>
      <c r="AP338" s="161"/>
      <c r="AQ338" s="161"/>
      <c r="AR338" s="161"/>
      <c r="AS338" s="161"/>
      <c r="AT338" s="161"/>
      <c r="AU338" s="161"/>
      <c r="AV338" s="161"/>
      <c r="AW338" s="161"/>
      <c r="AX338" s="161"/>
      <c r="AY338" s="161"/>
      <c r="AZ338" s="161"/>
      <c r="BA338" s="161"/>
      <c r="BB338" s="161"/>
      <c r="BC338" s="161"/>
      <c r="BD338" s="161"/>
      <c r="BE338" s="161"/>
      <c r="BF338" s="161"/>
      <c r="BG338" s="161"/>
      <c r="BH338" s="161"/>
      <c r="BI338" s="161"/>
      <c r="BJ338" s="161"/>
      <c r="BK338" s="161"/>
      <c r="BL338" s="161"/>
      <c r="BM338" s="161"/>
      <c r="BN338" s="161"/>
      <c r="BO338" s="161"/>
      <c r="BP338" s="161"/>
      <c r="BQ338" s="161"/>
      <c r="BR338" s="161"/>
      <c r="BS338" s="161"/>
      <c r="BT338" s="161"/>
      <c r="BU338" s="161"/>
      <c r="BV338" s="161"/>
    </row>
    <row r="339" spans="1:74">
      <c r="A339" s="161"/>
      <c r="B339" s="161"/>
      <c r="C339" s="161"/>
      <c r="D339" s="161"/>
      <c r="E339" s="161"/>
      <c r="F339" s="161"/>
      <c r="G339" s="161"/>
      <c r="H339" s="161"/>
      <c r="I339" s="161"/>
      <c r="J339" s="161"/>
      <c r="K339" s="161"/>
      <c r="L339" s="161"/>
      <c r="M339" s="161"/>
      <c r="N339" s="161"/>
      <c r="O339" s="161"/>
      <c r="P339" s="161"/>
      <c r="Q339" s="161"/>
      <c r="R339" s="161"/>
      <c r="S339" s="161"/>
      <c r="T339" s="161"/>
      <c r="U339" s="161"/>
      <c r="V339" s="161"/>
      <c r="W339" s="161"/>
      <c r="X339" s="161"/>
      <c r="Y339" s="161"/>
      <c r="Z339" s="161"/>
      <c r="AA339" s="161"/>
      <c r="AB339" s="161"/>
      <c r="AC339" s="161"/>
      <c r="AD339" s="161"/>
      <c r="AE339" s="161"/>
      <c r="AF339" s="161"/>
      <c r="AG339" s="161"/>
      <c r="AH339" s="161"/>
      <c r="AI339" s="161"/>
      <c r="AJ339" s="161"/>
      <c r="AK339" s="161"/>
      <c r="AL339" s="161"/>
      <c r="AM339" s="161"/>
      <c r="AN339" s="161"/>
      <c r="AO339" s="161"/>
      <c r="AP339" s="161"/>
      <c r="AQ339" s="161"/>
      <c r="AR339" s="161"/>
      <c r="AS339" s="161"/>
      <c r="AT339" s="161"/>
      <c r="AU339" s="161"/>
      <c r="AV339" s="161"/>
      <c r="AW339" s="161"/>
      <c r="AX339" s="161"/>
      <c r="AY339" s="161"/>
      <c r="AZ339" s="161"/>
      <c r="BA339" s="161"/>
      <c r="BB339" s="161"/>
      <c r="BC339" s="161"/>
      <c r="BD339" s="161"/>
      <c r="BE339" s="161"/>
      <c r="BF339" s="161"/>
      <c r="BG339" s="161"/>
      <c r="BH339" s="161"/>
      <c r="BI339" s="161"/>
      <c r="BJ339" s="161"/>
      <c r="BK339" s="161"/>
      <c r="BL339" s="161"/>
      <c r="BM339" s="161"/>
      <c r="BN339" s="161"/>
      <c r="BO339" s="161"/>
      <c r="BP339" s="161"/>
      <c r="BQ339" s="161"/>
      <c r="BR339" s="161"/>
      <c r="BS339" s="161"/>
      <c r="BT339" s="161"/>
      <c r="BU339" s="161"/>
      <c r="BV339" s="161"/>
    </row>
    <row r="340" spans="1:74">
      <c r="A340" s="161"/>
      <c r="B340" s="161"/>
      <c r="C340" s="161"/>
      <c r="D340" s="161"/>
      <c r="E340" s="161"/>
      <c r="F340" s="161"/>
      <c r="G340" s="161"/>
      <c r="H340" s="161"/>
      <c r="I340" s="161"/>
      <c r="J340" s="161"/>
      <c r="K340" s="161"/>
      <c r="L340" s="161"/>
      <c r="M340" s="161"/>
      <c r="N340" s="161"/>
      <c r="O340" s="161"/>
      <c r="P340" s="161"/>
      <c r="Q340" s="161"/>
      <c r="R340" s="161"/>
      <c r="S340" s="161"/>
      <c r="T340" s="161"/>
      <c r="U340" s="161"/>
      <c r="V340" s="161"/>
      <c r="W340" s="161"/>
      <c r="X340" s="161"/>
      <c r="Y340" s="161"/>
      <c r="Z340" s="161"/>
      <c r="AA340" s="161"/>
      <c r="AB340" s="161"/>
      <c r="AC340" s="161"/>
      <c r="AD340" s="161"/>
      <c r="AE340" s="161"/>
      <c r="AF340" s="161"/>
      <c r="AG340" s="161"/>
      <c r="AH340" s="161"/>
      <c r="AI340" s="161"/>
      <c r="AJ340" s="161"/>
      <c r="AK340" s="161"/>
      <c r="AL340" s="161"/>
      <c r="AM340" s="161"/>
      <c r="AN340" s="161"/>
      <c r="AO340" s="161"/>
      <c r="AP340" s="161"/>
      <c r="AQ340" s="161"/>
      <c r="AR340" s="161"/>
      <c r="AS340" s="161"/>
      <c r="AT340" s="161"/>
      <c r="AU340" s="161"/>
      <c r="AV340" s="161"/>
      <c r="AW340" s="161"/>
      <c r="AX340" s="161"/>
      <c r="AY340" s="161"/>
      <c r="AZ340" s="161"/>
      <c r="BA340" s="161"/>
      <c r="BB340" s="161"/>
      <c r="BC340" s="161"/>
      <c r="BD340" s="161"/>
      <c r="BE340" s="161"/>
      <c r="BF340" s="161"/>
      <c r="BG340" s="161"/>
      <c r="BH340" s="161"/>
      <c r="BI340" s="161"/>
      <c r="BJ340" s="161"/>
      <c r="BK340" s="161"/>
      <c r="BL340" s="161"/>
      <c r="BM340" s="161"/>
      <c r="BN340" s="161"/>
      <c r="BO340" s="161"/>
      <c r="BP340" s="161"/>
      <c r="BQ340" s="161"/>
      <c r="BR340" s="161"/>
      <c r="BS340" s="161"/>
      <c r="BT340" s="161"/>
      <c r="BU340" s="161"/>
      <c r="BV340" s="161"/>
    </row>
    <row r="341" spans="1:74">
      <c r="A341" s="161"/>
      <c r="B341" s="161"/>
      <c r="C341" s="161"/>
      <c r="D341" s="161"/>
      <c r="E341" s="161"/>
      <c r="F341" s="161"/>
      <c r="G341" s="161"/>
      <c r="H341" s="161"/>
      <c r="I341" s="161"/>
      <c r="J341" s="161"/>
      <c r="K341" s="161"/>
      <c r="L341" s="161"/>
      <c r="M341" s="161"/>
      <c r="N341" s="161"/>
      <c r="O341" s="161"/>
      <c r="P341" s="161"/>
      <c r="Q341" s="161"/>
      <c r="R341" s="161"/>
      <c r="S341" s="161"/>
      <c r="T341" s="161"/>
      <c r="U341" s="161"/>
      <c r="V341" s="161"/>
      <c r="W341" s="161"/>
      <c r="X341" s="161"/>
      <c r="Y341" s="161"/>
      <c r="Z341" s="161"/>
      <c r="AA341" s="161"/>
      <c r="AB341" s="161"/>
      <c r="AC341" s="161"/>
      <c r="AD341" s="161"/>
      <c r="AE341" s="161"/>
      <c r="AF341" s="161"/>
      <c r="AG341" s="161"/>
      <c r="AH341" s="161"/>
      <c r="AI341" s="161"/>
      <c r="AJ341" s="161"/>
      <c r="AK341" s="161"/>
      <c r="AL341" s="161"/>
      <c r="AM341" s="161"/>
      <c r="AN341" s="161"/>
      <c r="AO341" s="161"/>
      <c r="AP341" s="161"/>
      <c r="AQ341" s="161"/>
      <c r="AR341" s="161"/>
      <c r="AS341" s="161"/>
      <c r="AT341" s="161"/>
      <c r="AU341" s="161"/>
      <c r="AV341" s="161"/>
      <c r="AW341" s="161"/>
      <c r="AX341" s="161"/>
      <c r="AY341" s="161"/>
      <c r="AZ341" s="161"/>
      <c r="BA341" s="161"/>
      <c r="BB341" s="161"/>
      <c r="BC341" s="161"/>
      <c r="BD341" s="161"/>
      <c r="BE341" s="161"/>
      <c r="BF341" s="161"/>
      <c r="BG341" s="161"/>
      <c r="BH341" s="161"/>
      <c r="BI341" s="161"/>
      <c r="BJ341" s="161"/>
      <c r="BK341" s="161"/>
      <c r="BL341" s="161"/>
      <c r="BM341" s="161"/>
      <c r="BN341" s="161"/>
      <c r="BO341" s="161"/>
      <c r="BP341" s="161"/>
      <c r="BQ341" s="161"/>
      <c r="BR341" s="161"/>
      <c r="BS341" s="161"/>
      <c r="BT341" s="161"/>
      <c r="BU341" s="161"/>
      <c r="BV341" s="161"/>
    </row>
    <row r="342" spans="1:74">
      <c r="A342" s="161"/>
      <c r="B342" s="161"/>
      <c r="C342" s="161"/>
      <c r="D342" s="161"/>
      <c r="E342" s="161"/>
      <c r="F342" s="161"/>
      <c r="G342" s="161"/>
      <c r="H342" s="161"/>
      <c r="I342" s="161"/>
      <c r="J342" s="161"/>
      <c r="K342" s="161"/>
      <c r="L342" s="161"/>
      <c r="M342" s="161"/>
      <c r="N342" s="161"/>
      <c r="O342" s="161"/>
      <c r="P342" s="161"/>
      <c r="Q342" s="161"/>
      <c r="R342" s="161"/>
      <c r="S342" s="161"/>
      <c r="T342" s="161"/>
      <c r="U342" s="161"/>
      <c r="V342" s="161"/>
      <c r="W342" s="161"/>
      <c r="X342" s="161"/>
      <c r="Y342" s="161"/>
      <c r="Z342" s="161"/>
      <c r="AA342" s="161"/>
      <c r="AB342" s="161"/>
      <c r="AC342" s="161"/>
      <c r="AD342" s="161"/>
      <c r="AE342" s="161"/>
      <c r="AF342" s="161"/>
      <c r="AG342" s="161"/>
      <c r="AH342" s="161"/>
      <c r="AI342" s="161"/>
      <c r="AJ342" s="161"/>
      <c r="AK342" s="161"/>
      <c r="AL342" s="161"/>
      <c r="AM342" s="161"/>
      <c r="AN342" s="161"/>
      <c r="AO342" s="161"/>
      <c r="AP342" s="161"/>
      <c r="AQ342" s="161"/>
      <c r="AR342" s="161"/>
      <c r="AS342" s="161"/>
      <c r="AT342" s="161"/>
      <c r="AU342" s="161"/>
      <c r="AV342" s="161"/>
      <c r="AW342" s="161"/>
      <c r="AX342" s="161"/>
      <c r="AY342" s="161"/>
      <c r="AZ342" s="161"/>
      <c r="BA342" s="161"/>
      <c r="BB342" s="161"/>
      <c r="BC342" s="161"/>
      <c r="BD342" s="161"/>
      <c r="BE342" s="161"/>
      <c r="BF342" s="161"/>
      <c r="BG342" s="161"/>
      <c r="BH342" s="161"/>
      <c r="BI342" s="161"/>
      <c r="BJ342" s="161"/>
      <c r="BK342" s="161"/>
      <c r="BL342" s="161"/>
      <c r="BM342" s="161"/>
      <c r="BN342" s="161"/>
      <c r="BO342" s="161"/>
      <c r="BP342" s="161"/>
      <c r="BQ342" s="161"/>
      <c r="BR342" s="161"/>
      <c r="BS342" s="161"/>
      <c r="BT342" s="161"/>
      <c r="BU342" s="161"/>
      <c r="BV342" s="161"/>
    </row>
    <row r="343" spans="1:74">
      <c r="A343" s="161"/>
      <c r="B343" s="161"/>
      <c r="C343" s="161"/>
      <c r="D343" s="161"/>
      <c r="E343" s="161"/>
      <c r="F343" s="161"/>
      <c r="G343" s="161"/>
      <c r="H343" s="161"/>
      <c r="I343" s="161"/>
      <c r="J343" s="161"/>
      <c r="K343" s="161"/>
      <c r="L343" s="161"/>
      <c r="M343" s="161"/>
      <c r="N343" s="161"/>
      <c r="O343" s="161"/>
      <c r="P343" s="161"/>
      <c r="Q343" s="161"/>
      <c r="R343" s="161"/>
      <c r="S343" s="161"/>
      <c r="T343" s="161"/>
      <c r="U343" s="161"/>
      <c r="V343" s="161"/>
      <c r="W343" s="161"/>
      <c r="X343" s="161"/>
      <c r="Y343" s="161"/>
      <c r="Z343" s="161"/>
      <c r="AA343" s="161"/>
      <c r="AB343" s="161"/>
      <c r="AC343" s="161"/>
      <c r="AD343" s="161"/>
      <c r="AE343" s="161"/>
      <c r="AF343" s="161"/>
      <c r="AG343" s="161"/>
      <c r="AH343" s="161"/>
      <c r="AI343" s="161"/>
      <c r="AJ343" s="161"/>
      <c r="AK343" s="161"/>
      <c r="AL343" s="161"/>
      <c r="AM343" s="161"/>
      <c r="AN343" s="161"/>
      <c r="AO343" s="161"/>
      <c r="AP343" s="161"/>
      <c r="AQ343" s="161"/>
      <c r="AR343" s="161"/>
      <c r="AS343" s="161"/>
      <c r="AT343" s="161"/>
      <c r="AU343" s="161"/>
      <c r="AV343" s="161"/>
      <c r="AW343" s="161"/>
      <c r="AX343" s="161"/>
      <c r="AY343" s="161"/>
      <c r="AZ343" s="161"/>
      <c r="BA343" s="161"/>
      <c r="BB343" s="161"/>
      <c r="BC343" s="161"/>
      <c r="BD343" s="161"/>
      <c r="BE343" s="161"/>
      <c r="BF343" s="161"/>
      <c r="BG343" s="161"/>
      <c r="BH343" s="161"/>
      <c r="BI343" s="161"/>
      <c r="BJ343" s="161"/>
      <c r="BK343" s="161"/>
      <c r="BL343" s="161"/>
      <c r="BM343" s="161"/>
      <c r="BN343" s="161"/>
      <c r="BO343" s="161"/>
      <c r="BP343" s="161"/>
      <c r="BQ343" s="161"/>
      <c r="BR343" s="161"/>
      <c r="BS343" s="161"/>
      <c r="BT343" s="161"/>
      <c r="BU343" s="161"/>
      <c r="BV343" s="161"/>
    </row>
    <row r="344" spans="1:74">
      <c r="A344" s="161"/>
      <c r="B344" s="161"/>
      <c r="C344" s="161"/>
      <c r="D344" s="161"/>
      <c r="E344" s="161"/>
      <c r="F344" s="161"/>
      <c r="G344" s="161"/>
      <c r="H344" s="161"/>
      <c r="I344" s="161"/>
      <c r="J344" s="161"/>
      <c r="K344" s="161"/>
      <c r="L344" s="161"/>
      <c r="M344" s="161"/>
      <c r="N344" s="161"/>
      <c r="O344" s="161"/>
      <c r="P344" s="161"/>
      <c r="Q344" s="161"/>
      <c r="R344" s="161"/>
      <c r="S344" s="161"/>
      <c r="T344" s="161"/>
      <c r="U344" s="161"/>
      <c r="V344" s="161"/>
      <c r="W344" s="161"/>
      <c r="X344" s="161"/>
      <c r="Y344" s="161"/>
      <c r="Z344" s="161"/>
      <c r="AA344" s="161"/>
      <c r="AB344" s="161"/>
      <c r="AC344" s="161"/>
      <c r="AD344" s="161"/>
      <c r="AE344" s="161"/>
      <c r="AF344" s="161"/>
      <c r="AG344" s="161"/>
      <c r="AH344" s="161"/>
      <c r="AI344" s="161"/>
      <c r="AJ344" s="161"/>
      <c r="AK344" s="161"/>
      <c r="AL344" s="161"/>
      <c r="AM344" s="161"/>
      <c r="AN344" s="161"/>
      <c r="AO344" s="161"/>
      <c r="AP344" s="161"/>
      <c r="AQ344" s="161"/>
      <c r="AR344" s="161"/>
      <c r="AS344" s="161"/>
      <c r="AT344" s="161"/>
      <c r="AU344" s="161"/>
      <c r="AV344" s="161"/>
      <c r="AW344" s="161"/>
      <c r="AX344" s="161"/>
      <c r="AY344" s="161"/>
      <c r="AZ344" s="161"/>
      <c r="BA344" s="161"/>
      <c r="BB344" s="161"/>
      <c r="BC344" s="161"/>
      <c r="BD344" s="161"/>
      <c r="BE344" s="161"/>
      <c r="BF344" s="161"/>
      <c r="BG344" s="161"/>
      <c r="BH344" s="161"/>
      <c r="BI344" s="161"/>
      <c r="BJ344" s="161"/>
      <c r="BK344" s="161"/>
      <c r="BL344" s="161"/>
      <c r="BM344" s="161"/>
      <c r="BN344" s="161"/>
      <c r="BO344" s="161"/>
      <c r="BP344" s="161"/>
      <c r="BQ344" s="161"/>
      <c r="BR344" s="161"/>
      <c r="BS344" s="161"/>
      <c r="BT344" s="161"/>
      <c r="BU344" s="161"/>
      <c r="BV344" s="161"/>
    </row>
    <row r="345" spans="1:74">
      <c r="A345" s="161"/>
      <c r="B345" s="161"/>
      <c r="C345" s="161"/>
      <c r="D345" s="161"/>
      <c r="E345" s="161"/>
      <c r="F345" s="161"/>
      <c r="G345" s="161"/>
      <c r="H345" s="161"/>
      <c r="I345" s="161"/>
      <c r="J345" s="161"/>
      <c r="K345" s="161"/>
      <c r="L345" s="161"/>
      <c r="M345" s="161"/>
      <c r="N345" s="161"/>
      <c r="O345" s="161"/>
      <c r="P345" s="161"/>
      <c r="Q345" s="161"/>
      <c r="R345" s="161"/>
      <c r="S345" s="161"/>
      <c r="T345" s="161"/>
      <c r="U345" s="161"/>
      <c r="V345" s="161"/>
      <c r="W345" s="161"/>
      <c r="X345" s="161"/>
      <c r="Y345" s="161"/>
      <c r="Z345" s="161"/>
      <c r="AA345" s="161"/>
      <c r="AB345" s="161"/>
      <c r="AC345" s="161"/>
      <c r="AD345" s="161"/>
      <c r="AE345" s="161"/>
      <c r="AF345" s="161"/>
      <c r="AG345" s="161"/>
      <c r="AH345" s="161"/>
      <c r="AI345" s="161"/>
      <c r="AJ345" s="161"/>
      <c r="AK345" s="161"/>
      <c r="AL345" s="161"/>
      <c r="AM345" s="161"/>
      <c r="AN345" s="161"/>
      <c r="AO345" s="161"/>
      <c r="AP345" s="161"/>
      <c r="AQ345" s="161"/>
      <c r="AR345" s="161"/>
      <c r="AS345" s="161"/>
      <c r="AT345" s="161"/>
      <c r="AU345" s="161"/>
      <c r="AV345" s="161"/>
      <c r="AW345" s="161"/>
      <c r="AX345" s="161"/>
      <c r="AY345" s="161"/>
      <c r="AZ345" s="161"/>
      <c r="BA345" s="161"/>
      <c r="BB345" s="161"/>
      <c r="BC345" s="161"/>
      <c r="BD345" s="161"/>
      <c r="BE345" s="161"/>
      <c r="BF345" s="161"/>
      <c r="BG345" s="161"/>
      <c r="BH345" s="161"/>
      <c r="BI345" s="161"/>
      <c r="BJ345" s="161"/>
      <c r="BK345" s="161"/>
      <c r="BL345" s="161"/>
      <c r="BM345" s="161"/>
      <c r="BN345" s="161"/>
      <c r="BO345" s="161"/>
      <c r="BP345" s="161"/>
      <c r="BQ345" s="161"/>
      <c r="BR345" s="161"/>
      <c r="BS345" s="161"/>
      <c r="BT345" s="161"/>
      <c r="BU345" s="161"/>
      <c r="BV345" s="161"/>
    </row>
    <row r="346" spans="1:74">
      <c r="A346" s="161"/>
      <c r="B346" s="161"/>
      <c r="C346" s="161"/>
      <c r="D346" s="161"/>
      <c r="E346" s="161"/>
      <c r="F346" s="161"/>
      <c r="G346" s="161"/>
      <c r="H346" s="161"/>
      <c r="I346" s="161"/>
      <c r="J346" s="161"/>
      <c r="K346" s="161"/>
      <c r="L346" s="161"/>
      <c r="M346" s="161"/>
      <c r="N346" s="161"/>
      <c r="O346" s="161"/>
      <c r="P346" s="161"/>
      <c r="Q346" s="161"/>
      <c r="R346" s="161"/>
      <c r="S346" s="161"/>
      <c r="T346" s="161"/>
      <c r="U346" s="161"/>
      <c r="V346" s="161"/>
      <c r="W346" s="161"/>
      <c r="X346" s="161"/>
      <c r="Y346" s="161"/>
      <c r="Z346" s="161"/>
      <c r="AA346" s="161"/>
      <c r="AB346" s="161"/>
      <c r="AC346" s="161"/>
      <c r="AD346" s="161"/>
      <c r="AE346" s="161"/>
      <c r="AF346" s="161"/>
      <c r="AG346" s="161"/>
      <c r="AH346" s="161"/>
      <c r="AI346" s="161"/>
      <c r="AJ346" s="161"/>
      <c r="AK346" s="161"/>
      <c r="AL346" s="161"/>
      <c r="AM346" s="161"/>
      <c r="AN346" s="161"/>
      <c r="AO346" s="161"/>
      <c r="AP346" s="161"/>
      <c r="AQ346" s="161"/>
      <c r="AR346" s="161"/>
      <c r="AS346" s="161"/>
      <c r="AT346" s="161"/>
      <c r="AU346" s="161"/>
      <c r="AV346" s="161"/>
      <c r="AW346" s="161"/>
      <c r="AX346" s="161"/>
      <c r="AY346" s="161"/>
      <c r="AZ346" s="161"/>
      <c r="BA346" s="161"/>
      <c r="BB346" s="161"/>
      <c r="BC346" s="161"/>
      <c r="BD346" s="161"/>
      <c r="BE346" s="161"/>
      <c r="BF346" s="161"/>
      <c r="BG346" s="161"/>
      <c r="BH346" s="161"/>
      <c r="BI346" s="161"/>
      <c r="BJ346" s="161"/>
      <c r="BK346" s="161"/>
      <c r="BL346" s="161"/>
      <c r="BM346" s="161"/>
      <c r="BN346" s="161"/>
      <c r="BO346" s="161"/>
      <c r="BP346" s="161"/>
      <c r="BQ346" s="161"/>
      <c r="BR346" s="161"/>
      <c r="BS346" s="161"/>
      <c r="BT346" s="161"/>
      <c r="BU346" s="161"/>
      <c r="BV346" s="161"/>
    </row>
    <row r="347" spans="1:74">
      <c r="A347" s="161"/>
      <c r="B347" s="161"/>
      <c r="C347" s="161"/>
      <c r="D347" s="161"/>
      <c r="E347" s="161"/>
      <c r="F347" s="161"/>
      <c r="G347" s="161"/>
      <c r="H347" s="161"/>
      <c r="I347" s="161"/>
      <c r="J347" s="161"/>
      <c r="K347" s="161"/>
      <c r="L347" s="161"/>
      <c r="M347" s="161"/>
      <c r="N347" s="161"/>
      <c r="O347" s="161"/>
      <c r="P347" s="161"/>
      <c r="Q347" s="161"/>
      <c r="R347" s="161"/>
      <c r="S347" s="161"/>
      <c r="T347" s="161"/>
      <c r="U347" s="161"/>
      <c r="V347" s="161"/>
      <c r="W347" s="161"/>
      <c r="X347" s="161"/>
      <c r="Y347" s="161"/>
      <c r="Z347" s="161"/>
      <c r="AA347" s="161"/>
      <c r="AB347" s="161"/>
      <c r="AC347" s="161"/>
      <c r="AD347" s="161"/>
      <c r="AE347" s="161"/>
      <c r="AF347" s="161"/>
      <c r="AG347" s="161"/>
      <c r="AH347" s="161"/>
      <c r="AI347" s="161"/>
      <c r="AJ347" s="161"/>
      <c r="AK347" s="161"/>
      <c r="AL347" s="161"/>
      <c r="AM347" s="161"/>
      <c r="AN347" s="161"/>
      <c r="AO347" s="161"/>
      <c r="AP347" s="161"/>
      <c r="AQ347" s="161"/>
      <c r="AR347" s="161"/>
      <c r="AS347" s="161"/>
      <c r="AT347" s="161"/>
      <c r="AU347" s="161"/>
      <c r="AV347" s="161"/>
      <c r="AW347" s="161"/>
      <c r="AX347" s="161"/>
      <c r="AY347" s="161"/>
      <c r="AZ347" s="161"/>
      <c r="BA347" s="161"/>
      <c r="BB347" s="161"/>
      <c r="BC347" s="161"/>
      <c r="BD347" s="161"/>
      <c r="BE347" s="161"/>
      <c r="BF347" s="161"/>
      <c r="BG347" s="161"/>
      <c r="BH347" s="161"/>
      <c r="BI347" s="161"/>
      <c r="BJ347" s="161"/>
      <c r="BK347" s="161"/>
      <c r="BL347" s="161"/>
      <c r="BM347" s="161"/>
      <c r="BN347" s="161"/>
      <c r="BO347" s="161"/>
      <c r="BP347" s="161"/>
      <c r="BQ347" s="161"/>
      <c r="BR347" s="161"/>
      <c r="BS347" s="161"/>
      <c r="BT347" s="161"/>
      <c r="BU347" s="161"/>
      <c r="BV347" s="161"/>
    </row>
    <row r="348" spans="1:74">
      <c r="A348" s="161"/>
      <c r="B348" s="161"/>
      <c r="C348" s="176"/>
      <c r="D348" s="176"/>
      <c r="E348" s="498" t="s">
        <v>735</v>
      </c>
      <c r="F348" s="310" t="s">
        <v>551</v>
      </c>
      <c r="G348" s="310" t="s">
        <v>390</v>
      </c>
      <c r="H348" s="161"/>
      <c r="I348" s="161"/>
      <c r="J348" s="161"/>
      <c r="K348" s="161"/>
      <c r="L348" s="161"/>
      <c r="M348" s="161"/>
      <c r="N348" s="161"/>
      <c r="O348" s="161"/>
      <c r="P348" s="161"/>
      <c r="Q348" s="161"/>
      <c r="R348" s="161"/>
      <c r="S348" s="161"/>
      <c r="T348" s="161"/>
      <c r="U348" s="161"/>
      <c r="V348" s="161"/>
      <c r="W348" s="161"/>
      <c r="X348" s="161"/>
      <c r="Y348" s="161"/>
      <c r="Z348" s="161"/>
      <c r="AA348" s="161"/>
      <c r="AB348" s="161"/>
      <c r="AC348" s="161"/>
      <c r="AD348" s="161"/>
      <c r="AE348" s="161"/>
      <c r="AF348" s="161"/>
      <c r="AG348" s="161"/>
      <c r="AH348" s="161"/>
      <c r="AI348" s="161"/>
      <c r="AJ348" s="161"/>
      <c r="AK348" s="161"/>
      <c r="AL348" s="161"/>
      <c r="AM348" s="161"/>
      <c r="AN348" s="161"/>
      <c r="AO348" s="161"/>
      <c r="AP348" s="161"/>
      <c r="AQ348" s="161"/>
      <c r="AR348" s="161"/>
      <c r="AS348" s="161"/>
      <c r="AT348" s="161"/>
      <c r="AU348" s="161"/>
      <c r="AV348" s="161"/>
      <c r="AW348" s="161"/>
      <c r="AX348" s="161"/>
      <c r="AY348" s="161"/>
      <c r="AZ348" s="161"/>
      <c r="BA348" s="161"/>
      <c r="BB348" s="161"/>
      <c r="BC348" s="161"/>
      <c r="BD348" s="161"/>
      <c r="BE348" s="161"/>
      <c r="BF348" s="161"/>
      <c r="BG348" s="161"/>
      <c r="BH348" s="161"/>
      <c r="BI348" s="161"/>
      <c r="BJ348" s="161"/>
      <c r="BK348" s="161"/>
      <c r="BL348" s="161"/>
      <c r="BM348" s="161"/>
      <c r="BN348" s="161"/>
      <c r="BO348" s="161"/>
      <c r="BP348" s="161"/>
      <c r="BQ348" s="161"/>
      <c r="BR348" s="161"/>
      <c r="BS348" s="161"/>
      <c r="BT348" s="161"/>
      <c r="BU348" s="161"/>
      <c r="BV348" s="161"/>
    </row>
    <row r="349" spans="1:74">
      <c r="A349" s="161"/>
      <c r="B349" s="163" t="s">
        <v>558</v>
      </c>
      <c r="C349" s="310" t="s">
        <v>736</v>
      </c>
      <c r="D349" s="310" t="s">
        <v>737</v>
      </c>
      <c r="E349" s="495" t="s">
        <v>738</v>
      </c>
      <c r="F349" s="310" t="s">
        <v>738</v>
      </c>
      <c r="G349" s="310" t="s">
        <v>738</v>
      </c>
      <c r="I349" s="310" t="s">
        <v>739</v>
      </c>
      <c r="J349" s="310"/>
      <c r="K349" s="161"/>
      <c r="L349" s="161"/>
      <c r="M349" s="161"/>
      <c r="N349" s="161"/>
      <c r="O349" s="161"/>
      <c r="P349" s="161"/>
      <c r="Q349" s="161"/>
      <c r="R349" s="161"/>
      <c r="S349" s="161"/>
      <c r="T349" s="161"/>
      <c r="U349" s="161"/>
      <c r="V349" s="161"/>
      <c r="W349" s="161"/>
      <c r="X349" s="161"/>
      <c r="Y349" s="161"/>
      <c r="Z349" s="161"/>
      <c r="AA349" s="161"/>
      <c r="AB349" s="161"/>
      <c r="AC349" s="161"/>
      <c r="AD349" s="161"/>
      <c r="AE349" s="161"/>
      <c r="AF349" s="161"/>
      <c r="AG349" s="161"/>
      <c r="AH349" s="161"/>
      <c r="AI349" s="161"/>
      <c r="AJ349" s="161"/>
      <c r="AK349" s="161"/>
      <c r="AL349" s="161"/>
      <c r="AM349" s="161"/>
      <c r="AN349" s="161"/>
      <c r="AO349" s="161"/>
      <c r="AP349" s="161"/>
      <c r="AQ349" s="161"/>
      <c r="AR349" s="161"/>
      <c r="AS349" s="161"/>
      <c r="AT349" s="161"/>
      <c r="AU349" s="161"/>
      <c r="AV349" s="161"/>
      <c r="AW349" s="161"/>
      <c r="AX349" s="161"/>
      <c r="AY349" s="161"/>
      <c r="AZ349" s="161"/>
      <c r="BA349" s="161"/>
      <c r="BB349" s="161"/>
      <c r="BC349" s="161"/>
      <c r="BD349" s="161"/>
      <c r="BE349" s="161"/>
      <c r="BF349" s="161"/>
      <c r="BG349" s="161"/>
      <c r="BH349" s="161"/>
      <c r="BI349" s="161"/>
      <c r="BJ349" s="161"/>
      <c r="BK349" s="161"/>
      <c r="BL349" s="161"/>
      <c r="BM349" s="161"/>
      <c r="BN349" s="161"/>
      <c r="BO349" s="161"/>
      <c r="BP349" s="161"/>
      <c r="BQ349" s="161"/>
      <c r="BR349" s="161"/>
      <c r="BS349" s="161"/>
      <c r="BT349" s="161"/>
      <c r="BU349" s="161"/>
      <c r="BV349" s="161"/>
    </row>
    <row r="350" spans="1:74">
      <c r="A350" s="161"/>
      <c r="B350" s="499" t="s">
        <v>724</v>
      </c>
      <c r="C350" s="500">
        <f>AVERAGE(C327:F327)</f>
        <v>0.43341865849325678</v>
      </c>
      <c r="D350" s="500">
        <f>AVERAGE(G327:J327)</f>
        <v>0.43109225593951594</v>
      </c>
      <c r="E350" s="501" t="s">
        <v>559</v>
      </c>
      <c r="F350" s="500">
        <f>11465/32757</f>
        <v>0.35000152639130566</v>
      </c>
      <c r="G350" s="500">
        <f>AVERAGE(Quarts!BL160:BO160)</f>
        <v>0.31495734005859966</v>
      </c>
      <c r="I350" s="313">
        <v>0.2</v>
      </c>
      <c r="J350" s="313"/>
      <c r="K350" s="161"/>
      <c r="L350" s="161"/>
      <c r="M350" s="161"/>
      <c r="N350" s="161"/>
      <c r="O350" s="161"/>
      <c r="P350" s="161"/>
      <c r="Q350" s="161"/>
      <c r="R350" s="161"/>
      <c r="S350" s="161"/>
      <c r="T350" s="161"/>
      <c r="U350" s="161"/>
      <c r="V350" s="161"/>
      <c r="W350" s="161"/>
      <c r="X350" s="161"/>
      <c r="Y350" s="161"/>
      <c r="Z350" s="161"/>
      <c r="AA350" s="161"/>
      <c r="AB350" s="161"/>
      <c r="AC350" s="161"/>
      <c r="AD350" s="161"/>
      <c r="AE350" s="161"/>
      <c r="AF350" s="161"/>
      <c r="AG350" s="161"/>
      <c r="AH350" s="161"/>
      <c r="AI350" s="161"/>
      <c r="AJ350" s="161"/>
      <c r="AK350" s="161"/>
      <c r="AL350" s="161"/>
      <c r="AM350" s="161"/>
      <c r="AN350" s="161"/>
      <c r="AO350" s="161"/>
      <c r="AP350" s="161"/>
      <c r="AQ350" s="161"/>
      <c r="AR350" s="161"/>
      <c r="AS350" s="161"/>
      <c r="AT350" s="161"/>
      <c r="AU350" s="161"/>
      <c r="AV350" s="161"/>
      <c r="AW350" s="161"/>
      <c r="AX350" s="161"/>
      <c r="AY350" s="161"/>
      <c r="AZ350" s="161"/>
      <c r="BA350" s="161"/>
      <c r="BB350" s="161"/>
      <c r="BC350" s="161"/>
      <c r="BD350" s="161"/>
      <c r="BE350" s="161"/>
      <c r="BF350" s="161"/>
      <c r="BG350" s="161"/>
      <c r="BH350" s="161"/>
      <c r="BI350" s="161"/>
      <c r="BJ350" s="161"/>
      <c r="BK350" s="161"/>
      <c r="BL350" s="161"/>
      <c r="BM350" s="161"/>
      <c r="BN350" s="161"/>
      <c r="BO350" s="161"/>
      <c r="BP350" s="161"/>
      <c r="BQ350" s="161"/>
      <c r="BR350" s="161"/>
      <c r="BS350" s="161"/>
      <c r="BT350" s="161"/>
      <c r="BU350" s="161"/>
      <c r="BV350" s="161"/>
    </row>
    <row r="351" spans="1:74">
      <c r="A351" s="161"/>
      <c r="B351" s="263" t="s">
        <v>740</v>
      </c>
      <c r="C351" s="313">
        <f>AVERAGE(C328:F328)</f>
        <v>0.26937911400449693</v>
      </c>
      <c r="D351" s="313">
        <f>AVERAGE(G328:J328)</f>
        <v>0.23044645404956426</v>
      </c>
      <c r="E351" s="496" t="s">
        <v>741</v>
      </c>
      <c r="F351" s="313">
        <f>11351/49786</f>
        <v>0.2279958221186679</v>
      </c>
      <c r="G351" s="313">
        <v>0.22</v>
      </c>
      <c r="H351" s="313"/>
      <c r="I351" s="313"/>
      <c r="J351" s="313"/>
      <c r="K351" s="161"/>
      <c r="L351" s="161"/>
      <c r="M351" s="161"/>
      <c r="N351" s="161"/>
      <c r="O351" s="161"/>
      <c r="P351" s="161"/>
      <c r="Q351" s="161"/>
      <c r="R351" s="161"/>
      <c r="S351" s="161"/>
      <c r="T351" s="161"/>
      <c r="U351" s="161"/>
      <c r="V351" s="161"/>
      <c r="W351" s="161"/>
      <c r="X351" s="161"/>
      <c r="Y351" s="161"/>
      <c r="Z351" s="161"/>
      <c r="AA351" s="161"/>
      <c r="AB351" s="161"/>
      <c r="AC351" s="161"/>
      <c r="AD351" s="161"/>
      <c r="AE351" s="161"/>
      <c r="AF351" s="161"/>
      <c r="AG351" s="161"/>
      <c r="AH351" s="161"/>
      <c r="AI351" s="161"/>
      <c r="AJ351" s="161"/>
      <c r="AK351" s="161"/>
      <c r="AL351" s="161"/>
      <c r="AM351" s="161"/>
      <c r="AN351" s="161"/>
      <c r="AO351" s="161"/>
      <c r="AP351" s="161"/>
      <c r="AQ351" s="161"/>
      <c r="AR351" s="161"/>
      <c r="AS351" s="161"/>
      <c r="AT351" s="161"/>
      <c r="AU351" s="161"/>
      <c r="AV351" s="161"/>
      <c r="AW351" s="161"/>
      <c r="AX351" s="161"/>
      <c r="AY351" s="161"/>
      <c r="AZ351" s="161"/>
      <c r="BA351" s="161"/>
      <c r="BB351" s="161"/>
      <c r="BC351" s="161"/>
      <c r="BD351" s="161"/>
      <c r="BE351" s="161"/>
      <c r="BF351" s="161"/>
      <c r="BG351" s="161"/>
      <c r="BH351" s="161"/>
      <c r="BI351" s="161"/>
      <c r="BJ351" s="161"/>
      <c r="BK351" s="161"/>
      <c r="BL351" s="161"/>
      <c r="BM351" s="161"/>
      <c r="BN351" s="161"/>
      <c r="BO351" s="161"/>
      <c r="BP351" s="161"/>
      <c r="BQ351" s="161"/>
      <c r="BR351" s="161"/>
      <c r="BS351" s="161"/>
      <c r="BT351" s="161"/>
      <c r="BU351" s="161"/>
      <c r="BV351" s="161"/>
    </row>
    <row r="352" spans="1:74">
      <c r="A352" s="161"/>
      <c r="B352" s="502" t="s">
        <v>678</v>
      </c>
      <c r="C352" s="500">
        <f>AVERAGE(C329:F329)</f>
        <v>0.61782371397436953</v>
      </c>
      <c r="D352" s="500">
        <f>AVERAGE(G329:J329)</f>
        <v>0.38654232877350919</v>
      </c>
      <c r="E352" s="501" t="s">
        <v>742</v>
      </c>
      <c r="F352" s="500" t="s">
        <v>743</v>
      </c>
      <c r="G352" s="500">
        <v>0.34</v>
      </c>
      <c r="H352" s="313"/>
      <c r="I352" s="313"/>
      <c r="J352" s="313"/>
      <c r="K352" s="161"/>
      <c r="L352" s="161"/>
      <c r="M352" s="161"/>
      <c r="N352" s="161"/>
      <c r="O352" s="161"/>
      <c r="P352" s="161"/>
      <c r="Q352" s="161"/>
      <c r="R352" s="161"/>
      <c r="S352" s="161"/>
      <c r="T352" s="161"/>
      <c r="U352" s="161"/>
      <c r="V352" s="161"/>
      <c r="W352" s="161"/>
      <c r="X352" s="161"/>
      <c r="Y352" s="161"/>
      <c r="Z352" s="161"/>
      <c r="AA352" s="161"/>
      <c r="AB352" s="161"/>
      <c r="AC352" s="161"/>
      <c r="AD352" s="161"/>
      <c r="AE352" s="161"/>
      <c r="AF352" s="161"/>
      <c r="AG352" s="161"/>
      <c r="AH352" s="161"/>
      <c r="AI352" s="161"/>
      <c r="AJ352" s="161"/>
      <c r="AK352" s="161"/>
      <c r="AL352" s="161"/>
      <c r="AM352" s="161"/>
      <c r="AN352" s="161"/>
      <c r="AO352" s="161"/>
      <c r="AP352" s="161"/>
      <c r="AQ352" s="161"/>
      <c r="AR352" s="161"/>
      <c r="AS352" s="161"/>
      <c r="AT352" s="161"/>
      <c r="AU352" s="161"/>
      <c r="AV352" s="161"/>
      <c r="AW352" s="161"/>
      <c r="AX352" s="161"/>
      <c r="AY352" s="161"/>
      <c r="AZ352" s="161"/>
      <c r="BA352" s="161"/>
      <c r="BB352" s="161"/>
      <c r="BC352" s="161"/>
      <c r="BD352" s="161"/>
      <c r="BE352" s="161"/>
      <c r="BF352" s="161"/>
      <c r="BG352" s="161"/>
      <c r="BH352" s="161"/>
      <c r="BI352" s="161"/>
      <c r="BJ352" s="161"/>
      <c r="BK352" s="161"/>
      <c r="BL352" s="161"/>
      <c r="BM352" s="161"/>
      <c r="BN352" s="161"/>
      <c r="BO352" s="161"/>
      <c r="BP352" s="161"/>
      <c r="BQ352" s="161"/>
      <c r="BR352" s="161"/>
      <c r="BS352" s="161"/>
      <c r="BT352" s="161"/>
      <c r="BU352" s="161"/>
      <c r="BV352" s="161"/>
    </row>
    <row r="353" spans="1:74">
      <c r="A353" s="161"/>
      <c r="B353" s="161" t="s">
        <v>744</v>
      </c>
      <c r="C353" s="313">
        <v>0.18922180080307779</v>
      </c>
      <c r="D353" s="313">
        <v>0.19158862174989857</v>
      </c>
      <c r="E353" s="497" t="s">
        <v>745</v>
      </c>
      <c r="F353" s="313">
        <f>126738/822739</f>
        <v>0.15404399208011288</v>
      </c>
      <c r="G353" s="313">
        <v>0.15</v>
      </c>
      <c r="H353" s="161"/>
      <c r="I353" s="161"/>
      <c r="J353" s="161"/>
      <c r="K353" s="161"/>
      <c r="L353" s="161"/>
      <c r="M353" s="161"/>
      <c r="N353" s="161"/>
      <c r="O353" s="161"/>
      <c r="P353" s="161"/>
      <c r="Q353" s="161"/>
      <c r="R353" s="161"/>
      <c r="S353" s="161"/>
      <c r="T353" s="161"/>
      <c r="U353" s="161"/>
      <c r="V353" s="161"/>
      <c r="W353" s="161"/>
      <c r="X353" s="161"/>
      <c r="Y353" s="161"/>
      <c r="Z353" s="161"/>
      <c r="AA353" s="161"/>
      <c r="AB353" s="161"/>
      <c r="AC353" s="161"/>
      <c r="AD353" s="161"/>
      <c r="AE353" s="161"/>
      <c r="AF353" s="161"/>
      <c r="AG353" s="161"/>
      <c r="AH353" s="161"/>
      <c r="AI353" s="161"/>
      <c r="AJ353" s="161"/>
      <c r="AK353" s="161"/>
      <c r="AL353" s="161"/>
      <c r="AM353" s="161"/>
      <c r="AN353" s="161"/>
      <c r="AO353" s="161"/>
      <c r="AP353" s="161"/>
      <c r="AQ353" s="161"/>
      <c r="AR353" s="161"/>
      <c r="AS353" s="161"/>
      <c r="AT353" s="161"/>
      <c r="AU353" s="161"/>
      <c r="AV353" s="161"/>
      <c r="AW353" s="161"/>
      <c r="AX353" s="161"/>
      <c r="AY353" s="161"/>
      <c r="AZ353" s="161"/>
      <c r="BA353" s="161"/>
      <c r="BB353" s="161"/>
      <c r="BC353" s="161"/>
      <c r="BD353" s="161"/>
      <c r="BE353" s="161"/>
      <c r="BF353" s="161"/>
      <c r="BG353" s="161"/>
      <c r="BH353" s="161"/>
      <c r="BI353" s="161"/>
      <c r="BJ353" s="161"/>
      <c r="BK353" s="161"/>
      <c r="BL353" s="161"/>
      <c r="BM353" s="161"/>
      <c r="BN353" s="161"/>
      <c r="BO353" s="161"/>
      <c r="BP353" s="161"/>
      <c r="BQ353" s="161"/>
      <c r="BR353" s="161"/>
      <c r="BS353" s="161"/>
      <c r="BT353" s="161"/>
      <c r="BU353" s="161"/>
      <c r="BV353" s="161"/>
    </row>
    <row r="354" spans="1:74">
      <c r="A354" s="161"/>
      <c r="B354" s="161"/>
      <c r="C354" s="161"/>
      <c r="D354" s="161"/>
      <c r="E354" s="161"/>
      <c r="F354" s="161"/>
      <c r="G354" s="161"/>
      <c r="H354" s="161"/>
      <c r="I354" s="161"/>
      <c r="J354" s="161"/>
      <c r="K354" s="161"/>
      <c r="L354" s="161"/>
      <c r="M354" s="161"/>
      <c r="N354" s="161"/>
      <c r="O354" s="161"/>
      <c r="P354" s="161"/>
      <c r="Q354" s="161"/>
      <c r="R354" s="161"/>
      <c r="S354" s="161"/>
      <c r="T354" s="161"/>
      <c r="U354" s="161"/>
      <c r="V354" s="161"/>
      <c r="W354" s="161"/>
      <c r="X354" s="161"/>
      <c r="Y354" s="161"/>
      <c r="Z354" s="161"/>
      <c r="AA354" s="161"/>
      <c r="AB354" s="161"/>
      <c r="AC354" s="161"/>
      <c r="AD354" s="161"/>
      <c r="AE354" s="161"/>
      <c r="AF354" s="161"/>
      <c r="AG354" s="161"/>
      <c r="AH354" s="161"/>
      <c r="AI354" s="161"/>
      <c r="AJ354" s="161"/>
      <c r="AK354" s="161"/>
      <c r="AL354" s="161"/>
      <c r="AM354" s="161"/>
      <c r="AN354" s="161"/>
      <c r="AO354" s="161"/>
      <c r="AP354" s="161"/>
      <c r="AQ354" s="161"/>
      <c r="AR354" s="161"/>
      <c r="AS354" s="161"/>
      <c r="AT354" s="161"/>
      <c r="AU354" s="161"/>
      <c r="AV354" s="161"/>
      <c r="AW354" s="161"/>
      <c r="AX354" s="161"/>
      <c r="AY354" s="161"/>
      <c r="AZ354" s="161"/>
      <c r="BA354" s="161"/>
      <c r="BB354" s="161"/>
      <c r="BC354" s="161"/>
      <c r="BD354" s="161"/>
      <c r="BE354" s="161"/>
      <c r="BF354" s="161"/>
      <c r="BG354" s="161"/>
      <c r="BH354" s="161"/>
      <c r="BI354" s="161"/>
      <c r="BJ354" s="161"/>
      <c r="BK354" s="161"/>
      <c r="BL354" s="161"/>
      <c r="BM354" s="161"/>
      <c r="BN354" s="161"/>
      <c r="BO354" s="161"/>
      <c r="BP354" s="161"/>
      <c r="BQ354" s="161"/>
      <c r="BR354" s="161"/>
      <c r="BS354" s="161"/>
      <c r="BT354" s="161"/>
      <c r="BU354" s="161"/>
      <c r="BV354" s="161"/>
    </row>
    <row r="355" spans="1:74">
      <c r="A355" s="161"/>
      <c r="B355" s="161"/>
      <c r="C355" s="161"/>
      <c r="D355" s="161"/>
      <c r="E355" s="498" t="s">
        <v>735</v>
      </c>
      <c r="F355" s="310" t="s">
        <v>551</v>
      </c>
      <c r="G355" s="310" t="s">
        <v>390</v>
      </c>
      <c r="H355" s="161"/>
      <c r="I355" s="161"/>
      <c r="J355" s="161"/>
      <c r="K355" s="161"/>
      <c r="L355" s="161"/>
      <c r="M355" s="161"/>
      <c r="N355" s="161"/>
      <c r="O355" s="161"/>
      <c r="P355" s="161"/>
      <c r="Q355" s="161"/>
      <c r="R355" s="161"/>
      <c r="S355" s="161"/>
      <c r="T355" s="161"/>
      <c r="U355" s="161"/>
      <c r="V355" s="161"/>
      <c r="W355" s="161"/>
      <c r="X355" s="161"/>
      <c r="Y355" s="161"/>
      <c r="Z355" s="161"/>
      <c r="AA355" s="161"/>
      <c r="AB355" s="161"/>
      <c r="AC355" s="161"/>
      <c r="AD355" s="161"/>
      <c r="AE355" s="161"/>
      <c r="AF355" s="161"/>
      <c r="AG355" s="161"/>
      <c r="AH355" s="161"/>
      <c r="AI355" s="161"/>
      <c r="AJ355" s="161"/>
      <c r="AK355" s="161"/>
      <c r="AL355" s="161"/>
      <c r="AM355" s="161"/>
      <c r="AN355" s="161"/>
      <c r="AO355" s="161"/>
      <c r="AP355" s="161"/>
      <c r="AQ355" s="161"/>
      <c r="AR355" s="161"/>
      <c r="AS355" s="161"/>
      <c r="AT355" s="161"/>
      <c r="AU355" s="161"/>
      <c r="AV355" s="161"/>
      <c r="AW355" s="161"/>
      <c r="AX355" s="161"/>
      <c r="AY355" s="161"/>
      <c r="AZ355" s="161"/>
      <c r="BA355" s="161"/>
      <c r="BB355" s="161"/>
      <c r="BC355" s="161"/>
      <c r="BD355" s="161"/>
      <c r="BE355" s="161"/>
      <c r="BF355" s="161"/>
      <c r="BG355" s="161"/>
      <c r="BH355" s="161"/>
      <c r="BI355" s="161"/>
      <c r="BJ355" s="161"/>
      <c r="BK355" s="161"/>
      <c r="BL355" s="161"/>
      <c r="BM355" s="161"/>
      <c r="BN355" s="161"/>
      <c r="BO355" s="161"/>
      <c r="BP355" s="161"/>
      <c r="BQ355" s="161"/>
      <c r="BR355" s="161"/>
      <c r="BS355" s="161"/>
      <c r="BT355" s="161"/>
      <c r="BU355" s="161"/>
      <c r="BV355" s="161"/>
    </row>
    <row r="356" spans="1:74">
      <c r="A356" s="161"/>
      <c r="B356" s="163" t="s">
        <v>746</v>
      </c>
      <c r="C356" s="310" t="s">
        <v>736</v>
      </c>
      <c r="D356" s="310" t="s">
        <v>737</v>
      </c>
      <c r="E356" s="495" t="s">
        <v>738</v>
      </c>
      <c r="F356" s="310" t="s">
        <v>738</v>
      </c>
      <c r="G356" s="310" t="s">
        <v>738</v>
      </c>
      <c r="H356" s="161"/>
      <c r="I356" s="161"/>
      <c r="J356" s="161"/>
      <c r="K356" s="161"/>
      <c r="L356" s="161"/>
      <c r="M356" s="161"/>
      <c r="N356" s="161"/>
      <c r="O356" s="161"/>
      <c r="P356" s="161"/>
      <c r="Q356" s="161"/>
      <c r="R356" s="161"/>
      <c r="S356" s="161"/>
      <c r="T356" s="161"/>
      <c r="U356" s="161"/>
      <c r="V356" s="161"/>
      <c r="W356" s="161"/>
      <c r="X356" s="161"/>
      <c r="Y356" s="161"/>
      <c r="Z356" s="161"/>
      <c r="AA356" s="161"/>
      <c r="AB356" s="161"/>
      <c r="AC356" s="161"/>
      <c r="AD356" s="161"/>
      <c r="AE356" s="161"/>
      <c r="AF356" s="161"/>
      <c r="AG356" s="161"/>
      <c r="AH356" s="161"/>
      <c r="AI356" s="161"/>
      <c r="AJ356" s="161"/>
      <c r="AK356" s="161"/>
      <c r="AL356" s="161"/>
      <c r="AM356" s="161"/>
      <c r="AN356" s="161"/>
      <c r="AO356" s="161"/>
      <c r="AP356" s="161"/>
      <c r="AQ356" s="161"/>
      <c r="AR356" s="161"/>
      <c r="AS356" s="161"/>
      <c r="AT356" s="161"/>
      <c r="AU356" s="161"/>
      <c r="AV356" s="161"/>
      <c r="AW356" s="161"/>
      <c r="AX356" s="161"/>
      <c r="AY356" s="161"/>
      <c r="AZ356" s="161"/>
      <c r="BA356" s="161"/>
      <c r="BB356" s="161"/>
      <c r="BC356" s="161"/>
      <c r="BD356" s="161"/>
      <c r="BE356" s="161"/>
      <c r="BF356" s="161"/>
      <c r="BG356" s="161"/>
      <c r="BH356" s="161"/>
      <c r="BI356" s="161"/>
      <c r="BJ356" s="161"/>
      <c r="BK356" s="161"/>
      <c r="BL356" s="161"/>
      <c r="BM356" s="161"/>
      <c r="BN356" s="161"/>
      <c r="BO356" s="161"/>
      <c r="BP356" s="161"/>
      <c r="BQ356" s="161"/>
      <c r="BR356" s="161"/>
      <c r="BS356" s="161"/>
      <c r="BT356" s="161"/>
      <c r="BU356" s="161"/>
      <c r="BV356" s="161"/>
    </row>
    <row r="357" spans="1:74">
      <c r="A357" s="161"/>
      <c r="B357" s="499" t="s">
        <v>724</v>
      </c>
      <c r="C357" s="503">
        <f>Quarts!BD163+Quarts!BE163+Quarts!BF163+Quarts!BG163</f>
        <v>591.15403467761621</v>
      </c>
      <c r="D357" s="503">
        <f>Quarts!BH163+Quarts!BI163+Quarts!BJ163+Quarts!BK163</f>
        <v>735.20439429092448</v>
      </c>
      <c r="E357" s="515" t="s">
        <v>747</v>
      </c>
      <c r="F357" s="503">
        <f>11465/17.08</f>
        <v>671.25292740046848</v>
      </c>
      <c r="G357" s="503">
        <f>Quarts!BL163+Quarts!BM163+Quarts!BN163+Quarts!BO163</f>
        <v>581.48853684409778</v>
      </c>
      <c r="H357" s="161"/>
      <c r="I357" s="161"/>
      <c r="J357" s="161"/>
      <c r="K357" s="161"/>
      <c r="L357" s="161"/>
      <c r="M357" s="161"/>
      <c r="N357" s="161"/>
      <c r="O357" s="161"/>
      <c r="P357" s="161"/>
      <c r="Q357" s="161"/>
      <c r="R357" s="161"/>
      <c r="S357" s="161"/>
      <c r="T357" s="161"/>
      <c r="U357" s="161"/>
      <c r="V357" s="161"/>
      <c r="W357" s="161"/>
      <c r="X357" s="161"/>
      <c r="Y357" s="161"/>
      <c r="Z357" s="161"/>
      <c r="AA357" s="161"/>
      <c r="AB357" s="161"/>
      <c r="AC357" s="161"/>
      <c r="AD357" s="161"/>
      <c r="AE357" s="161"/>
      <c r="AF357" s="161"/>
      <c r="AG357" s="161"/>
      <c r="AH357" s="161"/>
      <c r="AI357" s="161"/>
      <c r="AJ357" s="161"/>
      <c r="AK357" s="161"/>
      <c r="AL357" s="161"/>
      <c r="AM357" s="161"/>
      <c r="AN357" s="161"/>
      <c r="AO357" s="161"/>
      <c r="AP357" s="161"/>
      <c r="AQ357" s="161"/>
      <c r="AR357" s="161"/>
      <c r="AS357" s="161"/>
      <c r="AT357" s="161"/>
      <c r="AU357" s="161"/>
      <c r="AV357" s="161"/>
      <c r="AW357" s="161"/>
      <c r="AX357" s="161"/>
      <c r="AY357" s="161"/>
      <c r="AZ357" s="161"/>
      <c r="BA357" s="161"/>
      <c r="BB357" s="161"/>
      <c r="BC357" s="161"/>
      <c r="BD357" s="161"/>
      <c r="BE357" s="161"/>
      <c r="BF357" s="161"/>
      <c r="BG357" s="161"/>
      <c r="BH357" s="161"/>
      <c r="BI357" s="161"/>
      <c r="BJ357" s="161"/>
      <c r="BK357" s="161"/>
      <c r="BL357" s="161"/>
      <c r="BM357" s="161"/>
      <c r="BN357" s="161"/>
      <c r="BO357" s="161"/>
      <c r="BP357" s="161"/>
      <c r="BQ357" s="161"/>
      <c r="BR357" s="161"/>
      <c r="BS357" s="161"/>
      <c r="BT357" s="161"/>
      <c r="BU357" s="161"/>
      <c r="BV357" s="161"/>
    </row>
    <row r="358" spans="1:74">
      <c r="A358" s="161"/>
      <c r="B358" s="263" t="s">
        <v>740</v>
      </c>
      <c r="C358" s="494">
        <v>645.9</v>
      </c>
      <c r="D358" s="494">
        <v>633</v>
      </c>
      <c r="E358" s="496" t="s">
        <v>748</v>
      </c>
      <c r="F358" s="494">
        <f>11351/17.08</f>
        <v>664.57845433255272</v>
      </c>
      <c r="G358" s="494">
        <v>630</v>
      </c>
      <c r="H358" s="161"/>
      <c r="I358" s="161"/>
      <c r="J358" s="161"/>
      <c r="K358" s="161"/>
      <c r="L358" s="161"/>
      <c r="M358" s="161"/>
      <c r="N358" s="161"/>
      <c r="O358" s="161"/>
      <c r="P358" s="161"/>
      <c r="Q358" s="161"/>
      <c r="R358" s="161"/>
      <c r="S358" s="161"/>
      <c r="T358" s="161"/>
      <c r="U358" s="161"/>
      <c r="V358" s="161"/>
      <c r="W358" s="161"/>
      <c r="X358" s="161"/>
      <c r="Y358" s="161"/>
      <c r="Z358" s="161"/>
      <c r="AA358" s="161"/>
      <c r="AB358" s="161"/>
      <c r="AC358" s="161"/>
      <c r="AD358" s="161"/>
      <c r="AE358" s="161"/>
      <c r="AF358" s="161"/>
      <c r="AG358" s="161"/>
      <c r="AH358" s="161"/>
      <c r="AI358" s="161"/>
      <c r="AJ358" s="161"/>
      <c r="AK358" s="161"/>
      <c r="AL358" s="161"/>
      <c r="AM358" s="161"/>
      <c r="AN358" s="161"/>
      <c r="AO358" s="161"/>
      <c r="AP358" s="161"/>
      <c r="AQ358" s="161"/>
      <c r="AR358" s="161"/>
      <c r="AS358" s="161"/>
      <c r="AT358" s="161"/>
      <c r="AU358" s="161"/>
      <c r="AV358" s="161"/>
      <c r="AW358" s="161"/>
      <c r="AX358" s="161"/>
      <c r="AY358" s="161"/>
      <c r="AZ358" s="161"/>
      <c r="BA358" s="161"/>
      <c r="BB358" s="161"/>
      <c r="BC358" s="161"/>
      <c r="BD358" s="161"/>
      <c r="BE358" s="161"/>
      <c r="BF358" s="161"/>
      <c r="BG358" s="161"/>
      <c r="BH358" s="161"/>
      <c r="BI358" s="161"/>
      <c r="BJ358" s="161"/>
      <c r="BK358" s="161"/>
      <c r="BL358" s="161"/>
      <c r="BM358" s="161"/>
      <c r="BN358" s="161"/>
      <c r="BO358" s="161"/>
      <c r="BP358" s="161"/>
      <c r="BQ358" s="161"/>
      <c r="BR358" s="161"/>
      <c r="BS358" s="161"/>
      <c r="BT358" s="161"/>
      <c r="BU358" s="161"/>
      <c r="BV358" s="161"/>
    </row>
    <row r="359" spans="1:74">
      <c r="A359" s="161"/>
      <c r="B359" s="502" t="s">
        <v>678</v>
      </c>
      <c r="C359" s="503">
        <v>1117</v>
      </c>
      <c r="D359" s="503">
        <v>880.9</v>
      </c>
      <c r="E359" s="504" t="s">
        <v>749</v>
      </c>
      <c r="F359" s="516" t="s">
        <v>743</v>
      </c>
      <c r="G359" s="503">
        <f>13000/17.08</f>
        <v>761.12412177985959</v>
      </c>
      <c r="H359" s="161"/>
      <c r="I359" s="161"/>
      <c r="J359" s="161"/>
      <c r="K359" s="161"/>
      <c r="L359" s="161"/>
      <c r="M359" s="161"/>
      <c r="N359" s="161"/>
      <c r="O359" s="161"/>
      <c r="P359" s="161"/>
      <c r="Q359" s="161"/>
      <c r="R359" s="161"/>
      <c r="S359" s="161"/>
      <c r="T359" s="161"/>
      <c r="U359" s="161"/>
      <c r="V359" s="161"/>
      <c r="W359" s="161"/>
      <c r="X359" s="161"/>
      <c r="Y359" s="161"/>
      <c r="Z359" s="161"/>
      <c r="AA359" s="161"/>
      <c r="AB359" s="161"/>
      <c r="AC359" s="161"/>
      <c r="AD359" s="161"/>
      <c r="AE359" s="161"/>
      <c r="AF359" s="161"/>
      <c r="AG359" s="161"/>
      <c r="AH359" s="161"/>
      <c r="AI359" s="161"/>
      <c r="AJ359" s="161"/>
      <c r="AK359" s="161"/>
      <c r="AL359" s="161"/>
      <c r="AM359" s="161"/>
      <c r="AN359" s="161"/>
      <c r="AO359" s="161"/>
      <c r="AP359" s="161"/>
      <c r="AQ359" s="161"/>
      <c r="AR359" s="161"/>
      <c r="AS359" s="161"/>
      <c r="AT359" s="161"/>
      <c r="AU359" s="161"/>
      <c r="AV359" s="161"/>
      <c r="AW359" s="161"/>
      <c r="AX359" s="161"/>
      <c r="AY359" s="161"/>
      <c r="AZ359" s="161"/>
      <c r="BA359" s="161"/>
      <c r="BB359" s="161"/>
      <c r="BC359" s="161"/>
      <c r="BD359" s="161"/>
      <c r="BE359" s="161"/>
      <c r="BF359" s="161"/>
      <c r="BG359" s="161"/>
      <c r="BH359" s="161"/>
      <c r="BI359" s="161"/>
      <c r="BJ359" s="161"/>
      <c r="BK359" s="161"/>
      <c r="BL359" s="161"/>
      <c r="BM359" s="161"/>
      <c r="BN359" s="161"/>
      <c r="BO359" s="161"/>
      <c r="BP359" s="161"/>
      <c r="BQ359" s="161"/>
      <c r="BR359" s="161"/>
      <c r="BS359" s="161"/>
      <c r="BT359" s="161"/>
      <c r="BU359" s="161"/>
      <c r="BV359" s="161"/>
    </row>
    <row r="360" spans="1:74">
      <c r="A360" s="161"/>
      <c r="B360" s="161" t="s">
        <v>744</v>
      </c>
      <c r="C360" s="494">
        <v>7946.1959224266539</v>
      </c>
      <c r="D360" s="494">
        <v>8812.7850056369789</v>
      </c>
      <c r="E360" s="497" t="s">
        <v>750</v>
      </c>
      <c r="F360" s="494">
        <f>126738/17.08</f>
        <v>7420.2576112412189</v>
      </c>
      <c r="G360" s="494">
        <v>7159.4588888482867</v>
      </c>
      <c r="H360" s="161"/>
      <c r="I360" s="161"/>
      <c r="J360" s="161"/>
      <c r="K360" s="161"/>
      <c r="L360" s="161"/>
      <c r="M360" s="161"/>
      <c r="N360" s="161"/>
      <c r="O360" s="161"/>
      <c r="P360" s="161"/>
      <c r="Q360" s="161"/>
      <c r="R360" s="161"/>
      <c r="S360" s="161"/>
      <c r="T360" s="161"/>
      <c r="U360" s="161"/>
      <c r="V360" s="161"/>
      <c r="W360" s="161"/>
      <c r="X360" s="161"/>
      <c r="Y360" s="161"/>
      <c r="Z360" s="161"/>
      <c r="AA360" s="161"/>
      <c r="AB360" s="161"/>
      <c r="AC360" s="161"/>
      <c r="AD360" s="161"/>
      <c r="AE360" s="161"/>
      <c r="AF360" s="161"/>
      <c r="AG360" s="161"/>
      <c r="AH360" s="161"/>
      <c r="AI360" s="161"/>
      <c r="AJ360" s="161"/>
      <c r="AK360" s="161"/>
      <c r="AL360" s="161"/>
      <c r="AM360" s="161"/>
      <c r="AN360" s="161"/>
      <c r="AO360" s="161"/>
      <c r="AP360" s="161"/>
      <c r="AQ360" s="161"/>
      <c r="AR360" s="161"/>
      <c r="AS360" s="161"/>
      <c r="AT360" s="161"/>
      <c r="AU360" s="161"/>
      <c r="AV360" s="161"/>
      <c r="AW360" s="161"/>
      <c r="AX360" s="161"/>
      <c r="AY360" s="161"/>
      <c r="AZ360" s="161"/>
      <c r="BA360" s="161"/>
      <c r="BB360" s="161"/>
      <c r="BC360" s="161"/>
      <c r="BD360" s="161"/>
      <c r="BE360" s="161"/>
      <c r="BF360" s="161"/>
      <c r="BG360" s="161"/>
      <c r="BH360" s="161"/>
      <c r="BI360" s="161"/>
      <c r="BJ360" s="161"/>
      <c r="BK360" s="161"/>
      <c r="BL360" s="161"/>
      <c r="BM360" s="161"/>
      <c r="BN360" s="161"/>
      <c r="BO360" s="161"/>
      <c r="BP360" s="161"/>
      <c r="BQ360" s="161"/>
      <c r="BR360" s="161"/>
      <c r="BS360" s="161"/>
      <c r="BT360" s="161"/>
      <c r="BU360" s="161"/>
      <c r="BV360" s="161"/>
    </row>
    <row r="361" spans="1:74">
      <c r="A361" s="161"/>
      <c r="B361" s="161"/>
      <c r="C361" s="161"/>
      <c r="D361" s="161"/>
      <c r="E361" s="161"/>
      <c r="F361" s="161"/>
      <c r="G361" s="161"/>
      <c r="H361" s="161"/>
      <c r="I361" s="161"/>
      <c r="J361" s="161"/>
      <c r="K361" s="161"/>
      <c r="L361" s="161"/>
      <c r="M361" s="161"/>
      <c r="N361" s="161"/>
      <c r="O361" s="161"/>
      <c r="P361" s="161"/>
      <c r="Q361" s="161"/>
      <c r="R361" s="161"/>
      <c r="S361" s="161"/>
      <c r="T361" s="161"/>
      <c r="U361" s="161"/>
      <c r="V361" s="161"/>
      <c r="W361" s="161"/>
      <c r="X361" s="161"/>
      <c r="Y361" s="161"/>
      <c r="Z361" s="161"/>
      <c r="AA361" s="161"/>
      <c r="AB361" s="161"/>
      <c r="AC361" s="161"/>
      <c r="AD361" s="161"/>
      <c r="AE361" s="161"/>
      <c r="AF361" s="161"/>
      <c r="AG361" s="161"/>
      <c r="AH361" s="161"/>
      <c r="AI361" s="161"/>
      <c r="AJ361" s="161"/>
      <c r="AK361" s="161"/>
      <c r="AL361" s="161"/>
      <c r="AM361" s="161"/>
      <c r="AN361" s="161"/>
      <c r="AO361" s="161"/>
      <c r="AP361" s="161"/>
      <c r="AQ361" s="161"/>
      <c r="AR361" s="161"/>
      <c r="AS361" s="161"/>
      <c r="AT361" s="161"/>
      <c r="AU361" s="161"/>
      <c r="AV361" s="161"/>
      <c r="AW361" s="161"/>
      <c r="AX361" s="161"/>
      <c r="AY361" s="161"/>
      <c r="AZ361" s="161"/>
      <c r="BA361" s="161"/>
      <c r="BB361" s="161"/>
      <c r="BC361" s="161"/>
      <c r="BD361" s="161"/>
      <c r="BE361" s="161"/>
      <c r="BF361" s="161"/>
      <c r="BG361" s="161"/>
      <c r="BH361" s="161"/>
      <c r="BI361" s="161"/>
      <c r="BJ361" s="161"/>
      <c r="BK361" s="161"/>
      <c r="BL361" s="161"/>
      <c r="BM361" s="161"/>
      <c r="BN361" s="161"/>
      <c r="BO361" s="161"/>
      <c r="BP361" s="161"/>
      <c r="BQ361" s="161"/>
      <c r="BR361" s="161"/>
      <c r="BS361" s="161"/>
      <c r="BT361" s="161"/>
      <c r="BU361" s="161"/>
      <c r="BV361" s="161"/>
    </row>
    <row r="362" spans="1:74">
      <c r="A362" s="161"/>
      <c r="B362" s="505"/>
      <c r="C362" s="505"/>
      <c r="D362" s="505"/>
      <c r="E362" s="506" t="s">
        <v>735</v>
      </c>
      <c r="F362" s="507" t="s">
        <v>551</v>
      </c>
      <c r="G362" s="507" t="s">
        <v>390</v>
      </c>
      <c r="H362" s="161"/>
      <c r="I362" s="161"/>
      <c r="J362" s="161"/>
      <c r="K362" s="161"/>
      <c r="L362" s="161"/>
      <c r="M362" s="161"/>
      <c r="N362" s="161"/>
      <c r="O362" s="161"/>
      <c r="P362" s="161"/>
      <c r="Q362" s="161"/>
      <c r="R362" s="161"/>
      <c r="S362" s="161"/>
      <c r="T362" s="161"/>
      <c r="U362" s="161"/>
      <c r="V362" s="161"/>
      <c r="W362" s="161"/>
      <c r="X362" s="161"/>
      <c r="Y362" s="161"/>
      <c r="Z362" s="161"/>
      <c r="AA362" s="161"/>
      <c r="AB362" s="161"/>
      <c r="AC362" s="161"/>
      <c r="AD362" s="161"/>
      <c r="AE362" s="161"/>
      <c r="AF362" s="161"/>
      <c r="AG362" s="161"/>
      <c r="AH362" s="161"/>
      <c r="AI362" s="161"/>
      <c r="AJ362" s="161"/>
      <c r="AK362" s="161"/>
      <c r="AL362" s="161"/>
      <c r="AM362" s="161"/>
      <c r="AN362" s="161"/>
      <c r="AO362" s="161"/>
      <c r="AP362" s="161"/>
      <c r="AQ362" s="161"/>
      <c r="AR362" s="161"/>
      <c r="AS362" s="161"/>
      <c r="AT362" s="161"/>
      <c r="AU362" s="161"/>
      <c r="AV362" s="161"/>
      <c r="AW362" s="161"/>
      <c r="AX362" s="161"/>
      <c r="AY362" s="161"/>
      <c r="AZ362" s="161"/>
      <c r="BA362" s="161"/>
      <c r="BB362" s="161"/>
      <c r="BC362" s="161"/>
      <c r="BD362" s="161"/>
      <c r="BE362" s="161"/>
      <c r="BF362" s="161"/>
      <c r="BG362" s="161"/>
      <c r="BH362" s="161"/>
      <c r="BI362" s="161"/>
      <c r="BJ362" s="161"/>
      <c r="BK362" s="161"/>
      <c r="BL362" s="161"/>
      <c r="BM362" s="161"/>
      <c r="BN362" s="161"/>
      <c r="BO362" s="161"/>
      <c r="BP362" s="161"/>
      <c r="BQ362" s="161"/>
      <c r="BR362" s="161"/>
      <c r="BS362" s="161"/>
      <c r="BT362" s="161"/>
      <c r="BU362" s="161"/>
      <c r="BV362" s="161"/>
    </row>
    <row r="363" spans="1:74">
      <c r="A363" s="161"/>
      <c r="B363" s="508" t="s">
        <v>746</v>
      </c>
      <c r="C363" s="507" t="s">
        <v>736</v>
      </c>
      <c r="D363" s="507" t="s">
        <v>737</v>
      </c>
      <c r="E363" s="509" t="s">
        <v>738</v>
      </c>
      <c r="F363" s="507" t="s">
        <v>738</v>
      </c>
      <c r="G363" s="507" t="s">
        <v>738</v>
      </c>
      <c r="H363" s="161"/>
      <c r="I363" s="161"/>
      <c r="J363" s="161"/>
      <c r="K363" s="161"/>
      <c r="L363" s="161"/>
      <c r="M363" s="161"/>
      <c r="N363" s="161"/>
      <c r="O363" s="161"/>
      <c r="P363" s="161"/>
      <c r="Q363" s="161"/>
      <c r="R363" s="161"/>
      <c r="S363" s="161"/>
      <c r="T363" s="161"/>
      <c r="U363" s="161"/>
      <c r="V363" s="161"/>
      <c r="W363" s="161"/>
      <c r="X363" s="161"/>
      <c r="Y363" s="161"/>
      <c r="Z363" s="161"/>
      <c r="AA363" s="161"/>
      <c r="AB363" s="161"/>
      <c r="AC363" s="161"/>
      <c r="AD363" s="161"/>
      <c r="AE363" s="161"/>
      <c r="AF363" s="161"/>
      <c r="AG363" s="161"/>
      <c r="AH363" s="161"/>
      <c r="AI363" s="161"/>
      <c r="AJ363" s="161"/>
      <c r="AK363" s="161"/>
      <c r="AL363" s="161"/>
      <c r="AM363" s="161"/>
      <c r="AN363" s="161"/>
      <c r="AO363" s="161"/>
      <c r="AP363" s="161"/>
      <c r="AQ363" s="161"/>
      <c r="AR363" s="161"/>
      <c r="AS363" s="161"/>
      <c r="AT363" s="161"/>
      <c r="AU363" s="161"/>
      <c r="AV363" s="161"/>
      <c r="AW363" s="161"/>
      <c r="AX363" s="161"/>
      <c r="AY363" s="161"/>
      <c r="AZ363" s="161"/>
      <c r="BA363" s="161"/>
      <c r="BB363" s="161"/>
      <c r="BC363" s="161"/>
      <c r="BD363" s="161"/>
      <c r="BE363" s="161"/>
      <c r="BF363" s="161"/>
      <c r="BG363" s="161"/>
      <c r="BH363" s="161"/>
      <c r="BI363" s="161"/>
      <c r="BJ363" s="161"/>
      <c r="BK363" s="161"/>
      <c r="BL363" s="161"/>
      <c r="BM363" s="161"/>
      <c r="BN363" s="161"/>
      <c r="BO363" s="161"/>
      <c r="BP363" s="161"/>
      <c r="BQ363" s="161"/>
      <c r="BR363" s="161"/>
      <c r="BS363" s="161"/>
      <c r="BT363" s="161"/>
      <c r="BU363" s="161"/>
      <c r="BV363" s="161"/>
    </row>
    <row r="364" spans="1:74">
      <c r="A364" s="161"/>
      <c r="B364" s="510" t="s">
        <v>724</v>
      </c>
      <c r="C364" s="511">
        <v>591.15403467761621</v>
      </c>
      <c r="D364" s="511">
        <v>735.20439429092448</v>
      </c>
      <c r="E364" s="512">
        <v>650</v>
      </c>
      <c r="F364" s="511">
        <v>671.25292740046848</v>
      </c>
      <c r="G364" s="511">
        <v>650.49537117803288</v>
      </c>
      <c r="H364" s="161"/>
      <c r="I364" s="161"/>
      <c r="J364" s="161"/>
      <c r="K364" s="161"/>
      <c r="L364" s="161"/>
      <c r="M364" s="161"/>
      <c r="N364" s="161"/>
      <c r="O364" s="161"/>
      <c r="P364" s="161"/>
      <c r="Q364" s="161"/>
      <c r="R364" s="161"/>
      <c r="S364" s="161"/>
      <c r="T364" s="161"/>
      <c r="U364" s="161"/>
      <c r="V364" s="161"/>
      <c r="W364" s="161"/>
      <c r="X364" s="161"/>
      <c r="Y364" s="161"/>
      <c r="Z364" s="161"/>
      <c r="AA364" s="161"/>
      <c r="AB364" s="161"/>
      <c r="AC364" s="161"/>
      <c r="AD364" s="161"/>
      <c r="AE364" s="161"/>
      <c r="AF364" s="161"/>
      <c r="AG364" s="161"/>
      <c r="AH364" s="161"/>
      <c r="AI364" s="161"/>
      <c r="AJ364" s="161"/>
      <c r="AK364" s="161"/>
      <c r="AL364" s="161"/>
      <c r="AM364" s="161"/>
      <c r="AN364" s="161"/>
      <c r="AO364" s="161"/>
      <c r="AP364" s="161"/>
      <c r="AQ364" s="161"/>
      <c r="AR364" s="161"/>
      <c r="AS364" s="161"/>
      <c r="AT364" s="161"/>
      <c r="AU364" s="161"/>
      <c r="AV364" s="161"/>
      <c r="AW364" s="161"/>
      <c r="AX364" s="161"/>
      <c r="AY364" s="161"/>
      <c r="AZ364" s="161"/>
      <c r="BA364" s="161"/>
      <c r="BB364" s="161"/>
      <c r="BC364" s="161"/>
      <c r="BD364" s="161"/>
      <c r="BE364" s="161"/>
      <c r="BF364" s="161"/>
      <c r="BG364" s="161"/>
      <c r="BH364" s="161"/>
      <c r="BI364" s="161"/>
      <c r="BJ364" s="161"/>
      <c r="BK364" s="161"/>
      <c r="BL364" s="161"/>
      <c r="BM364" s="161"/>
      <c r="BN364" s="161"/>
      <c r="BO364" s="161"/>
      <c r="BP364" s="161"/>
      <c r="BQ364" s="161"/>
      <c r="BR364" s="161"/>
      <c r="BS364" s="161"/>
      <c r="BT364" s="161"/>
      <c r="BU364" s="161"/>
      <c r="BV364" s="161"/>
    </row>
    <row r="365" spans="1:74">
      <c r="A365" s="161"/>
      <c r="B365" s="510" t="s">
        <v>740</v>
      </c>
      <c r="C365" s="511">
        <v>645.9</v>
      </c>
      <c r="D365" s="511">
        <v>633</v>
      </c>
      <c r="E365" s="511">
        <v>630</v>
      </c>
      <c r="F365" s="511">
        <v>664.57845433255272</v>
      </c>
      <c r="G365" s="511">
        <v>630</v>
      </c>
      <c r="H365" s="161"/>
      <c r="I365" s="161"/>
      <c r="J365" s="161"/>
      <c r="K365" s="161"/>
      <c r="L365" s="161"/>
      <c r="M365" s="161"/>
      <c r="N365" s="161"/>
      <c r="O365" s="161"/>
      <c r="P365" s="161"/>
      <c r="Q365" s="161"/>
      <c r="R365" s="161"/>
      <c r="S365" s="161"/>
      <c r="T365" s="161"/>
      <c r="U365" s="161"/>
      <c r="V365" s="161"/>
      <c r="W365" s="161"/>
      <c r="X365" s="161"/>
      <c r="Y365" s="161"/>
      <c r="Z365" s="161"/>
      <c r="AA365" s="161"/>
      <c r="AB365" s="161"/>
      <c r="AC365" s="161"/>
      <c r="AD365" s="161"/>
      <c r="AE365" s="161"/>
      <c r="AF365" s="161"/>
      <c r="AG365" s="161"/>
      <c r="AH365" s="161"/>
      <c r="AI365" s="161"/>
      <c r="AJ365" s="161"/>
      <c r="AK365" s="161"/>
      <c r="AL365" s="161"/>
      <c r="AM365" s="161"/>
      <c r="AN365" s="161"/>
      <c r="AO365" s="161"/>
      <c r="AP365" s="161"/>
      <c r="AQ365" s="161"/>
      <c r="AR365" s="161"/>
      <c r="AS365" s="161"/>
      <c r="AT365" s="161"/>
      <c r="AU365" s="161"/>
      <c r="AV365" s="161"/>
      <c r="AW365" s="161"/>
      <c r="AX365" s="161"/>
      <c r="AY365" s="161"/>
      <c r="AZ365" s="161"/>
      <c r="BA365" s="161"/>
      <c r="BB365" s="161"/>
      <c r="BC365" s="161"/>
      <c r="BD365" s="161"/>
      <c r="BE365" s="161"/>
      <c r="BF365" s="161"/>
      <c r="BG365" s="161"/>
      <c r="BH365" s="161"/>
      <c r="BI365" s="161"/>
      <c r="BJ365" s="161"/>
      <c r="BK365" s="161"/>
      <c r="BL365" s="161"/>
      <c r="BM365" s="161"/>
      <c r="BN365" s="161"/>
      <c r="BO365" s="161"/>
      <c r="BP365" s="161"/>
      <c r="BQ365" s="161"/>
      <c r="BR365" s="161"/>
      <c r="BS365" s="161"/>
      <c r="BT365" s="161"/>
      <c r="BU365" s="161"/>
      <c r="BV365" s="161"/>
    </row>
    <row r="366" spans="1:74">
      <c r="A366" s="161"/>
      <c r="B366" s="505" t="s">
        <v>678</v>
      </c>
      <c r="C366" s="511">
        <v>1117</v>
      </c>
      <c r="D366" s="511">
        <v>880.9</v>
      </c>
      <c r="E366" s="513">
        <f>(790+730)/2</f>
        <v>760</v>
      </c>
      <c r="F366" s="514" t="s">
        <v>743</v>
      </c>
      <c r="G366" s="511">
        <v>761.12412177985959</v>
      </c>
      <c r="H366" s="161"/>
      <c r="I366" s="161"/>
      <c r="J366" s="161"/>
      <c r="K366" s="161"/>
      <c r="L366" s="161"/>
      <c r="M366" s="161"/>
      <c r="N366" s="161"/>
      <c r="O366" s="161"/>
      <c r="P366" s="161"/>
      <c r="Q366" s="161"/>
      <c r="R366" s="161"/>
      <c r="S366" s="161"/>
      <c r="T366" s="161"/>
      <c r="U366" s="161"/>
      <c r="V366" s="161"/>
      <c r="W366" s="161"/>
      <c r="X366" s="161"/>
      <c r="Y366" s="161"/>
      <c r="Z366" s="161"/>
      <c r="AA366" s="161"/>
      <c r="AB366" s="161"/>
      <c r="AC366" s="161"/>
      <c r="AD366" s="161"/>
      <c r="AE366" s="161"/>
      <c r="AF366" s="161"/>
      <c r="AG366" s="161"/>
      <c r="AH366" s="161"/>
      <c r="AI366" s="161"/>
      <c r="AJ366" s="161"/>
      <c r="AK366" s="161"/>
      <c r="AL366" s="161"/>
      <c r="AM366" s="161"/>
      <c r="AN366" s="161"/>
      <c r="AO366" s="161"/>
      <c r="AP366" s="161"/>
      <c r="AQ366" s="161"/>
      <c r="AR366" s="161"/>
      <c r="AS366" s="161"/>
      <c r="AT366" s="161"/>
      <c r="AU366" s="161"/>
      <c r="AV366" s="161"/>
      <c r="AW366" s="161"/>
      <c r="AX366" s="161"/>
      <c r="AY366" s="161"/>
      <c r="AZ366" s="161"/>
      <c r="BA366" s="161"/>
      <c r="BB366" s="161"/>
      <c r="BC366" s="161"/>
      <c r="BD366" s="161"/>
      <c r="BE366" s="161"/>
      <c r="BF366" s="161"/>
      <c r="BG366" s="161"/>
      <c r="BH366" s="161"/>
      <c r="BI366" s="161"/>
      <c r="BJ366" s="161"/>
      <c r="BK366" s="161"/>
      <c r="BL366" s="161"/>
      <c r="BM366" s="161"/>
      <c r="BN366" s="161"/>
      <c r="BO366" s="161"/>
      <c r="BP366" s="161"/>
      <c r="BQ366" s="161"/>
      <c r="BR366" s="161"/>
      <c r="BS366" s="161"/>
      <c r="BT366" s="161"/>
      <c r="BU366" s="161"/>
      <c r="BV366" s="161"/>
    </row>
    <row r="367" spans="1:74">
      <c r="A367" s="161"/>
      <c r="B367" s="505" t="s">
        <v>744</v>
      </c>
      <c r="C367" s="511">
        <v>7946.1959224266539</v>
      </c>
      <c r="D367" s="511">
        <v>8812.7850056369789</v>
      </c>
      <c r="E367" s="511">
        <v>7000</v>
      </c>
      <c r="F367" s="511">
        <v>7420.2576112412189</v>
      </c>
      <c r="G367" s="511">
        <v>7159.4588888482867</v>
      </c>
      <c r="H367" s="161"/>
      <c r="I367" s="161"/>
      <c r="J367" s="161"/>
      <c r="K367" s="161"/>
      <c r="L367" s="161"/>
      <c r="M367" s="161"/>
      <c r="N367" s="161"/>
      <c r="O367" s="161"/>
      <c r="P367" s="161"/>
      <c r="Q367" s="161"/>
      <c r="R367" s="161"/>
      <c r="S367" s="161"/>
      <c r="T367" s="161"/>
      <c r="U367" s="161"/>
      <c r="V367" s="161"/>
      <c r="W367" s="161"/>
      <c r="X367" s="161"/>
      <c r="Y367" s="161"/>
      <c r="Z367" s="161"/>
      <c r="AA367" s="161"/>
      <c r="AB367" s="161"/>
      <c r="AC367" s="161"/>
      <c r="AD367" s="161"/>
      <c r="AE367" s="161"/>
      <c r="AF367" s="161"/>
      <c r="AG367" s="161"/>
      <c r="AH367" s="161"/>
      <c r="AI367" s="161"/>
      <c r="AJ367" s="161"/>
      <c r="AK367" s="161"/>
      <c r="AL367" s="161"/>
      <c r="AM367" s="161"/>
      <c r="AN367" s="161"/>
      <c r="AO367" s="161"/>
      <c r="AP367" s="161"/>
      <c r="AQ367" s="161"/>
      <c r="AR367" s="161"/>
      <c r="AS367" s="161"/>
      <c r="AT367" s="161"/>
      <c r="AU367" s="161"/>
      <c r="AV367" s="161"/>
      <c r="AW367" s="161"/>
      <c r="AX367" s="161"/>
      <c r="AY367" s="161"/>
      <c r="AZ367" s="161"/>
      <c r="BA367" s="161"/>
      <c r="BB367" s="161"/>
      <c r="BC367" s="161"/>
      <c r="BD367" s="161"/>
      <c r="BE367" s="161"/>
      <c r="BF367" s="161"/>
      <c r="BG367" s="161"/>
      <c r="BH367" s="161"/>
      <c r="BI367" s="161"/>
      <c r="BJ367" s="161"/>
      <c r="BK367" s="161"/>
      <c r="BL367" s="161"/>
      <c r="BM367" s="161"/>
      <c r="BN367" s="161"/>
      <c r="BO367" s="161"/>
      <c r="BP367" s="161"/>
      <c r="BQ367" s="161"/>
      <c r="BR367" s="161"/>
      <c r="BS367" s="161"/>
      <c r="BT367" s="161"/>
      <c r="BU367" s="161"/>
      <c r="BV367" s="161"/>
    </row>
    <row r="368" spans="1:74">
      <c r="A368" s="161"/>
      <c r="B368" s="161"/>
      <c r="C368" s="161"/>
      <c r="D368" s="161"/>
      <c r="E368" s="161"/>
      <c r="F368" s="161"/>
      <c r="G368" s="161"/>
      <c r="H368" s="161"/>
      <c r="I368" s="161"/>
      <c r="J368" s="161"/>
      <c r="K368" s="161"/>
      <c r="L368" s="161"/>
      <c r="M368" s="161"/>
      <c r="N368" s="161"/>
      <c r="O368" s="161"/>
      <c r="P368" s="161"/>
      <c r="Q368" s="161"/>
      <c r="R368" s="161"/>
      <c r="S368" s="161"/>
      <c r="T368" s="161"/>
      <c r="U368" s="161"/>
      <c r="V368" s="161"/>
      <c r="W368" s="161"/>
      <c r="X368" s="161"/>
      <c r="Y368" s="161"/>
      <c r="Z368" s="161"/>
      <c r="AA368" s="161"/>
      <c r="AB368" s="161"/>
      <c r="AC368" s="161"/>
      <c r="AD368" s="161"/>
      <c r="AE368" s="161"/>
      <c r="AF368" s="161"/>
      <c r="AG368" s="161"/>
      <c r="AH368" s="161"/>
      <c r="AI368" s="161"/>
      <c r="AJ368" s="161"/>
      <c r="AK368" s="161"/>
      <c r="AL368" s="161"/>
      <c r="AM368" s="161"/>
      <c r="AN368" s="161"/>
      <c r="AO368" s="161"/>
      <c r="AP368" s="161"/>
      <c r="AQ368" s="161"/>
      <c r="AR368" s="161"/>
      <c r="AS368" s="161"/>
      <c r="AT368" s="161"/>
      <c r="AU368" s="161"/>
      <c r="AV368" s="161"/>
      <c r="AW368" s="161"/>
      <c r="AX368" s="161"/>
      <c r="AY368" s="161"/>
      <c r="AZ368" s="161"/>
      <c r="BA368" s="161"/>
      <c r="BB368" s="161"/>
      <c r="BC368" s="161"/>
      <c r="BD368" s="161"/>
      <c r="BE368" s="161"/>
      <c r="BF368" s="161"/>
      <c r="BG368" s="161"/>
      <c r="BH368" s="161"/>
      <c r="BI368" s="161"/>
      <c r="BJ368" s="161"/>
      <c r="BK368" s="161"/>
      <c r="BL368" s="161"/>
      <c r="BM368" s="161"/>
      <c r="BN368" s="161"/>
      <c r="BO368" s="161"/>
      <c r="BP368" s="161"/>
      <c r="BQ368" s="161"/>
      <c r="BR368" s="161"/>
      <c r="BS368" s="161"/>
      <c r="BT368" s="161"/>
      <c r="BU368" s="161"/>
      <c r="BV368" s="161"/>
    </row>
    <row r="369" spans="1:74">
      <c r="A369" s="161"/>
      <c r="B369" s="161"/>
      <c r="C369" s="161"/>
      <c r="D369" s="161"/>
      <c r="E369" s="161"/>
      <c r="F369" s="161"/>
      <c r="G369" s="507" t="s">
        <v>390</v>
      </c>
      <c r="H369" s="161"/>
      <c r="I369" s="161"/>
      <c r="J369" s="161"/>
      <c r="K369" s="161"/>
      <c r="L369" s="161"/>
      <c r="M369" s="161"/>
      <c r="N369" s="161"/>
      <c r="O369" s="161"/>
      <c r="P369" s="161"/>
      <c r="Q369" s="161"/>
      <c r="R369" s="161"/>
      <c r="S369" s="161"/>
      <c r="T369" s="161"/>
      <c r="U369" s="161"/>
      <c r="V369" s="161"/>
      <c r="W369" s="161"/>
      <c r="X369" s="161"/>
      <c r="Y369" s="161"/>
      <c r="Z369" s="161"/>
      <c r="AA369" s="161"/>
      <c r="AB369" s="161"/>
      <c r="AC369" s="161"/>
      <c r="AD369" s="161"/>
      <c r="AE369" s="161"/>
      <c r="AF369" s="161"/>
      <c r="AG369" s="161"/>
      <c r="AH369" s="161"/>
      <c r="AI369" s="161"/>
      <c r="AJ369" s="161"/>
      <c r="AK369" s="161"/>
      <c r="AL369" s="161"/>
      <c r="AM369" s="161"/>
      <c r="AN369" s="161"/>
      <c r="AO369" s="161"/>
      <c r="AP369" s="161"/>
      <c r="AQ369" s="161"/>
      <c r="AR369" s="161"/>
      <c r="AS369" s="161"/>
      <c r="AT369" s="161"/>
      <c r="AU369" s="161"/>
      <c r="AV369" s="161"/>
      <c r="AW369" s="161"/>
      <c r="AX369" s="161"/>
      <c r="AY369" s="161"/>
      <c r="AZ369" s="161"/>
      <c r="BA369" s="161"/>
      <c r="BB369" s="161"/>
      <c r="BC369" s="161"/>
      <c r="BD369" s="161"/>
      <c r="BE369" s="161"/>
      <c r="BF369" s="161"/>
      <c r="BG369" s="161"/>
      <c r="BH369" s="161"/>
      <c r="BI369" s="161"/>
      <c r="BJ369" s="161"/>
      <c r="BK369" s="161"/>
      <c r="BL369" s="161"/>
      <c r="BM369" s="161"/>
      <c r="BN369" s="161"/>
      <c r="BO369" s="161"/>
      <c r="BP369" s="161"/>
      <c r="BQ369" s="161"/>
      <c r="BR369" s="161"/>
      <c r="BS369" s="161"/>
      <c r="BT369" s="161"/>
      <c r="BU369" s="161"/>
      <c r="BV369" s="161"/>
    </row>
    <row r="370" spans="1:74">
      <c r="A370" s="161"/>
      <c r="B370" s="508" t="s">
        <v>751</v>
      </c>
      <c r="C370" s="161"/>
      <c r="D370" s="161"/>
      <c r="E370" s="161"/>
      <c r="F370" s="161"/>
      <c r="G370" s="507" t="s">
        <v>738</v>
      </c>
      <c r="H370" s="161"/>
      <c r="I370" s="161"/>
      <c r="J370" s="161"/>
      <c r="K370" s="161"/>
      <c r="L370" s="161"/>
      <c r="M370" s="161"/>
      <c r="N370" s="161"/>
      <c r="O370" s="161"/>
      <c r="P370" s="161"/>
      <c r="Q370" s="161"/>
      <c r="R370" s="161"/>
      <c r="S370" s="161"/>
      <c r="T370" s="161"/>
      <c r="U370" s="161"/>
      <c r="V370" s="161"/>
      <c r="W370" s="161"/>
      <c r="X370" s="161"/>
      <c r="Y370" s="161"/>
      <c r="Z370" s="161"/>
      <c r="AA370" s="161"/>
      <c r="AB370" s="161"/>
      <c r="AC370" s="161"/>
      <c r="AD370" s="161"/>
      <c r="AE370" s="161"/>
      <c r="AF370" s="161"/>
      <c r="AG370" s="161"/>
      <c r="AH370" s="161"/>
      <c r="AI370" s="161"/>
      <c r="AJ370" s="161"/>
      <c r="AK370" s="161"/>
      <c r="AL370" s="161"/>
      <c r="AM370" s="161"/>
      <c r="AN370" s="161"/>
      <c r="AO370" s="161"/>
      <c r="AP370" s="161"/>
      <c r="AQ370" s="161"/>
      <c r="AR370" s="161"/>
      <c r="AS370" s="161"/>
      <c r="AT370" s="161"/>
      <c r="AU370" s="161"/>
      <c r="AV370" s="161"/>
      <c r="AW370" s="161"/>
      <c r="AX370" s="161"/>
      <c r="AY370" s="161"/>
      <c r="AZ370" s="161"/>
      <c r="BA370" s="161"/>
      <c r="BB370" s="161"/>
      <c r="BC370" s="161"/>
      <c r="BD370" s="161"/>
      <c r="BE370" s="161"/>
      <c r="BF370" s="161"/>
      <c r="BG370" s="161"/>
      <c r="BH370" s="161"/>
      <c r="BI370" s="161"/>
      <c r="BJ370" s="161"/>
      <c r="BK370" s="161"/>
      <c r="BL370" s="161"/>
      <c r="BM370" s="161"/>
      <c r="BN370" s="161"/>
      <c r="BO370" s="161"/>
      <c r="BP370" s="161"/>
      <c r="BQ370" s="161"/>
      <c r="BR370" s="161"/>
      <c r="BS370" s="161"/>
      <c r="BT370" s="161"/>
      <c r="BU370" s="161"/>
      <c r="BV370" s="161"/>
    </row>
    <row r="371" spans="1:74">
      <c r="A371" s="161"/>
      <c r="B371" s="510" t="s">
        <v>724</v>
      </c>
      <c r="C371" s="161"/>
      <c r="D371" s="161"/>
      <c r="E371" s="161"/>
      <c r="F371" s="161"/>
      <c r="G371" s="511">
        <f>SUM(Quarts!BL73:BO73)</f>
        <v>32840.848000000005</v>
      </c>
      <c r="H371" s="161">
        <f>34%*G371/17.08</f>
        <v>653.74053395784563</v>
      </c>
      <c r="I371" s="161"/>
      <c r="J371" s="161"/>
      <c r="K371" s="161"/>
      <c r="L371" s="161"/>
      <c r="M371" s="161"/>
      <c r="N371" s="161"/>
      <c r="O371" s="161"/>
      <c r="P371" s="161"/>
      <c r="Q371" s="161"/>
      <c r="R371" s="161"/>
      <c r="S371" s="161"/>
      <c r="T371" s="161"/>
      <c r="U371" s="161"/>
      <c r="V371" s="161"/>
      <c r="W371" s="161"/>
      <c r="X371" s="161"/>
      <c r="Y371" s="161"/>
      <c r="Z371" s="161"/>
      <c r="AA371" s="161"/>
      <c r="AB371" s="161"/>
      <c r="AC371" s="161"/>
      <c r="AD371" s="161"/>
      <c r="AE371" s="161"/>
      <c r="AF371" s="161"/>
      <c r="AG371" s="161"/>
      <c r="AH371" s="161"/>
      <c r="AI371" s="161"/>
      <c r="AJ371" s="161"/>
      <c r="AK371" s="161"/>
      <c r="AL371" s="161"/>
      <c r="AM371" s="161"/>
      <c r="AN371" s="161"/>
      <c r="AO371" s="161"/>
      <c r="AP371" s="161"/>
      <c r="AQ371" s="161"/>
      <c r="AR371" s="161"/>
      <c r="AS371" s="161"/>
      <c r="AT371" s="161"/>
      <c r="AU371" s="161"/>
      <c r="AV371" s="161"/>
      <c r="AW371" s="161"/>
      <c r="AX371" s="161"/>
      <c r="AY371" s="161"/>
      <c r="AZ371" s="161"/>
      <c r="BA371" s="161"/>
      <c r="BB371" s="161"/>
      <c r="BC371" s="161"/>
      <c r="BD371" s="161"/>
      <c r="BE371" s="161"/>
      <c r="BF371" s="161"/>
      <c r="BG371" s="161"/>
      <c r="BH371" s="161"/>
      <c r="BI371" s="161"/>
      <c r="BJ371" s="161"/>
      <c r="BK371" s="161"/>
      <c r="BL371" s="161"/>
      <c r="BM371" s="161"/>
      <c r="BN371" s="161"/>
      <c r="BO371" s="161"/>
      <c r="BP371" s="161"/>
      <c r="BQ371" s="161"/>
      <c r="BR371" s="161"/>
      <c r="BS371" s="161"/>
      <c r="BT371" s="161"/>
      <c r="BU371" s="161"/>
      <c r="BV371" s="161"/>
    </row>
    <row r="372" spans="1:74">
      <c r="A372" s="161"/>
      <c r="B372" s="510" t="s">
        <v>740</v>
      </c>
      <c r="C372" s="161"/>
      <c r="D372" s="161"/>
      <c r="E372" s="496">
        <f>630/(50366/17.08)</f>
        <v>0.21364412500496366</v>
      </c>
      <c r="F372" s="161"/>
      <c r="G372" s="161"/>
      <c r="H372" s="161"/>
      <c r="I372" s="161"/>
      <c r="J372" s="161"/>
      <c r="K372" s="161"/>
      <c r="L372" s="161"/>
      <c r="M372" s="161"/>
      <c r="N372" s="161"/>
      <c r="O372" s="161"/>
      <c r="P372" s="161"/>
      <c r="Q372" s="161"/>
      <c r="R372" s="161"/>
      <c r="S372" s="161"/>
      <c r="T372" s="161"/>
      <c r="U372" s="161"/>
      <c r="V372" s="161"/>
      <c r="W372" s="161"/>
      <c r="X372" s="161"/>
      <c r="Y372" s="161"/>
      <c r="Z372" s="161"/>
      <c r="AA372" s="161"/>
      <c r="AB372" s="161"/>
      <c r="AC372" s="161"/>
      <c r="AD372" s="161"/>
      <c r="AE372" s="161"/>
      <c r="AF372" s="161"/>
      <c r="AG372" s="161"/>
      <c r="AH372" s="161"/>
      <c r="AI372" s="161"/>
      <c r="AJ372" s="161"/>
      <c r="AK372" s="161"/>
      <c r="AL372" s="161"/>
      <c r="AM372" s="161"/>
      <c r="AN372" s="161"/>
      <c r="AO372" s="161"/>
      <c r="AP372" s="161"/>
      <c r="AQ372" s="161"/>
      <c r="AR372" s="161"/>
      <c r="AS372" s="161"/>
      <c r="AT372" s="161"/>
      <c r="AU372" s="161"/>
      <c r="AV372" s="161"/>
      <c r="AW372" s="161"/>
      <c r="AX372" s="161"/>
      <c r="AY372" s="161"/>
      <c r="AZ372" s="161"/>
      <c r="BA372" s="161"/>
      <c r="BB372" s="161"/>
      <c r="BC372" s="161"/>
      <c r="BD372" s="161"/>
      <c r="BE372" s="161"/>
      <c r="BF372" s="161"/>
      <c r="BG372" s="161"/>
      <c r="BH372" s="161"/>
      <c r="BI372" s="161"/>
      <c r="BJ372" s="161"/>
      <c r="BK372" s="161"/>
      <c r="BL372" s="161"/>
      <c r="BM372" s="161"/>
      <c r="BN372" s="161"/>
      <c r="BO372" s="161"/>
      <c r="BP372" s="161"/>
      <c r="BQ372" s="161"/>
      <c r="BR372" s="161"/>
      <c r="BS372" s="161"/>
      <c r="BT372" s="161"/>
      <c r="BU372" s="161"/>
      <c r="BV372" s="161"/>
    </row>
    <row r="373" spans="1:74">
      <c r="A373" s="161"/>
      <c r="B373" s="505" t="s">
        <v>678</v>
      </c>
      <c r="C373" s="161"/>
      <c r="D373" s="161"/>
      <c r="E373" s="161"/>
      <c r="F373" s="161"/>
      <c r="G373" s="161"/>
      <c r="H373" s="161"/>
      <c r="I373" s="161"/>
      <c r="J373" s="161"/>
      <c r="K373" s="161"/>
      <c r="L373" s="161"/>
      <c r="M373" s="161"/>
      <c r="N373" s="161"/>
      <c r="O373" s="161"/>
      <c r="P373" s="161"/>
      <c r="Q373" s="161"/>
      <c r="R373" s="161"/>
      <c r="S373" s="161"/>
      <c r="T373" s="161"/>
      <c r="U373" s="161"/>
      <c r="V373" s="161"/>
      <c r="W373" s="161"/>
      <c r="X373" s="161"/>
      <c r="Y373" s="161"/>
      <c r="Z373" s="161"/>
      <c r="AA373" s="161"/>
      <c r="AB373" s="161"/>
      <c r="AC373" s="161"/>
      <c r="AD373" s="161"/>
      <c r="AE373" s="161"/>
      <c r="AF373" s="161"/>
      <c r="AG373" s="161"/>
      <c r="AH373" s="161"/>
      <c r="AI373" s="161"/>
      <c r="AJ373" s="161"/>
      <c r="AK373" s="161"/>
      <c r="AL373" s="161"/>
      <c r="AM373" s="161"/>
      <c r="AN373" s="161"/>
      <c r="AO373" s="161"/>
      <c r="AP373" s="161"/>
      <c r="AQ373" s="161"/>
      <c r="AR373" s="161"/>
      <c r="AS373" s="161"/>
      <c r="AT373" s="161"/>
      <c r="AU373" s="161"/>
      <c r="AV373" s="161"/>
      <c r="AW373" s="161"/>
      <c r="AX373" s="161"/>
      <c r="AY373" s="161"/>
      <c r="AZ373" s="161"/>
      <c r="BA373" s="161"/>
      <c r="BB373" s="161"/>
      <c r="BC373" s="161"/>
      <c r="BD373" s="161"/>
      <c r="BE373" s="161"/>
      <c r="BF373" s="161"/>
      <c r="BG373" s="161"/>
      <c r="BH373" s="161"/>
      <c r="BI373" s="161"/>
      <c r="BJ373" s="161"/>
      <c r="BK373" s="161"/>
      <c r="BL373" s="161"/>
      <c r="BM373" s="161"/>
      <c r="BN373" s="161"/>
      <c r="BO373" s="161"/>
      <c r="BP373" s="161"/>
      <c r="BQ373" s="161"/>
      <c r="BR373" s="161"/>
      <c r="BS373" s="161"/>
      <c r="BT373" s="161"/>
      <c r="BU373" s="161"/>
      <c r="BV373" s="161"/>
    </row>
    <row r="374" spans="1:74">
      <c r="A374" s="161"/>
      <c r="B374" s="505" t="s">
        <v>744</v>
      </c>
      <c r="C374" s="161"/>
      <c r="D374" s="161"/>
      <c r="E374" s="161"/>
      <c r="F374" s="161"/>
      <c r="G374" s="161"/>
      <c r="H374" s="161"/>
      <c r="I374" s="161"/>
      <c r="J374" s="161"/>
      <c r="K374" s="161"/>
      <c r="L374" s="161"/>
      <c r="M374" s="161"/>
      <c r="N374" s="161"/>
      <c r="O374" s="161"/>
      <c r="P374" s="161"/>
      <c r="Q374" s="161"/>
      <c r="R374" s="161"/>
      <c r="S374" s="161"/>
      <c r="T374" s="161"/>
      <c r="U374" s="161"/>
      <c r="V374" s="161"/>
      <c r="W374" s="161"/>
      <c r="X374" s="161"/>
      <c r="Y374" s="161"/>
      <c r="Z374" s="161"/>
      <c r="AA374" s="161"/>
      <c r="AB374" s="161"/>
      <c r="AC374" s="161"/>
      <c r="AD374" s="161"/>
      <c r="AE374" s="161"/>
      <c r="AF374" s="161"/>
      <c r="AG374" s="161"/>
      <c r="AH374" s="161"/>
      <c r="AI374" s="161"/>
      <c r="AJ374" s="161"/>
      <c r="AK374" s="161"/>
      <c r="AL374" s="161"/>
      <c r="AM374" s="161"/>
      <c r="AN374" s="161"/>
      <c r="AO374" s="161"/>
      <c r="AP374" s="161"/>
      <c r="AQ374" s="161"/>
      <c r="AR374" s="161"/>
      <c r="AS374" s="161"/>
      <c r="AT374" s="161"/>
      <c r="AU374" s="161"/>
      <c r="AV374" s="161"/>
      <c r="AW374" s="161"/>
      <c r="AX374" s="161"/>
      <c r="AY374" s="161"/>
      <c r="AZ374" s="161"/>
      <c r="BA374" s="161"/>
      <c r="BB374" s="161"/>
      <c r="BC374" s="161"/>
      <c r="BD374" s="161"/>
      <c r="BE374" s="161"/>
      <c r="BF374" s="161"/>
      <c r="BG374" s="161"/>
      <c r="BH374" s="161"/>
      <c r="BI374" s="161"/>
      <c r="BJ374" s="161"/>
      <c r="BK374" s="161"/>
      <c r="BL374" s="161"/>
      <c r="BM374" s="161"/>
      <c r="BN374" s="161"/>
      <c r="BO374" s="161"/>
      <c r="BP374" s="161"/>
      <c r="BQ374" s="161"/>
      <c r="BR374" s="161"/>
      <c r="BS374" s="161"/>
      <c r="BT374" s="161"/>
      <c r="BU374" s="161"/>
      <c r="BV374" s="161"/>
    </row>
    <row r="375" spans="1:74">
      <c r="A375" s="161"/>
      <c r="H375" s="310"/>
      <c r="I375" s="310"/>
      <c r="J375" s="310"/>
      <c r="K375" s="161"/>
      <c r="L375" s="161"/>
      <c r="M375" s="161"/>
      <c r="N375" s="161"/>
      <c r="O375" s="161"/>
      <c r="P375" s="161"/>
      <c r="Q375" s="161"/>
      <c r="R375" s="161"/>
      <c r="S375" s="161"/>
      <c r="T375" s="161"/>
      <c r="U375" s="161"/>
      <c r="V375" s="161"/>
      <c r="W375" s="161"/>
      <c r="X375" s="161"/>
      <c r="Y375" s="161"/>
      <c r="Z375" s="161"/>
      <c r="AA375" s="161"/>
      <c r="AB375" s="161"/>
      <c r="AC375" s="161"/>
      <c r="AD375" s="161"/>
      <c r="AE375" s="161"/>
      <c r="AF375" s="161"/>
      <c r="AG375" s="161"/>
      <c r="AH375" s="161"/>
      <c r="AI375" s="161"/>
      <c r="AJ375" s="161"/>
      <c r="AK375" s="161"/>
      <c r="AL375" s="161"/>
      <c r="AM375" s="161"/>
      <c r="AN375" s="161"/>
      <c r="AO375" s="161"/>
      <c r="AP375" s="161"/>
      <c r="AQ375" s="161"/>
      <c r="AR375" s="161"/>
      <c r="AS375" s="161"/>
      <c r="AT375" s="161"/>
      <c r="AU375" s="161"/>
      <c r="AV375" s="161"/>
      <c r="AW375" s="161"/>
      <c r="AX375" s="161"/>
      <c r="AY375" s="161"/>
      <c r="AZ375" s="161"/>
      <c r="BA375" s="161"/>
      <c r="BB375" s="161"/>
      <c r="BC375" s="161"/>
      <c r="BD375" s="161"/>
      <c r="BE375" s="161"/>
      <c r="BF375" s="161"/>
      <c r="BG375" s="161"/>
      <c r="BH375" s="161"/>
      <c r="BI375" s="161"/>
      <c r="BJ375" s="161"/>
      <c r="BK375" s="161"/>
      <c r="BL375" s="161"/>
      <c r="BM375" s="161"/>
      <c r="BN375" s="161"/>
      <c r="BO375" s="161"/>
      <c r="BP375" s="161"/>
      <c r="BQ375" s="161"/>
      <c r="BR375" s="161"/>
      <c r="BS375" s="161"/>
      <c r="BT375" s="161"/>
      <c r="BU375" s="161"/>
      <c r="BV375" s="161"/>
    </row>
    <row r="376" spans="1:74">
      <c r="A376" s="161"/>
      <c r="B376" s="510" t="s">
        <v>752</v>
      </c>
      <c r="C376">
        <v>17.079999999999998</v>
      </c>
      <c r="H376" s="313"/>
      <c r="I376" s="313"/>
      <c r="J376" s="313"/>
      <c r="K376" s="161"/>
      <c r="L376" s="161"/>
      <c r="M376" s="161"/>
      <c r="N376" s="161"/>
      <c r="O376" s="161"/>
      <c r="P376" s="161"/>
      <c r="Q376" s="161"/>
      <c r="R376" s="161"/>
      <c r="S376" s="161"/>
      <c r="T376" s="161"/>
      <c r="U376" s="161"/>
      <c r="V376" s="161"/>
      <c r="W376" s="161"/>
      <c r="X376" s="161"/>
      <c r="Y376" s="161"/>
      <c r="Z376" s="161"/>
      <c r="AA376" s="161"/>
      <c r="AB376" s="161"/>
      <c r="AC376" s="161"/>
      <c r="AD376" s="161"/>
      <c r="AE376" s="161"/>
      <c r="AF376" s="161"/>
      <c r="AG376" s="161"/>
      <c r="AH376" s="161"/>
      <c r="AI376" s="161"/>
      <c r="AJ376" s="161"/>
      <c r="AK376" s="161"/>
      <c r="AL376" s="161"/>
      <c r="AM376" s="161"/>
      <c r="AN376" s="161"/>
      <c r="AO376" s="161"/>
      <c r="AP376" s="161"/>
      <c r="AQ376" s="161"/>
      <c r="AR376" s="161"/>
      <c r="AS376" s="161"/>
      <c r="AT376" s="161"/>
      <c r="AU376" s="161"/>
      <c r="AV376" s="161"/>
      <c r="AW376" s="161"/>
      <c r="AX376" s="161"/>
      <c r="AY376" s="161"/>
      <c r="AZ376" s="161"/>
      <c r="BA376" s="161"/>
      <c r="BB376" s="161"/>
      <c r="BC376" s="161"/>
      <c r="BD376" s="161"/>
      <c r="BE376" s="161"/>
      <c r="BF376" s="161"/>
      <c r="BG376" s="161"/>
      <c r="BH376" s="161"/>
      <c r="BI376" s="161"/>
      <c r="BJ376" s="161"/>
      <c r="BK376" s="161"/>
      <c r="BL376" s="161"/>
      <c r="BM376" s="161"/>
      <c r="BN376" s="161"/>
      <c r="BO376" s="161"/>
      <c r="BP376" s="161"/>
      <c r="BQ376" s="161"/>
      <c r="BR376" s="161"/>
      <c r="BS376" s="161"/>
      <c r="BT376" s="161"/>
      <c r="BU376" s="161"/>
      <c r="BV376" s="161"/>
    </row>
    <row r="377" spans="1:74">
      <c r="A377" s="161"/>
      <c r="H377" s="313"/>
      <c r="I377" s="313"/>
      <c r="J377" s="313"/>
      <c r="K377" s="161"/>
      <c r="L377" s="161"/>
      <c r="M377" s="161"/>
      <c r="N377" s="161"/>
      <c r="O377" s="161"/>
      <c r="P377" s="161"/>
      <c r="Q377" s="161"/>
      <c r="R377" s="161"/>
      <c r="S377" s="161"/>
      <c r="T377" s="161"/>
      <c r="U377" s="161"/>
      <c r="V377" s="161"/>
      <c r="W377" s="161"/>
      <c r="X377" s="161"/>
      <c r="Y377" s="161"/>
      <c r="Z377" s="161"/>
      <c r="AA377" s="161"/>
      <c r="AB377" s="161"/>
      <c r="AC377" s="161"/>
      <c r="AD377" s="161"/>
      <c r="AE377" s="161"/>
      <c r="AF377" s="161"/>
      <c r="AG377" s="161"/>
      <c r="AH377" s="161"/>
      <c r="AI377" s="161"/>
      <c r="AJ377" s="161"/>
      <c r="AK377" s="161"/>
      <c r="AL377" s="161"/>
      <c r="AM377" s="161"/>
      <c r="AN377" s="161"/>
      <c r="AO377" s="161"/>
      <c r="AP377" s="161"/>
      <c r="AQ377" s="161"/>
      <c r="AR377" s="161"/>
      <c r="AS377" s="161"/>
      <c r="AT377" s="161"/>
      <c r="AU377" s="161"/>
      <c r="AV377" s="161"/>
      <c r="AW377" s="161"/>
      <c r="AX377" s="161"/>
      <c r="AY377" s="161"/>
      <c r="AZ377" s="161"/>
      <c r="BA377" s="161"/>
      <c r="BB377" s="161"/>
      <c r="BC377" s="161"/>
      <c r="BD377" s="161"/>
      <c r="BE377" s="161"/>
      <c r="BF377" s="161"/>
      <c r="BG377" s="161"/>
      <c r="BH377" s="161"/>
      <c r="BI377" s="161"/>
      <c r="BJ377" s="161"/>
      <c r="BK377" s="161"/>
      <c r="BL377" s="161"/>
      <c r="BM377" s="161"/>
      <c r="BN377" s="161"/>
      <c r="BO377" s="161"/>
      <c r="BP377" s="161"/>
      <c r="BQ377" s="161"/>
      <c r="BR377" s="161"/>
      <c r="BS377" s="161"/>
      <c r="BT377" s="161"/>
      <c r="BU377" s="161"/>
      <c r="BV377" s="161"/>
    </row>
    <row r="378" spans="1:74">
      <c r="A378" s="161"/>
      <c r="H378" s="161"/>
      <c r="I378" s="161"/>
      <c r="J378" s="161"/>
      <c r="K378" s="161"/>
      <c r="L378" s="161"/>
      <c r="M378" s="161"/>
      <c r="N378" s="161"/>
      <c r="O378" s="161"/>
      <c r="P378" s="161"/>
      <c r="Q378" s="161"/>
      <c r="R378" s="161"/>
      <c r="S378" s="161"/>
      <c r="T378" s="161"/>
      <c r="U378" s="161"/>
      <c r="V378" s="161"/>
      <c r="W378" s="161"/>
      <c r="X378" s="161"/>
      <c r="Y378" s="161"/>
      <c r="Z378" s="161"/>
      <c r="AA378" s="161"/>
      <c r="AB378" s="161"/>
      <c r="AC378" s="161"/>
      <c r="AD378" s="161"/>
      <c r="AE378" s="161"/>
      <c r="AF378" s="161"/>
      <c r="AG378" s="161"/>
      <c r="AH378" s="161"/>
      <c r="AI378" s="161"/>
      <c r="AJ378" s="161"/>
      <c r="AK378" s="161"/>
      <c r="AL378" s="161"/>
      <c r="AM378" s="161"/>
      <c r="AN378" s="161"/>
      <c r="AO378" s="161"/>
      <c r="AP378" s="161"/>
      <c r="AQ378" s="161"/>
      <c r="AR378" s="161"/>
      <c r="AS378" s="161"/>
      <c r="AT378" s="161"/>
      <c r="AU378" s="161"/>
      <c r="AV378" s="161"/>
      <c r="AW378" s="161"/>
      <c r="AX378" s="161"/>
      <c r="AY378" s="161"/>
      <c r="AZ378" s="161"/>
      <c r="BA378" s="161"/>
      <c r="BB378" s="161"/>
      <c r="BC378" s="161"/>
      <c r="BD378" s="161"/>
      <c r="BE378" s="161"/>
      <c r="BF378" s="161"/>
      <c r="BG378" s="161"/>
      <c r="BH378" s="161"/>
      <c r="BI378" s="161"/>
      <c r="BJ378" s="161"/>
      <c r="BK378" s="161"/>
      <c r="BL378" s="161"/>
      <c r="BM378" s="161"/>
      <c r="BN378" s="161"/>
      <c r="BO378" s="161"/>
      <c r="BP378" s="161"/>
      <c r="BQ378" s="161"/>
      <c r="BR378" s="161"/>
      <c r="BS378" s="161"/>
      <c r="BT378" s="161"/>
      <c r="BU378" s="161"/>
      <c r="BV378" s="161"/>
    </row>
    <row r="379" spans="1:74">
      <c r="A379" s="161"/>
      <c r="B379" s="161"/>
      <c r="C379" s="161"/>
      <c r="D379" s="161"/>
      <c r="E379" s="161"/>
      <c r="F379" s="161"/>
      <c r="G379" s="161"/>
      <c r="H379" s="161"/>
      <c r="I379" s="161"/>
      <c r="J379" s="161"/>
      <c r="K379" s="161"/>
      <c r="L379" s="161"/>
      <c r="M379" s="161"/>
      <c r="N379" s="161"/>
      <c r="O379" s="161"/>
      <c r="P379" s="161"/>
      <c r="Q379" s="161"/>
      <c r="R379" s="161"/>
      <c r="S379" s="161"/>
      <c r="T379" s="161"/>
      <c r="U379" s="161"/>
      <c r="V379" s="161"/>
      <c r="W379" s="161"/>
      <c r="X379" s="161"/>
      <c r="Y379" s="161"/>
      <c r="Z379" s="161"/>
      <c r="AA379" s="161"/>
      <c r="AB379" s="161"/>
      <c r="AC379" s="161"/>
      <c r="AD379" s="161"/>
      <c r="AE379" s="161"/>
      <c r="AF379" s="161"/>
      <c r="AG379" s="161"/>
      <c r="AH379" s="161"/>
      <c r="AI379" s="161"/>
      <c r="AJ379" s="161"/>
      <c r="AK379" s="161"/>
      <c r="AL379" s="161"/>
      <c r="AM379" s="161"/>
      <c r="AN379" s="161"/>
      <c r="AO379" s="161"/>
      <c r="AP379" s="161"/>
      <c r="AQ379" s="161"/>
      <c r="AR379" s="161"/>
      <c r="AS379" s="161"/>
      <c r="AT379" s="161"/>
      <c r="AU379" s="161"/>
      <c r="AV379" s="161"/>
      <c r="AW379" s="161"/>
      <c r="AX379" s="161"/>
      <c r="AY379" s="161"/>
      <c r="AZ379" s="161"/>
      <c r="BA379" s="161"/>
      <c r="BB379" s="161"/>
      <c r="BC379" s="161"/>
      <c r="BD379" s="161"/>
      <c r="BE379" s="161"/>
      <c r="BF379" s="161"/>
      <c r="BG379" s="161"/>
      <c r="BH379" s="161"/>
      <c r="BI379" s="161"/>
      <c r="BJ379" s="161"/>
      <c r="BK379" s="161"/>
      <c r="BL379" s="161"/>
      <c r="BM379" s="161"/>
      <c r="BN379" s="161"/>
      <c r="BO379" s="161"/>
      <c r="BP379" s="161"/>
      <c r="BQ379" s="161"/>
      <c r="BR379" s="161"/>
      <c r="BS379" s="161"/>
      <c r="BT379" s="161"/>
      <c r="BU379" s="161"/>
      <c r="BV379" s="161"/>
    </row>
    <row r="380" spans="1:74">
      <c r="A380" s="161"/>
      <c r="B380" s="161"/>
      <c r="C380" s="161"/>
      <c r="D380" s="161"/>
      <c r="E380" s="161"/>
      <c r="F380" s="161"/>
      <c r="G380" s="161"/>
      <c r="H380" s="161"/>
      <c r="I380" s="161"/>
      <c r="J380" s="161"/>
      <c r="K380" s="161"/>
      <c r="L380" s="161"/>
      <c r="M380" s="161"/>
      <c r="N380" s="161"/>
      <c r="O380" s="161"/>
      <c r="P380" s="161"/>
      <c r="Q380" s="161"/>
      <c r="R380" s="161"/>
      <c r="S380" s="161"/>
      <c r="T380" s="161"/>
      <c r="U380" s="161"/>
      <c r="V380" s="161"/>
      <c r="W380" s="161"/>
      <c r="X380" s="161"/>
      <c r="Y380" s="161"/>
      <c r="Z380" s="161"/>
      <c r="AA380" s="161"/>
      <c r="AB380" s="161"/>
      <c r="AC380" s="161"/>
      <c r="AD380" s="161"/>
      <c r="AE380" s="161"/>
      <c r="AF380" s="161"/>
      <c r="AG380" s="161"/>
      <c r="AH380" s="161"/>
      <c r="AI380" s="161"/>
      <c r="AJ380" s="161"/>
      <c r="AK380" s="161"/>
      <c r="AL380" s="161"/>
      <c r="AM380" s="161"/>
      <c r="AN380" s="161"/>
      <c r="AO380" s="161"/>
      <c r="AP380" s="161"/>
      <c r="AQ380" s="161"/>
      <c r="AR380" s="161"/>
      <c r="AS380" s="161"/>
      <c r="AT380" s="161"/>
      <c r="AU380" s="161"/>
      <c r="AV380" s="161"/>
      <c r="AW380" s="161"/>
      <c r="AX380" s="161"/>
      <c r="AY380" s="161"/>
      <c r="AZ380" s="161"/>
      <c r="BA380" s="161"/>
      <c r="BB380" s="161"/>
      <c r="BC380" s="161"/>
      <c r="BD380" s="161"/>
      <c r="BE380" s="161"/>
      <c r="BF380" s="161"/>
      <c r="BG380" s="161"/>
      <c r="BH380" s="161"/>
      <c r="BI380" s="161"/>
      <c r="BJ380" s="161"/>
      <c r="BK380" s="161"/>
      <c r="BL380" s="161"/>
      <c r="BM380" s="161"/>
      <c r="BN380" s="161"/>
      <c r="BO380" s="161"/>
      <c r="BP380" s="161"/>
      <c r="BQ380" s="161"/>
      <c r="BR380" s="161"/>
      <c r="BS380" s="161"/>
      <c r="BT380" s="161"/>
      <c r="BU380" s="161"/>
      <c r="BV380" s="161"/>
    </row>
    <row r="381" spans="1:74">
      <c r="A381" s="161"/>
      <c r="B381" s="161"/>
      <c r="C381" s="161"/>
      <c r="D381" s="161"/>
      <c r="E381" s="161"/>
      <c r="F381" s="161"/>
      <c r="G381" s="161"/>
      <c r="H381" s="161"/>
      <c r="I381" s="161"/>
      <c r="J381" s="161"/>
      <c r="K381" s="161"/>
      <c r="L381" s="161"/>
      <c r="M381" s="161"/>
      <c r="N381" s="161"/>
      <c r="O381" s="161"/>
      <c r="P381" s="161"/>
      <c r="Q381" s="161"/>
      <c r="R381" s="161"/>
      <c r="S381" s="161"/>
      <c r="T381" s="161"/>
      <c r="U381" s="161"/>
      <c r="V381" s="161"/>
      <c r="W381" s="161"/>
      <c r="X381" s="161"/>
      <c r="Y381" s="161"/>
      <c r="Z381" s="161"/>
      <c r="AA381" s="161"/>
      <c r="AB381" s="161"/>
      <c r="AC381" s="161"/>
      <c r="AD381" s="161"/>
      <c r="AE381" s="161"/>
      <c r="AF381" s="161"/>
      <c r="AG381" s="161"/>
      <c r="AH381" s="161"/>
      <c r="AI381" s="161"/>
      <c r="AJ381" s="161"/>
      <c r="AK381" s="161"/>
      <c r="AL381" s="161"/>
      <c r="AM381" s="161"/>
      <c r="AN381" s="161"/>
      <c r="AO381" s="161"/>
      <c r="AP381" s="161"/>
      <c r="AQ381" s="161"/>
      <c r="AR381" s="161"/>
      <c r="AS381" s="161"/>
      <c r="AT381" s="161"/>
      <c r="AU381" s="161"/>
      <c r="AV381" s="161"/>
      <c r="AW381" s="161"/>
      <c r="AX381" s="161"/>
      <c r="AY381" s="161"/>
      <c r="AZ381" s="161"/>
      <c r="BA381" s="161"/>
      <c r="BB381" s="161"/>
      <c r="BC381" s="161"/>
      <c r="BD381" s="161"/>
      <c r="BE381" s="161"/>
      <c r="BF381" s="161"/>
      <c r="BG381" s="161"/>
      <c r="BH381" s="161"/>
      <c r="BI381" s="161"/>
      <c r="BJ381" s="161"/>
      <c r="BK381" s="161"/>
      <c r="BL381" s="161"/>
      <c r="BM381" s="161"/>
      <c r="BN381" s="161"/>
      <c r="BO381" s="161"/>
      <c r="BP381" s="161"/>
      <c r="BQ381" s="161"/>
      <c r="BR381" s="161"/>
      <c r="BS381" s="161"/>
      <c r="BT381" s="161"/>
      <c r="BU381" s="161"/>
      <c r="BV381" s="161"/>
    </row>
    <row r="382" spans="1:74">
      <c r="A382" s="161"/>
      <c r="B382" s="161"/>
      <c r="C382" s="161"/>
      <c r="D382" s="161"/>
      <c r="E382" s="161"/>
      <c r="F382" s="161"/>
      <c r="G382" s="161"/>
      <c r="H382" s="161"/>
      <c r="I382" s="161"/>
      <c r="J382" s="161"/>
      <c r="K382" s="161"/>
      <c r="L382" s="161"/>
      <c r="M382" s="161"/>
      <c r="N382" s="161"/>
      <c r="O382" s="161"/>
      <c r="P382" s="161"/>
      <c r="Q382" s="161"/>
      <c r="R382" s="161"/>
      <c r="S382" s="161"/>
      <c r="T382" s="161"/>
      <c r="U382" s="161"/>
      <c r="V382" s="161"/>
      <c r="W382" s="161"/>
      <c r="X382" s="161"/>
      <c r="Y382" s="161"/>
      <c r="Z382" s="161"/>
      <c r="AA382" s="161"/>
      <c r="AB382" s="161"/>
      <c r="AC382" s="161"/>
      <c r="AD382" s="161"/>
      <c r="AE382" s="161"/>
      <c r="AF382" s="161"/>
      <c r="AG382" s="161"/>
      <c r="AH382" s="161"/>
      <c r="AI382" s="161"/>
      <c r="AJ382" s="161"/>
      <c r="AK382" s="161"/>
      <c r="AL382" s="161"/>
      <c r="AM382" s="161"/>
      <c r="AN382" s="161"/>
      <c r="AO382" s="161"/>
      <c r="AP382" s="161"/>
      <c r="AQ382" s="161"/>
      <c r="AR382" s="161"/>
      <c r="AS382" s="161"/>
      <c r="AT382" s="161"/>
      <c r="AU382" s="161"/>
      <c r="AV382" s="161"/>
      <c r="AW382" s="161"/>
      <c r="AX382" s="161"/>
      <c r="AY382" s="161"/>
      <c r="AZ382" s="161"/>
      <c r="BA382" s="161"/>
      <c r="BB382" s="161"/>
      <c r="BC382" s="161"/>
      <c r="BD382" s="161"/>
      <c r="BE382" s="161"/>
      <c r="BF382" s="161"/>
      <c r="BG382" s="161"/>
      <c r="BH382" s="161"/>
      <c r="BI382" s="161"/>
      <c r="BJ382" s="161"/>
      <c r="BK382" s="161"/>
      <c r="BL382" s="161"/>
      <c r="BM382" s="161"/>
      <c r="BN382" s="161"/>
      <c r="BO382" s="161"/>
      <c r="BP382" s="161"/>
      <c r="BQ382" s="161"/>
      <c r="BR382" s="161"/>
      <c r="BS382" s="161"/>
      <c r="BT382" s="161"/>
      <c r="BU382" s="161"/>
      <c r="BV382" s="161"/>
    </row>
    <row r="383" spans="1:74">
      <c r="A383" s="161"/>
      <c r="B383" s="161"/>
      <c r="C383" s="161"/>
      <c r="D383" s="161"/>
      <c r="E383" s="161"/>
      <c r="F383" s="161"/>
      <c r="G383" s="161"/>
      <c r="H383" s="161"/>
      <c r="I383" s="161"/>
      <c r="J383" s="161"/>
      <c r="K383" s="161"/>
      <c r="L383" s="161"/>
      <c r="M383" s="161"/>
      <c r="N383" s="161"/>
      <c r="O383" s="161"/>
      <c r="P383" s="161"/>
      <c r="Q383" s="161"/>
      <c r="R383" s="161"/>
      <c r="S383" s="161"/>
      <c r="T383" s="161"/>
      <c r="U383" s="161"/>
      <c r="V383" s="161"/>
      <c r="W383" s="161"/>
      <c r="X383" s="161"/>
      <c r="Y383" s="161"/>
      <c r="Z383" s="161"/>
      <c r="AA383" s="161"/>
      <c r="AB383" s="161"/>
      <c r="AC383" s="161"/>
      <c r="AD383" s="161"/>
      <c r="AE383" s="161"/>
      <c r="AF383" s="161"/>
      <c r="AG383" s="161"/>
      <c r="AH383" s="161"/>
      <c r="AI383" s="161"/>
      <c r="AJ383" s="161"/>
      <c r="AK383" s="161"/>
      <c r="AL383" s="161"/>
      <c r="AM383" s="161"/>
      <c r="AN383" s="161"/>
      <c r="AO383" s="161"/>
      <c r="AP383" s="161"/>
      <c r="AQ383" s="161"/>
      <c r="AR383" s="161"/>
      <c r="AS383" s="161"/>
      <c r="AT383" s="161"/>
      <c r="AU383" s="161"/>
      <c r="AV383" s="161"/>
      <c r="AW383" s="161"/>
      <c r="AX383" s="161"/>
      <c r="AY383" s="161"/>
      <c r="AZ383" s="161"/>
      <c r="BA383" s="161"/>
      <c r="BB383" s="161"/>
      <c r="BC383" s="161"/>
      <c r="BD383" s="161"/>
      <c r="BE383" s="161"/>
      <c r="BF383" s="161"/>
      <c r="BG383" s="161"/>
      <c r="BH383" s="161"/>
      <c r="BI383" s="161"/>
      <c r="BJ383" s="161"/>
      <c r="BK383" s="161"/>
      <c r="BL383" s="161"/>
      <c r="BM383" s="161"/>
      <c r="BN383" s="161"/>
      <c r="BO383" s="161"/>
      <c r="BP383" s="161"/>
      <c r="BQ383" s="161"/>
      <c r="BR383" s="161"/>
      <c r="BS383" s="161"/>
      <c r="BT383" s="161"/>
      <c r="BU383" s="161"/>
      <c r="BV383" s="161"/>
    </row>
    <row r="384" spans="1:74">
      <c r="A384" s="161"/>
      <c r="B384" s="161"/>
      <c r="C384" s="161"/>
      <c r="D384" s="161"/>
      <c r="E384" s="161"/>
      <c r="F384" s="161"/>
      <c r="G384" s="161"/>
      <c r="H384" s="161"/>
      <c r="I384" s="161"/>
      <c r="J384" s="161"/>
      <c r="K384" s="161"/>
      <c r="L384" s="161"/>
      <c r="M384" s="161"/>
      <c r="N384" s="161"/>
      <c r="O384" s="161"/>
      <c r="P384" s="161"/>
      <c r="Q384" s="161"/>
      <c r="R384" s="161"/>
      <c r="S384" s="161"/>
      <c r="T384" s="161"/>
      <c r="U384" s="161"/>
      <c r="V384" s="161"/>
      <c r="W384" s="161"/>
      <c r="X384" s="161"/>
      <c r="Y384" s="161"/>
      <c r="Z384" s="161"/>
      <c r="AA384" s="161"/>
      <c r="AB384" s="161"/>
      <c r="AC384" s="161"/>
      <c r="AD384" s="161"/>
      <c r="AE384" s="161"/>
      <c r="AF384" s="161"/>
      <c r="AG384" s="161"/>
      <c r="AH384" s="161"/>
      <c r="AI384" s="161"/>
      <c r="AJ384" s="161"/>
      <c r="AK384" s="161"/>
      <c r="AL384" s="161"/>
      <c r="AM384" s="161"/>
      <c r="AN384" s="161"/>
      <c r="AO384" s="161"/>
      <c r="AP384" s="161"/>
      <c r="AQ384" s="161"/>
      <c r="AR384" s="161"/>
      <c r="AS384" s="161"/>
      <c r="AT384" s="161"/>
      <c r="AU384" s="161"/>
      <c r="AV384" s="161"/>
      <c r="AW384" s="161"/>
      <c r="AX384" s="161"/>
      <c r="AY384" s="161"/>
      <c r="AZ384" s="161"/>
      <c r="BA384" s="161"/>
      <c r="BB384" s="161"/>
      <c r="BC384" s="161"/>
      <c r="BD384" s="161"/>
      <c r="BE384" s="161"/>
      <c r="BF384" s="161"/>
      <c r="BG384" s="161"/>
      <c r="BH384" s="161"/>
      <c r="BI384" s="161"/>
      <c r="BJ384" s="161"/>
      <c r="BK384" s="161"/>
      <c r="BL384" s="161"/>
      <c r="BM384" s="161"/>
      <c r="BN384" s="161"/>
      <c r="BO384" s="161"/>
      <c r="BP384" s="161"/>
      <c r="BQ384" s="161"/>
      <c r="BR384" s="161"/>
      <c r="BS384" s="161"/>
      <c r="BT384" s="161"/>
      <c r="BU384" s="161"/>
      <c r="BV384" s="161"/>
    </row>
    <row r="385" spans="1:74">
      <c r="A385" s="161"/>
      <c r="B385" s="161"/>
      <c r="C385" s="161"/>
      <c r="D385" s="161"/>
      <c r="E385" s="161"/>
      <c r="F385" s="161"/>
      <c r="G385" s="161"/>
      <c r="H385" s="161"/>
      <c r="I385" s="161"/>
      <c r="J385" s="161"/>
      <c r="K385" s="161"/>
      <c r="L385" s="161"/>
      <c r="M385" s="161"/>
      <c r="N385" s="161"/>
      <c r="O385" s="161"/>
      <c r="P385" s="161"/>
      <c r="Q385" s="161"/>
      <c r="R385" s="161"/>
      <c r="S385" s="161"/>
      <c r="T385" s="161"/>
      <c r="U385" s="161"/>
      <c r="V385" s="161"/>
      <c r="W385" s="161"/>
      <c r="X385" s="161"/>
      <c r="Y385" s="161"/>
      <c r="Z385" s="161"/>
      <c r="AA385" s="161"/>
      <c r="AB385" s="161"/>
      <c r="AC385" s="161"/>
      <c r="AD385" s="161"/>
      <c r="AE385" s="161"/>
      <c r="AF385" s="161"/>
      <c r="AG385" s="161"/>
      <c r="AH385" s="161"/>
      <c r="AI385" s="161"/>
      <c r="AJ385" s="161"/>
      <c r="AK385" s="161"/>
      <c r="AL385" s="161"/>
      <c r="AM385" s="161"/>
      <c r="AN385" s="161"/>
      <c r="AO385" s="161"/>
      <c r="AP385" s="161"/>
      <c r="AQ385" s="161"/>
      <c r="AR385" s="161"/>
      <c r="AS385" s="161"/>
      <c r="AT385" s="161"/>
      <c r="AU385" s="161"/>
      <c r="AV385" s="161"/>
      <c r="AW385" s="161"/>
      <c r="AX385" s="161"/>
      <c r="AY385" s="161"/>
      <c r="AZ385" s="161"/>
      <c r="BA385" s="161"/>
      <c r="BB385" s="161"/>
      <c r="BC385" s="161"/>
      <c r="BD385" s="161"/>
      <c r="BE385" s="161"/>
      <c r="BF385" s="161"/>
      <c r="BG385" s="161"/>
      <c r="BH385" s="161"/>
      <c r="BI385" s="161"/>
      <c r="BJ385" s="161"/>
      <c r="BK385" s="161"/>
      <c r="BL385" s="161"/>
      <c r="BM385" s="161"/>
      <c r="BN385" s="161"/>
      <c r="BO385" s="161"/>
      <c r="BP385" s="161"/>
      <c r="BQ385" s="161"/>
      <c r="BR385" s="161"/>
      <c r="BS385" s="161"/>
      <c r="BT385" s="161"/>
      <c r="BU385" s="161"/>
      <c r="BV385" s="161"/>
    </row>
    <row r="386" spans="1:74">
      <c r="A386" s="161"/>
      <c r="B386" s="161"/>
      <c r="C386" s="161"/>
      <c r="D386" s="161"/>
      <c r="E386" s="161"/>
      <c r="F386" s="161"/>
      <c r="G386" s="161"/>
      <c r="H386" s="161"/>
      <c r="I386" s="161"/>
      <c r="J386" s="161"/>
      <c r="K386" s="161"/>
      <c r="L386" s="161"/>
      <c r="M386" s="161"/>
      <c r="N386" s="161"/>
      <c r="O386" s="161"/>
      <c r="P386" s="161"/>
      <c r="Q386" s="161"/>
      <c r="R386" s="161"/>
      <c r="S386" s="161"/>
      <c r="T386" s="161"/>
      <c r="U386" s="161"/>
      <c r="V386" s="161"/>
      <c r="W386" s="161"/>
      <c r="X386" s="161"/>
      <c r="Y386" s="161"/>
      <c r="Z386" s="161"/>
      <c r="AA386" s="161"/>
      <c r="AB386" s="161"/>
      <c r="AC386" s="161"/>
      <c r="AD386" s="161"/>
      <c r="AE386" s="161"/>
      <c r="AF386" s="161"/>
      <c r="AG386" s="161"/>
      <c r="AH386" s="161"/>
      <c r="AI386" s="161"/>
      <c r="AJ386" s="161"/>
      <c r="AK386" s="161"/>
      <c r="AL386" s="161"/>
      <c r="AM386" s="161"/>
      <c r="AN386" s="161"/>
      <c r="AO386" s="161"/>
      <c r="AP386" s="161"/>
      <c r="AQ386" s="161"/>
      <c r="AR386" s="161"/>
      <c r="AS386" s="161"/>
      <c r="AT386" s="161"/>
      <c r="AU386" s="161"/>
      <c r="AV386" s="161"/>
      <c r="AW386" s="161"/>
      <c r="AX386" s="161"/>
      <c r="AY386" s="161"/>
      <c r="AZ386" s="161"/>
      <c r="BA386" s="161"/>
      <c r="BB386" s="161"/>
      <c r="BC386" s="161"/>
      <c r="BD386" s="161"/>
      <c r="BE386" s="161"/>
      <c r="BF386" s="161"/>
      <c r="BG386" s="161"/>
      <c r="BH386" s="161"/>
      <c r="BI386" s="161"/>
      <c r="BJ386" s="161"/>
      <c r="BK386" s="161"/>
      <c r="BL386" s="161"/>
      <c r="BM386" s="161"/>
      <c r="BN386" s="161"/>
      <c r="BO386" s="161"/>
      <c r="BP386" s="161"/>
      <c r="BQ386" s="161"/>
      <c r="BR386" s="161"/>
      <c r="BS386" s="161"/>
      <c r="BT386" s="161"/>
      <c r="BU386" s="161"/>
      <c r="BV386" s="161"/>
    </row>
    <row r="387" spans="1:74">
      <c r="A387" s="161"/>
      <c r="B387" s="163"/>
      <c r="C387" s="163">
        <v>2012</v>
      </c>
      <c r="D387" s="163">
        <v>2013</v>
      </c>
      <c r="E387" s="163">
        <v>2014</v>
      </c>
      <c r="F387" s="163">
        <v>2015</v>
      </c>
      <c r="G387" s="163">
        <v>2016</v>
      </c>
      <c r="H387" s="163">
        <v>2017</v>
      </c>
      <c r="I387" s="163">
        <v>2018</v>
      </c>
      <c r="J387" s="163">
        <v>2019</v>
      </c>
      <c r="K387" s="163">
        <v>2020</v>
      </c>
      <c r="L387" s="163">
        <v>2021</v>
      </c>
      <c r="M387" s="163">
        <v>2022</v>
      </c>
      <c r="N387" s="163" t="s">
        <v>721</v>
      </c>
      <c r="O387" s="163" t="s">
        <v>722</v>
      </c>
      <c r="P387" s="163" t="s">
        <v>723</v>
      </c>
      <c r="Q387" s="163" t="s">
        <v>732</v>
      </c>
      <c r="R387" s="163" t="s">
        <v>733</v>
      </c>
      <c r="S387" s="163" t="s">
        <v>753</v>
      </c>
      <c r="T387" s="163" t="s">
        <v>754</v>
      </c>
      <c r="U387" s="163" t="s">
        <v>755</v>
      </c>
      <c r="V387" s="163"/>
      <c r="W387" s="163"/>
      <c r="X387" s="163"/>
      <c r="Y387" s="163"/>
      <c r="Z387" s="163"/>
      <c r="AA387" s="163"/>
      <c r="AC387" s="161"/>
      <c r="AD387" s="161"/>
      <c r="AE387" s="161"/>
      <c r="AF387" s="161"/>
      <c r="AG387" s="161"/>
      <c r="AH387" s="161"/>
      <c r="AI387" s="161"/>
      <c r="AJ387" s="161"/>
      <c r="AK387" s="161"/>
      <c r="AL387" s="161"/>
      <c r="AM387" s="161"/>
      <c r="AN387" s="161"/>
      <c r="AO387" s="161"/>
      <c r="AP387" s="161"/>
      <c r="AQ387" s="161"/>
      <c r="AR387" s="161"/>
      <c r="AS387" s="161"/>
      <c r="AT387" s="161"/>
      <c r="AU387" s="161"/>
      <c r="AV387" s="161"/>
      <c r="AW387" s="161"/>
      <c r="AX387" s="161"/>
      <c r="AY387" s="161"/>
      <c r="AZ387" s="161"/>
      <c r="BA387" s="161"/>
      <c r="BB387" s="161"/>
      <c r="BC387" s="161"/>
      <c r="BD387" s="161"/>
      <c r="BE387" s="161"/>
      <c r="BF387" s="161"/>
      <c r="BG387" s="161"/>
      <c r="BH387" s="161"/>
      <c r="BI387" s="161"/>
      <c r="BJ387" s="161"/>
      <c r="BK387" s="161"/>
      <c r="BL387" s="161"/>
      <c r="BM387" s="161"/>
      <c r="BN387" s="161"/>
      <c r="BO387" s="161"/>
      <c r="BP387" s="161"/>
      <c r="BQ387" s="161"/>
      <c r="BR387" s="161"/>
      <c r="BS387" s="161"/>
      <c r="BT387" s="161"/>
      <c r="BU387" s="161"/>
      <c r="BV387" s="161"/>
    </row>
    <row r="388" spans="1:74">
      <c r="A388" s="161"/>
      <c r="B388" s="161" t="s">
        <v>558</v>
      </c>
      <c r="C388" s="493">
        <f>Anna!Q22/Anna!Q18</f>
        <v>0.22112064163974601</v>
      </c>
      <c r="D388" s="493">
        <f>Anna!R22/Anna!R18</f>
        <v>0.1986491855383393</v>
      </c>
      <c r="E388" s="493">
        <f>Anna!S22/Anna!S18</f>
        <v>0.20357298474945534</v>
      </c>
      <c r="F388" s="493">
        <f>Anna!T22/Anna!T18</f>
        <v>0.25863845572576766</v>
      </c>
      <c r="G388" s="493">
        <f>Anna!U22/Anna!U18</f>
        <v>0.28743291855870734</v>
      </c>
      <c r="H388" s="493">
        <f>Anna!V22/Anna!V18</f>
        <v>0.27141782842598483</v>
      </c>
      <c r="I388" s="493">
        <f>Anna!W22/Anna!W18</f>
        <v>0.29600344721136035</v>
      </c>
      <c r="J388" s="493">
        <f>Anna!X22/Anna!X18</f>
        <v>0.30249027957785596</v>
      </c>
      <c r="K388" s="493">
        <f>Anna!Y22/Anna!Y18</f>
        <v>0.36103292677478444</v>
      </c>
      <c r="L388" s="493">
        <f>Anna!Z22/Anna!Z18</f>
        <v>0.38428890963708695</v>
      </c>
      <c r="M388" s="493">
        <f>Anna!AA22/Anna!AA18</f>
        <v>0.4358592560527671</v>
      </c>
      <c r="N388" s="493">
        <f>Anna!AB22/Anna!AB18</f>
        <v>0.43350404780094365</v>
      </c>
      <c r="O388" s="493">
        <f>Anna!AC22/Anna!AC18</f>
        <v>0.31485179676237351</v>
      </c>
      <c r="P388" s="493">
        <f>Anna!AD22/Anna!AD18</f>
        <v>0.25931321481321751</v>
      </c>
      <c r="Q388" s="493">
        <f>Anna!AE22/Anna!AE18</f>
        <v>0.2525</v>
      </c>
      <c r="R388" s="493">
        <f>Anna!AF22/Anna!AF18</f>
        <v>0.24</v>
      </c>
      <c r="S388" s="493">
        <f>Anna!AG22/Anna!AG18</f>
        <v>0.23</v>
      </c>
      <c r="T388" s="493">
        <f>Anna!AH22/Anna!AH18</f>
        <v>0.21999999999999997</v>
      </c>
      <c r="U388" s="493">
        <f>Anna!AI22/Anna!AI18</f>
        <v>0.20999999999999996</v>
      </c>
      <c r="V388" s="493"/>
      <c r="W388" s="493"/>
      <c r="X388" s="493"/>
      <c r="Y388" s="493"/>
      <c r="Z388" s="493"/>
      <c r="AA388" s="493"/>
      <c r="AC388" s="161"/>
      <c r="AD388" s="161"/>
      <c r="AE388" s="161"/>
      <c r="AF388" s="161"/>
      <c r="AG388" s="161"/>
      <c r="AH388" s="161"/>
      <c r="AI388" s="161"/>
      <c r="AJ388" s="161"/>
      <c r="AK388" s="161"/>
      <c r="AL388" s="161"/>
      <c r="AM388" s="161"/>
      <c r="AN388" s="161"/>
      <c r="AO388" s="161"/>
      <c r="AP388" s="161"/>
      <c r="AQ388" s="161"/>
      <c r="AR388" s="161"/>
      <c r="AS388" s="161"/>
      <c r="AT388" s="161"/>
      <c r="AU388" s="161"/>
      <c r="AV388" s="161"/>
      <c r="AW388" s="161"/>
      <c r="AX388" s="161"/>
      <c r="AY388" s="161"/>
      <c r="AZ388" s="161"/>
      <c r="BA388" s="161"/>
      <c r="BB388" s="161"/>
      <c r="BC388" s="161"/>
      <c r="BD388" s="161"/>
      <c r="BE388" s="161"/>
      <c r="BF388" s="161"/>
      <c r="BG388" s="161"/>
      <c r="BH388" s="161"/>
      <c r="BI388" s="161"/>
      <c r="BJ388" s="161"/>
      <c r="BK388" s="161"/>
      <c r="BL388" s="161"/>
      <c r="BM388" s="161"/>
      <c r="BN388" s="161"/>
      <c r="BO388" s="161"/>
      <c r="BP388" s="161"/>
      <c r="BQ388" s="161"/>
      <c r="BR388" s="161"/>
      <c r="BS388" s="161"/>
      <c r="BT388" s="161"/>
      <c r="BU388" s="161"/>
      <c r="BV388" s="161"/>
    </row>
    <row r="389" spans="1:74">
      <c r="A389" s="161"/>
      <c r="B389" s="161"/>
      <c r="C389" s="161"/>
      <c r="D389" s="161"/>
      <c r="E389" s="161"/>
      <c r="F389" s="161"/>
      <c r="G389" s="161"/>
      <c r="H389" s="161"/>
      <c r="I389" s="161"/>
      <c r="J389" s="161"/>
      <c r="K389" s="161"/>
      <c r="L389" s="161"/>
      <c r="M389" s="161"/>
      <c r="N389" s="161"/>
      <c r="O389" s="161"/>
      <c r="P389" s="161"/>
      <c r="Q389" s="161"/>
      <c r="R389" s="161"/>
      <c r="S389" s="161"/>
      <c r="T389" s="161"/>
      <c r="U389" s="161"/>
      <c r="V389" s="161"/>
      <c r="W389" s="161"/>
      <c r="X389" s="161"/>
      <c r="Y389" s="161"/>
      <c r="Z389" s="161"/>
      <c r="AA389" s="161"/>
      <c r="AC389" s="161"/>
      <c r="AD389" s="161"/>
      <c r="AE389" s="161"/>
      <c r="AF389" s="161"/>
      <c r="AG389" s="161"/>
      <c r="AH389" s="161"/>
      <c r="AI389" s="161"/>
      <c r="AJ389" s="161"/>
      <c r="AK389" s="161"/>
      <c r="AL389" s="161"/>
      <c r="AM389" s="161"/>
      <c r="AN389" s="161"/>
      <c r="AO389" s="161"/>
      <c r="AP389" s="161"/>
      <c r="AQ389" s="161"/>
      <c r="AR389" s="161"/>
      <c r="AS389" s="161"/>
      <c r="AT389" s="161"/>
      <c r="AU389" s="161"/>
      <c r="AV389" s="161"/>
      <c r="AW389" s="161"/>
      <c r="AX389" s="161"/>
      <c r="AY389" s="161"/>
      <c r="AZ389" s="161"/>
      <c r="BA389" s="161"/>
      <c r="BB389" s="161"/>
      <c r="BC389" s="161"/>
      <c r="BD389" s="161"/>
      <c r="BE389" s="161"/>
      <c r="BF389" s="161"/>
      <c r="BG389" s="161"/>
      <c r="BH389" s="161"/>
      <c r="BI389" s="161"/>
      <c r="BJ389" s="161"/>
      <c r="BK389" s="161"/>
      <c r="BL389" s="161"/>
      <c r="BM389" s="161"/>
      <c r="BN389" s="161"/>
      <c r="BO389" s="161"/>
      <c r="BP389" s="161"/>
      <c r="BQ389" s="161"/>
      <c r="BR389" s="161"/>
      <c r="BS389" s="161"/>
      <c r="BT389" s="161"/>
      <c r="BU389" s="161"/>
      <c r="BV389" s="161"/>
    </row>
    <row r="390" spans="1:74">
      <c r="A390" s="161"/>
      <c r="B390" s="161"/>
      <c r="C390" s="161"/>
      <c r="D390" s="161"/>
      <c r="E390" s="161"/>
      <c r="F390" s="161"/>
      <c r="G390" s="161"/>
      <c r="H390" s="161"/>
      <c r="I390" s="161"/>
      <c r="J390" s="161"/>
      <c r="K390" s="161"/>
      <c r="L390" s="161"/>
      <c r="M390" s="161"/>
      <c r="N390" s="161"/>
      <c r="O390" s="161"/>
      <c r="P390" s="161"/>
      <c r="Q390" s="161"/>
      <c r="R390" s="161"/>
      <c r="S390" s="161"/>
      <c r="T390" s="161"/>
      <c r="U390" s="161"/>
      <c r="V390" s="161"/>
      <c r="W390" s="161"/>
      <c r="X390" s="161"/>
      <c r="Y390" s="161"/>
      <c r="Z390" s="161"/>
      <c r="AA390" s="161"/>
      <c r="AC390" s="161"/>
      <c r="AD390" s="161"/>
      <c r="AE390" s="161"/>
      <c r="AF390" s="161"/>
      <c r="AG390" s="161"/>
      <c r="AH390" s="161"/>
      <c r="AI390" s="161"/>
      <c r="AJ390" s="161"/>
      <c r="AK390" s="161"/>
      <c r="AL390" s="161"/>
      <c r="AM390" s="161"/>
      <c r="AN390" s="161"/>
      <c r="AO390" s="161"/>
      <c r="AP390" s="161"/>
      <c r="AQ390" s="161"/>
      <c r="AR390" s="161"/>
      <c r="AS390" s="161"/>
      <c r="AT390" s="161"/>
      <c r="AU390" s="161"/>
      <c r="AV390" s="161"/>
      <c r="AW390" s="161"/>
      <c r="AX390" s="161"/>
      <c r="AY390" s="161"/>
      <c r="AZ390" s="161"/>
      <c r="BA390" s="161"/>
      <c r="BB390" s="161"/>
      <c r="BC390" s="161"/>
      <c r="BD390" s="161"/>
      <c r="BE390" s="161"/>
      <c r="BF390" s="161"/>
      <c r="BG390" s="161"/>
      <c r="BH390" s="161"/>
      <c r="BI390" s="161"/>
      <c r="BJ390" s="161"/>
      <c r="BK390" s="161"/>
      <c r="BL390" s="161"/>
      <c r="BM390" s="161"/>
      <c r="BN390" s="161"/>
      <c r="BO390" s="161"/>
      <c r="BP390" s="161"/>
      <c r="BQ390" s="161"/>
      <c r="BR390" s="161"/>
      <c r="BS390" s="161"/>
      <c r="BT390" s="161"/>
      <c r="BU390" s="161"/>
      <c r="BV390" s="161"/>
    </row>
    <row r="391" spans="1:74">
      <c r="A391" s="161"/>
      <c r="B391" s="161"/>
      <c r="C391" s="161"/>
      <c r="D391" s="161"/>
      <c r="E391" s="161"/>
      <c r="F391" s="161"/>
      <c r="G391" s="161"/>
      <c r="H391" s="161"/>
      <c r="I391" s="161"/>
      <c r="J391" s="161"/>
      <c r="K391" s="161"/>
      <c r="L391" s="161"/>
      <c r="M391" s="161"/>
      <c r="N391" s="161"/>
      <c r="O391" s="161"/>
      <c r="P391" s="161"/>
      <c r="Q391" s="161"/>
      <c r="R391" s="161"/>
      <c r="S391" s="161"/>
      <c r="T391" s="161"/>
      <c r="U391" s="161"/>
      <c r="V391" s="161"/>
      <c r="W391" s="161"/>
      <c r="X391" s="161"/>
      <c r="Y391" s="161"/>
      <c r="Z391" s="161"/>
      <c r="AA391" s="161"/>
      <c r="AC391" s="161"/>
      <c r="AD391" s="161"/>
      <c r="AE391" s="161"/>
      <c r="AF391" s="161"/>
      <c r="AG391" s="161"/>
      <c r="AH391" s="161"/>
      <c r="AI391" s="161"/>
      <c r="AJ391" s="161"/>
      <c r="AK391" s="161"/>
      <c r="AL391" s="161"/>
      <c r="AM391" s="161"/>
      <c r="AN391" s="161"/>
      <c r="AO391" s="161"/>
      <c r="AP391" s="161"/>
      <c r="AQ391" s="161"/>
      <c r="AR391" s="161"/>
      <c r="AS391" s="161"/>
      <c r="AT391" s="161"/>
      <c r="AU391" s="161"/>
      <c r="AV391" s="161"/>
      <c r="AW391" s="161"/>
      <c r="AX391" s="161"/>
      <c r="AY391" s="161"/>
      <c r="AZ391" s="161"/>
      <c r="BA391" s="161"/>
      <c r="BB391" s="161"/>
      <c r="BC391" s="161"/>
      <c r="BD391" s="161"/>
      <c r="BE391" s="161"/>
      <c r="BF391" s="161"/>
      <c r="BG391" s="161"/>
      <c r="BH391" s="161"/>
      <c r="BI391" s="161"/>
      <c r="BJ391" s="161"/>
      <c r="BK391" s="161"/>
      <c r="BL391" s="161"/>
      <c r="BM391" s="161"/>
      <c r="BN391" s="161"/>
      <c r="BO391" s="161"/>
      <c r="BP391" s="161"/>
      <c r="BQ391" s="161"/>
      <c r="BR391" s="161"/>
      <c r="BS391" s="161"/>
      <c r="BT391" s="161"/>
      <c r="BU391" s="161"/>
      <c r="BV391" s="161"/>
    </row>
    <row r="392" spans="1:74">
      <c r="A392" s="161"/>
      <c r="B392" s="161"/>
      <c r="C392" s="163">
        <v>2012</v>
      </c>
      <c r="D392" s="163">
        <v>2013</v>
      </c>
      <c r="E392" s="163">
        <v>2014</v>
      </c>
      <c r="F392" s="163">
        <v>2015</v>
      </c>
      <c r="G392" s="163">
        <v>2016</v>
      </c>
      <c r="H392" s="163">
        <v>2017</v>
      </c>
      <c r="I392" s="163">
        <v>2018</v>
      </c>
      <c r="J392" s="163">
        <v>2019</v>
      </c>
      <c r="K392" s="163">
        <v>2020</v>
      </c>
      <c r="L392" s="163">
        <v>2021</v>
      </c>
      <c r="M392" s="163">
        <v>2022</v>
      </c>
      <c r="N392" s="163" t="s">
        <v>721</v>
      </c>
      <c r="O392" s="163" t="s">
        <v>722</v>
      </c>
      <c r="P392" s="163" t="s">
        <v>723</v>
      </c>
      <c r="Q392" s="163" t="s">
        <v>732</v>
      </c>
      <c r="R392" s="163" t="s">
        <v>733</v>
      </c>
      <c r="S392" s="163" t="s">
        <v>753</v>
      </c>
      <c r="T392" s="163" t="s">
        <v>754</v>
      </c>
      <c r="U392" s="163" t="s">
        <v>755</v>
      </c>
      <c r="V392" s="163"/>
      <c r="W392" s="163"/>
      <c r="X392" s="163"/>
      <c r="Y392" s="163"/>
      <c r="Z392" s="163"/>
      <c r="AA392" s="163"/>
      <c r="AC392" s="161"/>
      <c r="AD392" s="161"/>
      <c r="AE392" s="161"/>
      <c r="AF392" s="161"/>
      <c r="AG392" s="161"/>
      <c r="AH392" s="161"/>
      <c r="AI392" s="161"/>
      <c r="AJ392" s="161"/>
      <c r="AK392" s="161"/>
      <c r="AL392" s="161"/>
      <c r="AM392" s="161"/>
      <c r="AN392" s="161"/>
      <c r="AO392" s="161"/>
      <c r="AP392" s="161"/>
      <c r="AQ392" s="161"/>
      <c r="AR392" s="161"/>
      <c r="AS392" s="161"/>
      <c r="AT392" s="161"/>
      <c r="AU392" s="161"/>
      <c r="AV392" s="161"/>
      <c r="AW392" s="161"/>
      <c r="AX392" s="161"/>
      <c r="AY392" s="161"/>
      <c r="AZ392" s="161"/>
      <c r="BA392" s="161"/>
      <c r="BB392" s="161"/>
      <c r="BC392" s="161"/>
      <c r="BD392" s="161"/>
      <c r="BE392" s="161"/>
      <c r="BF392" s="161"/>
      <c r="BG392" s="161"/>
      <c r="BH392" s="161"/>
      <c r="BI392" s="161"/>
      <c r="BJ392" s="161"/>
      <c r="BK392" s="161"/>
      <c r="BL392" s="161"/>
      <c r="BM392" s="161"/>
      <c r="BN392" s="161"/>
      <c r="BO392" s="161"/>
      <c r="BP392" s="161"/>
      <c r="BQ392" s="161"/>
      <c r="BR392" s="161"/>
      <c r="BS392" s="161"/>
      <c r="BT392" s="161"/>
      <c r="BU392" s="161"/>
      <c r="BV392" s="161"/>
    </row>
    <row r="393" spans="1:74">
      <c r="A393" s="161"/>
      <c r="B393" s="161" t="s">
        <v>756</v>
      </c>
      <c r="C393" s="463">
        <f>Anna!Q109/1000</f>
        <v>1.792</v>
      </c>
      <c r="D393" s="463">
        <f>Anna!R109/1000</f>
        <v>2.3559999999999999</v>
      </c>
      <c r="E393" s="463">
        <f>Anna!S109/1000</f>
        <v>2.5110000000000001</v>
      </c>
      <c r="F393" s="463">
        <f>Anna!T109/1000</f>
        <v>2.0779999999999998</v>
      </c>
      <c r="G393" s="463">
        <f>Anna!U109/1000</f>
        <v>2.0409999999999999</v>
      </c>
      <c r="H393" s="463">
        <f>Anna!V109/1000</f>
        <v>3.0230000000000001</v>
      </c>
      <c r="I393" s="463">
        <f>Anna!W109/1000</f>
        <v>3.5938770000000004</v>
      </c>
      <c r="J393" s="463">
        <f>Anna!X109/1000</f>
        <v>3.6259999999999999</v>
      </c>
      <c r="K393" s="463">
        <f>Anna!Y109/1000</f>
        <v>2.956</v>
      </c>
      <c r="L393" s="463">
        <f>Anna!Z109/1000</f>
        <v>2.6494269999999998</v>
      </c>
      <c r="M393" s="463">
        <f>Anna!AA109/1000</f>
        <v>0.93301800000000001</v>
      </c>
      <c r="N393" s="463">
        <f>Anna!AB109/1000</f>
        <v>0.37099300000000041</v>
      </c>
      <c r="O393" s="463">
        <f>Anna!AC109/1000</f>
        <v>4.289852999999999</v>
      </c>
      <c r="P393" s="463">
        <f>Anna!AD109/1000</f>
        <v>6.7486420000000003</v>
      </c>
      <c r="Q393" s="463">
        <f>Anna!AE109/1000</f>
        <v>7.6006554673000029</v>
      </c>
      <c r="R393" s="463">
        <f>Anna!AF109/1000</f>
        <v>9.0350979620000054</v>
      </c>
      <c r="S393" s="463">
        <f>Anna!AG109/1000</f>
        <v>10.434048178706401</v>
      </c>
      <c r="T393" s="463">
        <f>Anna!AH109/1000</f>
        <v>11.640484999369328</v>
      </c>
      <c r="U393" s="463">
        <f>Anna!AI109/1000</f>
        <v>12.808826894838408</v>
      </c>
      <c r="V393" s="463"/>
      <c r="W393" s="463"/>
      <c r="X393" s="463"/>
      <c r="Y393" s="463"/>
      <c r="Z393" s="463"/>
      <c r="AA393" s="463"/>
      <c r="AC393" s="161"/>
      <c r="AD393" s="161"/>
      <c r="AE393" s="161"/>
      <c r="AF393" s="161"/>
      <c r="AG393" s="161"/>
      <c r="AH393" s="161"/>
      <c r="AI393" s="161"/>
      <c r="AJ393" s="161"/>
      <c r="AK393" s="161"/>
      <c r="AL393" s="161"/>
      <c r="AM393" s="161"/>
      <c r="AN393" s="161"/>
      <c r="AO393" s="161"/>
      <c r="AP393" s="161"/>
      <c r="AQ393" s="161"/>
      <c r="AR393" s="161"/>
      <c r="AS393" s="161"/>
      <c r="AT393" s="161"/>
      <c r="AU393" s="161"/>
      <c r="AV393" s="161"/>
      <c r="AW393" s="161"/>
      <c r="AX393" s="161"/>
      <c r="AY393" s="161"/>
      <c r="AZ393" s="161"/>
      <c r="BA393" s="161"/>
      <c r="BB393" s="161"/>
      <c r="BC393" s="161"/>
      <c r="BD393" s="161"/>
      <c r="BE393" s="161"/>
      <c r="BF393" s="161"/>
      <c r="BG393" s="161"/>
      <c r="BH393" s="161"/>
      <c r="BI393" s="161"/>
      <c r="BJ393" s="161"/>
      <c r="BK393" s="161"/>
      <c r="BL393" s="161"/>
      <c r="BM393" s="161"/>
      <c r="BN393" s="161"/>
      <c r="BO393" s="161"/>
      <c r="BP393" s="161"/>
      <c r="BQ393" s="161"/>
      <c r="BR393" s="161"/>
      <c r="BS393" s="161"/>
      <c r="BT393" s="161"/>
      <c r="BU393" s="161"/>
      <c r="BV393" s="161"/>
    </row>
    <row r="394" spans="1:74">
      <c r="A394" s="161"/>
      <c r="B394" s="161"/>
      <c r="C394" s="161"/>
      <c r="D394" s="161"/>
      <c r="E394" s="161"/>
      <c r="F394" s="161"/>
      <c r="G394" s="161"/>
      <c r="H394" s="161"/>
      <c r="I394" s="161"/>
      <c r="J394" s="161"/>
      <c r="K394" s="161"/>
      <c r="L394" s="161"/>
      <c r="M394" s="161"/>
      <c r="N394" s="161"/>
      <c r="O394" s="161"/>
      <c r="P394" s="161"/>
      <c r="Q394" s="161"/>
      <c r="R394" s="161"/>
      <c r="S394" s="161"/>
      <c r="T394" s="161"/>
      <c r="U394" s="161"/>
      <c r="V394" s="161"/>
      <c r="W394" s="161"/>
      <c r="X394" s="161"/>
      <c r="Y394" s="161"/>
      <c r="Z394" s="161"/>
      <c r="AA394" s="161"/>
      <c r="AC394" s="161"/>
      <c r="AD394" s="161"/>
      <c r="AE394" s="161"/>
      <c r="AF394" s="161"/>
      <c r="AG394" s="161"/>
      <c r="AH394" s="161"/>
      <c r="AI394" s="161"/>
      <c r="AJ394" s="161"/>
      <c r="AK394" s="161"/>
      <c r="AL394" s="161"/>
      <c r="AM394" s="161"/>
      <c r="AN394" s="161"/>
      <c r="AO394" s="161"/>
      <c r="AP394" s="161"/>
      <c r="AQ394" s="161"/>
      <c r="AR394" s="161"/>
      <c r="AS394" s="161"/>
      <c r="AT394" s="161"/>
      <c r="AU394" s="161"/>
      <c r="AV394" s="161"/>
      <c r="AW394" s="161"/>
      <c r="AX394" s="161"/>
      <c r="AY394" s="161"/>
      <c r="AZ394" s="161"/>
      <c r="BA394" s="161"/>
      <c r="BB394" s="161"/>
      <c r="BC394" s="161"/>
      <c r="BD394" s="161"/>
      <c r="BE394" s="161"/>
      <c r="BF394" s="161"/>
      <c r="BG394" s="161"/>
      <c r="BH394" s="161"/>
      <c r="BI394" s="161"/>
      <c r="BJ394" s="161"/>
      <c r="BK394" s="161"/>
      <c r="BL394" s="161"/>
      <c r="BM394" s="161"/>
      <c r="BN394" s="161"/>
      <c r="BO394" s="161"/>
      <c r="BP394" s="161"/>
      <c r="BQ394" s="161"/>
      <c r="BR394" s="161"/>
      <c r="BS394" s="161"/>
      <c r="BT394" s="161"/>
      <c r="BU394" s="161"/>
      <c r="BV394" s="161"/>
    </row>
    <row r="395" spans="1:74">
      <c r="A395" s="161"/>
      <c r="B395" s="161"/>
      <c r="C395" s="161"/>
      <c r="D395" s="161"/>
      <c r="E395" s="161"/>
      <c r="F395" s="161"/>
      <c r="G395" s="161"/>
      <c r="H395" s="161"/>
      <c r="I395" s="161"/>
      <c r="J395" s="161"/>
      <c r="K395" s="161"/>
      <c r="L395" s="161"/>
      <c r="M395" s="161"/>
      <c r="N395" s="161"/>
      <c r="O395" s="161"/>
      <c r="P395" s="161"/>
      <c r="Q395" s="161"/>
      <c r="R395" s="161"/>
      <c r="S395" s="161"/>
      <c r="T395" s="161"/>
      <c r="U395" s="161"/>
      <c r="V395" s="161"/>
      <c r="W395" s="161"/>
      <c r="X395" s="161"/>
      <c r="Y395" s="161"/>
      <c r="Z395" s="161"/>
      <c r="AA395" s="161"/>
      <c r="AC395" s="161"/>
      <c r="AD395" s="161"/>
      <c r="AE395" s="161"/>
      <c r="AF395" s="161"/>
      <c r="AG395" s="161"/>
      <c r="AH395" s="161"/>
      <c r="AI395" s="161"/>
      <c r="AJ395" s="161"/>
      <c r="AK395" s="161"/>
      <c r="AL395" s="161"/>
      <c r="AM395" s="161"/>
      <c r="AN395" s="161"/>
      <c r="AO395" s="161"/>
      <c r="AP395" s="161"/>
      <c r="AQ395" s="161"/>
      <c r="AR395" s="161"/>
      <c r="AS395" s="161"/>
      <c r="AT395" s="161"/>
      <c r="AU395" s="161"/>
      <c r="AV395" s="161"/>
      <c r="AW395" s="161"/>
      <c r="AX395" s="161"/>
      <c r="AY395" s="161"/>
      <c r="AZ395" s="161"/>
      <c r="BA395" s="161"/>
      <c r="BB395" s="161"/>
      <c r="BC395" s="161"/>
      <c r="BD395" s="161"/>
      <c r="BE395" s="161"/>
      <c r="BF395" s="161"/>
      <c r="BG395" s="161"/>
      <c r="BH395" s="161"/>
      <c r="BI395" s="161"/>
      <c r="BJ395" s="161"/>
      <c r="BK395" s="161"/>
      <c r="BL395" s="161"/>
      <c r="BM395" s="161"/>
      <c r="BN395" s="161"/>
      <c r="BO395" s="161"/>
      <c r="BP395" s="161"/>
      <c r="BQ395" s="161"/>
      <c r="BR395" s="161"/>
      <c r="BS395" s="161"/>
      <c r="BT395" s="161"/>
      <c r="BU395" s="161"/>
      <c r="BV395" s="161"/>
    </row>
    <row r="396" spans="1:74">
      <c r="A396" s="161"/>
      <c r="B396" s="161"/>
      <c r="C396" s="161"/>
      <c r="D396" s="161"/>
      <c r="E396" s="161"/>
      <c r="F396" s="161"/>
      <c r="G396" s="161"/>
      <c r="H396" s="161"/>
      <c r="I396" s="161"/>
      <c r="J396" s="161"/>
      <c r="K396" s="161"/>
      <c r="L396" s="161"/>
      <c r="M396" s="161"/>
      <c r="N396" s="161"/>
      <c r="O396" s="161"/>
      <c r="P396" s="161"/>
      <c r="Q396" s="161"/>
      <c r="R396" s="161"/>
      <c r="S396" s="161"/>
      <c r="T396" s="161"/>
      <c r="U396" s="161"/>
      <c r="V396" s="161"/>
      <c r="W396" s="161"/>
      <c r="X396" s="161"/>
      <c r="Y396" s="161"/>
      <c r="Z396" s="161"/>
      <c r="AA396" s="161"/>
      <c r="AC396" s="161"/>
      <c r="AD396" s="161"/>
      <c r="AE396" s="161"/>
      <c r="AF396" s="161"/>
      <c r="AG396" s="161"/>
      <c r="AH396" s="161"/>
      <c r="AI396" s="161"/>
      <c r="AJ396" s="161"/>
      <c r="AK396" s="161"/>
      <c r="AL396" s="161"/>
      <c r="AM396" s="161"/>
      <c r="AN396" s="161"/>
      <c r="AO396" s="161"/>
      <c r="AP396" s="161"/>
      <c r="AQ396" s="161"/>
      <c r="AR396" s="161"/>
      <c r="AS396" s="161"/>
      <c r="AT396" s="161"/>
      <c r="AU396" s="161"/>
      <c r="AV396" s="161"/>
      <c r="AW396" s="161"/>
      <c r="AX396" s="161"/>
      <c r="AY396" s="161"/>
      <c r="AZ396" s="161"/>
      <c r="BA396" s="161"/>
      <c r="BB396" s="161"/>
      <c r="BC396" s="161"/>
      <c r="BD396" s="161"/>
      <c r="BE396" s="161"/>
      <c r="BF396" s="161"/>
      <c r="BG396" s="161"/>
      <c r="BH396" s="161"/>
      <c r="BI396" s="161"/>
      <c r="BJ396" s="161"/>
      <c r="BK396" s="161"/>
      <c r="BL396" s="161"/>
      <c r="BM396" s="161"/>
      <c r="BN396" s="161"/>
      <c r="BO396" s="161"/>
      <c r="BP396" s="161"/>
      <c r="BQ396" s="161"/>
      <c r="BR396" s="161"/>
      <c r="BS396" s="161"/>
      <c r="BT396" s="161"/>
      <c r="BU396" s="161"/>
      <c r="BV396" s="161"/>
    </row>
    <row r="397" spans="1:74">
      <c r="A397" s="161"/>
      <c r="B397" s="161"/>
      <c r="C397" s="161"/>
      <c r="D397" s="161"/>
      <c r="E397" s="161"/>
      <c r="F397" s="161"/>
      <c r="G397" s="161"/>
      <c r="H397" s="161"/>
      <c r="I397" s="161"/>
      <c r="J397" s="161"/>
      <c r="K397" s="161"/>
      <c r="L397" s="161"/>
      <c r="M397" s="161"/>
      <c r="N397" s="161"/>
      <c r="O397" s="161"/>
      <c r="P397" s="161"/>
      <c r="Q397" s="161"/>
      <c r="R397" s="161"/>
      <c r="S397" s="161"/>
      <c r="T397" s="161"/>
      <c r="U397" s="161"/>
      <c r="V397" s="161"/>
      <c r="W397" s="161"/>
      <c r="X397" s="161"/>
      <c r="Y397" s="161"/>
      <c r="Z397" s="161"/>
      <c r="AA397" s="161"/>
      <c r="AC397" s="161"/>
      <c r="AD397" s="161"/>
      <c r="AE397" s="161"/>
      <c r="AF397" s="161"/>
      <c r="AG397" s="161"/>
      <c r="AH397" s="161"/>
      <c r="AI397" s="161"/>
      <c r="AJ397" s="161"/>
      <c r="AK397" s="161"/>
      <c r="AL397" s="161"/>
      <c r="AM397" s="161"/>
      <c r="AN397" s="161"/>
      <c r="AO397" s="161"/>
      <c r="AP397" s="161"/>
      <c r="AQ397" s="161"/>
      <c r="AR397" s="161"/>
      <c r="AS397" s="161"/>
      <c r="AT397" s="161"/>
      <c r="AU397" s="161"/>
      <c r="AV397" s="161"/>
      <c r="AW397" s="161"/>
      <c r="AX397" s="161"/>
      <c r="AY397" s="161"/>
      <c r="AZ397" s="161"/>
      <c r="BA397" s="161"/>
      <c r="BB397" s="161"/>
      <c r="BC397" s="161"/>
      <c r="BD397" s="161"/>
      <c r="BE397" s="161"/>
      <c r="BF397" s="161"/>
      <c r="BG397" s="161"/>
      <c r="BH397" s="161"/>
      <c r="BI397" s="161"/>
      <c r="BJ397" s="161"/>
      <c r="BK397" s="161"/>
      <c r="BL397" s="161"/>
      <c r="BM397" s="161"/>
      <c r="BN397" s="161"/>
      <c r="BO397" s="161"/>
      <c r="BP397" s="161"/>
      <c r="BQ397" s="161"/>
      <c r="BR397" s="161"/>
      <c r="BS397" s="161"/>
      <c r="BT397" s="161"/>
      <c r="BU397" s="161"/>
      <c r="BV397" s="161"/>
    </row>
    <row r="398" spans="1:74">
      <c r="A398" s="161"/>
      <c r="B398" s="161"/>
      <c r="C398" s="163">
        <v>2012</v>
      </c>
      <c r="D398" s="163">
        <v>2013</v>
      </c>
      <c r="E398" s="163">
        <v>2014</v>
      </c>
      <c r="F398" s="163">
        <v>2015</v>
      </c>
      <c r="G398" s="163">
        <v>2016</v>
      </c>
      <c r="H398" s="163">
        <v>2017</v>
      </c>
      <c r="I398" s="163">
        <v>2018</v>
      </c>
      <c r="J398" s="163">
        <v>2019</v>
      </c>
      <c r="K398" s="163">
        <v>2020</v>
      </c>
      <c r="L398" s="163">
        <v>2021</v>
      </c>
      <c r="M398" s="163">
        <v>2022</v>
      </c>
      <c r="N398" s="163">
        <v>2023</v>
      </c>
      <c r="O398" s="163">
        <v>2024</v>
      </c>
      <c r="P398" s="163">
        <v>2025</v>
      </c>
      <c r="Q398" s="163">
        <v>2026</v>
      </c>
      <c r="R398" s="163">
        <v>2027</v>
      </c>
      <c r="S398" s="163">
        <v>2028</v>
      </c>
      <c r="T398" s="163">
        <v>2029</v>
      </c>
      <c r="U398" s="163">
        <v>2030</v>
      </c>
      <c r="V398" s="163"/>
      <c r="W398" s="163"/>
      <c r="X398" s="163"/>
      <c r="Y398" s="163"/>
      <c r="Z398" s="163"/>
      <c r="AA398" s="163"/>
      <c r="AC398" s="161"/>
      <c r="AD398" s="161"/>
      <c r="AE398" s="161"/>
      <c r="AF398" s="161"/>
      <c r="AG398" s="161"/>
      <c r="AH398" s="161"/>
      <c r="AI398" s="161"/>
      <c r="AJ398" s="161"/>
      <c r="AK398" s="161"/>
      <c r="AL398" s="161"/>
      <c r="AM398" s="161"/>
      <c r="AN398" s="161"/>
      <c r="AO398" s="161"/>
      <c r="AP398" s="161"/>
      <c r="AQ398" s="161"/>
      <c r="AR398" s="161"/>
      <c r="AS398" s="161"/>
      <c r="AT398" s="161"/>
      <c r="AU398" s="161"/>
      <c r="AV398" s="161"/>
      <c r="AW398" s="161"/>
      <c r="AX398" s="161"/>
      <c r="AY398" s="161"/>
      <c r="AZ398" s="161"/>
      <c r="BA398" s="161"/>
      <c r="BB398" s="161"/>
      <c r="BC398" s="161"/>
      <c r="BD398" s="161"/>
      <c r="BE398" s="161"/>
      <c r="BF398" s="161"/>
      <c r="BG398" s="161"/>
      <c r="BH398" s="161"/>
      <c r="BI398" s="161"/>
      <c r="BJ398" s="161"/>
      <c r="BK398" s="161"/>
      <c r="BL398" s="161"/>
      <c r="BM398" s="161"/>
      <c r="BN398" s="161"/>
      <c r="BO398" s="161"/>
      <c r="BP398" s="161"/>
      <c r="BQ398" s="161"/>
      <c r="BR398" s="161"/>
      <c r="BS398" s="161"/>
      <c r="BT398" s="161"/>
      <c r="BU398" s="161"/>
      <c r="BV398" s="161"/>
    </row>
    <row r="399" spans="1:74">
      <c r="A399" s="161"/>
      <c r="B399" s="161" t="s">
        <v>122</v>
      </c>
      <c r="C399" s="307">
        <f>Anna!Q18</f>
        <v>8977</v>
      </c>
      <c r="D399" s="307">
        <f>Anna!R18</f>
        <v>10068</v>
      </c>
      <c r="E399" s="307">
        <f>Anna!S18</f>
        <v>11475</v>
      </c>
      <c r="F399" s="307">
        <f>Anna!T18</f>
        <v>14557</v>
      </c>
      <c r="G399" s="307">
        <f>Anna!U18</f>
        <v>16957</v>
      </c>
      <c r="H399" s="307">
        <f>Anna!V18</f>
        <v>17287</v>
      </c>
      <c r="I399" s="307">
        <f>Anna!W18</f>
        <v>19436</v>
      </c>
      <c r="J399" s="307">
        <f>Anna!X18</f>
        <v>21604</v>
      </c>
      <c r="K399" s="307">
        <f>Anna!Y18</f>
        <v>22383</v>
      </c>
      <c r="L399" s="307">
        <f>Anna!Z18</f>
        <v>24634</v>
      </c>
      <c r="M399" s="307">
        <f>Anna!AA18</f>
        <v>27155.555</v>
      </c>
      <c r="N399" s="307">
        <f>Anna!AB18</f>
        <v>29870.54</v>
      </c>
      <c r="O399" s="307">
        <f>Anna!AC18</f>
        <v>32840.847999999998</v>
      </c>
      <c r="P399" s="307">
        <f>Anna!AD18</f>
        <v>35429.71</v>
      </c>
      <c r="Q399" s="307">
        <f>Anna!AE18</f>
        <v>38484.331480000008</v>
      </c>
      <c r="R399" s="307">
        <f>Anna!AF18</f>
        <v>41068.627100000012</v>
      </c>
      <c r="S399" s="307">
        <f>Anna!AG18</f>
        <v>43475.200744610011</v>
      </c>
      <c r="T399" s="307">
        <f>Anna!AH18</f>
        <v>45648.960781840506</v>
      </c>
      <c r="U399" s="307">
        <f>Anna!AI18</f>
        <v>47440.099610512625</v>
      </c>
      <c r="V399" s="307"/>
      <c r="W399" s="307"/>
      <c r="X399" s="307"/>
      <c r="Y399" s="307"/>
      <c r="Z399" s="307"/>
      <c r="AA399" s="307"/>
      <c r="AC399" s="161"/>
      <c r="AD399" s="161"/>
      <c r="AE399" s="161"/>
      <c r="AF399" s="161"/>
      <c r="AG399" s="161"/>
      <c r="AH399" s="161"/>
      <c r="AI399" s="161"/>
      <c r="AJ399" s="161"/>
      <c r="AK399" s="161"/>
      <c r="AL399" s="161"/>
      <c r="AM399" s="161"/>
      <c r="AN399" s="161"/>
      <c r="AO399" s="161"/>
      <c r="AP399" s="161"/>
      <c r="AQ399" s="161"/>
      <c r="AR399" s="161"/>
      <c r="AS399" s="161"/>
      <c r="AT399" s="161"/>
      <c r="AU399" s="161"/>
      <c r="AV399" s="161"/>
      <c r="AW399" s="161"/>
      <c r="AX399" s="161"/>
      <c r="AY399" s="161"/>
      <c r="AZ399" s="161"/>
      <c r="BA399" s="161"/>
      <c r="BB399" s="161"/>
      <c r="BC399" s="161"/>
      <c r="BD399" s="161"/>
      <c r="BE399" s="161"/>
      <c r="BF399" s="161"/>
      <c r="BG399" s="161"/>
      <c r="BH399" s="161"/>
      <c r="BI399" s="161"/>
      <c r="BJ399" s="161"/>
      <c r="BK399" s="161"/>
      <c r="BL399" s="161"/>
      <c r="BM399" s="161"/>
      <c r="BN399" s="161"/>
      <c r="BO399" s="161"/>
      <c r="BP399" s="161"/>
      <c r="BQ399" s="161"/>
      <c r="BR399" s="161"/>
      <c r="BS399" s="161"/>
      <c r="BT399" s="161"/>
      <c r="BU399" s="161"/>
      <c r="BV399" s="161"/>
    </row>
    <row r="400" spans="1:74">
      <c r="A400" s="161"/>
      <c r="B400" s="161" t="s">
        <v>678</v>
      </c>
      <c r="C400" s="307"/>
      <c r="D400" s="307"/>
      <c r="E400" s="307"/>
      <c r="F400" s="307"/>
      <c r="G400" s="307"/>
      <c r="H400" s="307"/>
      <c r="I400" s="307"/>
      <c r="J400" s="307"/>
      <c r="K400" s="307">
        <v>19558.143</v>
      </c>
      <c r="L400" s="307">
        <v>28088</v>
      </c>
      <c r="M400" s="307">
        <v>36352</v>
      </c>
      <c r="N400" s="307">
        <v>40781.2526975</v>
      </c>
      <c r="O400" s="307">
        <v>44280.485716349998</v>
      </c>
      <c r="P400" s="307">
        <v>47156.009165875992</v>
      </c>
      <c r="Q400" s="307">
        <v>50089.632555820885</v>
      </c>
      <c r="R400" s="307">
        <v>53082.453430648085</v>
      </c>
      <c r="S400" s="307">
        <v>55742.490149119301</v>
      </c>
      <c r="T400" s="307">
        <v>58056.31393775835</v>
      </c>
      <c r="U400" s="307">
        <v>60418.162269741566</v>
      </c>
      <c r="V400" s="307"/>
      <c r="W400" s="307"/>
      <c r="X400" s="307"/>
      <c r="Y400" s="307"/>
      <c r="Z400" s="307"/>
      <c r="AA400" s="307"/>
      <c r="AC400" s="161"/>
      <c r="AD400" s="161"/>
      <c r="AE400" s="161"/>
      <c r="AF400" s="161"/>
      <c r="AG400" s="161"/>
      <c r="AH400" s="161"/>
      <c r="AI400" s="161"/>
      <c r="AJ400" s="161"/>
      <c r="AK400" s="161"/>
      <c r="AL400" s="161"/>
      <c r="AM400" s="161"/>
      <c r="AN400" s="161"/>
      <c r="AO400" s="161"/>
      <c r="AP400" s="161"/>
      <c r="AQ400" s="161"/>
      <c r="AR400" s="161"/>
      <c r="AS400" s="161"/>
      <c r="AT400" s="161"/>
      <c r="AU400" s="161"/>
      <c r="AV400" s="161"/>
      <c r="AW400" s="161"/>
      <c r="AX400" s="161"/>
      <c r="AY400" s="161"/>
      <c r="AZ400" s="161"/>
      <c r="BA400" s="161"/>
      <c r="BB400" s="161"/>
      <c r="BC400" s="161"/>
      <c r="BD400" s="161"/>
      <c r="BE400" s="161"/>
      <c r="BF400" s="161"/>
      <c r="BG400" s="161"/>
      <c r="BH400" s="161"/>
      <c r="BI400" s="161"/>
      <c r="BJ400" s="161"/>
      <c r="BK400" s="161"/>
      <c r="BL400" s="161"/>
      <c r="BM400" s="161"/>
      <c r="BN400" s="161"/>
      <c r="BO400" s="161"/>
      <c r="BP400" s="161"/>
      <c r="BQ400" s="161"/>
      <c r="BR400" s="161"/>
      <c r="BS400" s="161"/>
      <c r="BT400" s="161"/>
      <c r="BU400" s="161"/>
      <c r="BV400" s="161"/>
    </row>
    <row r="401" spans="1:74">
      <c r="A401" s="161"/>
      <c r="B401" s="161" t="s">
        <v>677</v>
      </c>
      <c r="C401" s="307">
        <v>104490</v>
      </c>
      <c r="D401" s="307">
        <v>104477</v>
      </c>
      <c r="E401" s="307">
        <v>106326</v>
      </c>
      <c r="F401" s="307">
        <v>99877</v>
      </c>
      <c r="G401" s="307">
        <v>101013</v>
      </c>
      <c r="H401" s="307">
        <v>89371</v>
      </c>
      <c r="I401" s="307">
        <v>76862</v>
      </c>
      <c r="J401" s="307">
        <v>76489</v>
      </c>
      <c r="K401" s="307">
        <v>75636</v>
      </c>
      <c r="L401" s="307">
        <v>76159</v>
      </c>
      <c r="M401" s="307">
        <v>74877</v>
      </c>
      <c r="N401" s="307">
        <v>78489.296975745616</v>
      </c>
      <c r="O401" s="307">
        <v>81657.837778623303</v>
      </c>
      <c r="P401" s="307">
        <v>83908.044069211712</v>
      </c>
      <c r="Q401" s="307">
        <v>86662.556986783777</v>
      </c>
      <c r="R401" s="307">
        <v>90247.5249209717</v>
      </c>
      <c r="S401" s="307">
        <v>92962.694368003387</v>
      </c>
      <c r="T401" s="307">
        <v>95917.119986521997</v>
      </c>
      <c r="U401" s="307">
        <v>99109.658194795949</v>
      </c>
      <c r="V401" s="307"/>
      <c r="W401" s="307"/>
      <c r="X401" s="307"/>
      <c r="Y401" s="307"/>
      <c r="Z401" s="307"/>
      <c r="AA401" s="307"/>
      <c r="AC401" s="161"/>
      <c r="AD401" s="161"/>
      <c r="AE401" s="161"/>
      <c r="AF401" s="161"/>
      <c r="AG401" s="161"/>
      <c r="AH401" s="161"/>
      <c r="AI401" s="161"/>
      <c r="AJ401" s="161"/>
      <c r="AK401" s="161"/>
      <c r="AL401" s="161"/>
      <c r="AM401" s="161"/>
      <c r="AN401" s="161"/>
      <c r="AO401" s="161"/>
      <c r="AP401" s="161"/>
      <c r="AQ401" s="161"/>
      <c r="AR401" s="161"/>
      <c r="AS401" s="161"/>
      <c r="AT401" s="161"/>
      <c r="AU401" s="161"/>
      <c r="AV401" s="161"/>
      <c r="AW401" s="161"/>
      <c r="AX401" s="161"/>
      <c r="AY401" s="161"/>
      <c r="AZ401" s="161"/>
      <c r="BA401" s="161"/>
      <c r="BB401" s="161"/>
      <c r="BC401" s="161"/>
      <c r="BD401" s="161"/>
      <c r="BE401" s="161"/>
      <c r="BF401" s="161"/>
      <c r="BG401" s="161"/>
      <c r="BH401" s="161"/>
      <c r="BI401" s="161"/>
      <c r="BJ401" s="161"/>
      <c r="BK401" s="161"/>
      <c r="BL401" s="161"/>
      <c r="BM401" s="161"/>
      <c r="BN401" s="161"/>
      <c r="BO401" s="161"/>
      <c r="BP401" s="161"/>
      <c r="BQ401" s="161"/>
      <c r="BR401" s="161"/>
      <c r="BS401" s="161"/>
      <c r="BT401" s="161"/>
      <c r="BU401" s="161"/>
      <c r="BV401" s="161"/>
    </row>
    <row r="402" spans="1:74">
      <c r="A402" s="161"/>
      <c r="B402" s="161" t="s">
        <v>36</v>
      </c>
      <c r="C402" s="307">
        <v>15570.4</v>
      </c>
      <c r="D402" s="307">
        <v>17138.8</v>
      </c>
      <c r="E402" s="307">
        <v>20937.2</v>
      </c>
      <c r="F402" s="307">
        <v>28488.3</v>
      </c>
      <c r="G402" s="307">
        <v>31891.599999999999</v>
      </c>
      <c r="H402" s="307">
        <v>33048</v>
      </c>
      <c r="I402" s="307">
        <v>36233</v>
      </c>
      <c r="J402" s="307">
        <v>41702</v>
      </c>
      <c r="K402" s="307">
        <v>45367.1</v>
      </c>
      <c r="L402" s="307">
        <v>48020.9</v>
      </c>
      <c r="M402" s="307">
        <v>48411.8</v>
      </c>
      <c r="N402" s="307">
        <v>49137.976999999999</v>
      </c>
      <c r="O402" s="307">
        <v>50366.426424999998</v>
      </c>
      <c r="P402" s="307">
        <v>51625.587085624997</v>
      </c>
      <c r="Q402" s="307">
        <v>53045.29073047969</v>
      </c>
      <c r="R402" s="307">
        <v>54636.649452394086</v>
      </c>
      <c r="S402" s="307">
        <v>56412.340559596894</v>
      </c>
      <c r="T402" s="307">
        <v>58386.772479182779</v>
      </c>
      <c r="U402" s="307">
        <v>60430.30951595417</v>
      </c>
      <c r="V402" s="307"/>
      <c r="W402" s="307"/>
      <c r="X402" s="307"/>
      <c r="Y402" s="307"/>
      <c r="Z402" s="307"/>
      <c r="AA402" s="307"/>
      <c r="AC402" s="161"/>
      <c r="AD402" s="161"/>
      <c r="AE402" s="161"/>
      <c r="AF402" s="161"/>
      <c r="AG402" s="161"/>
      <c r="AH402" s="161"/>
      <c r="AI402" s="161"/>
      <c r="AJ402" s="161"/>
      <c r="AK402" s="161"/>
      <c r="AL402" s="161"/>
      <c r="AM402" s="161"/>
      <c r="AN402" s="161"/>
      <c r="AO402" s="161"/>
      <c r="AP402" s="161"/>
      <c r="AQ402" s="161"/>
      <c r="AR402" s="161"/>
      <c r="AS402" s="161"/>
      <c r="AT402" s="161"/>
      <c r="AU402" s="161"/>
      <c r="AV402" s="161"/>
      <c r="AW402" s="161"/>
      <c r="AX402" s="161"/>
      <c r="AY402" s="161"/>
      <c r="AZ402" s="161"/>
      <c r="BA402" s="161"/>
      <c r="BB402" s="161"/>
      <c r="BC402" s="161"/>
      <c r="BD402" s="161"/>
      <c r="BE402" s="161"/>
      <c r="BF402" s="161"/>
      <c r="BG402" s="161"/>
      <c r="BH402" s="161"/>
      <c r="BI402" s="161"/>
      <c r="BJ402" s="161"/>
      <c r="BK402" s="161"/>
      <c r="BL402" s="161"/>
      <c r="BM402" s="161"/>
      <c r="BN402" s="161"/>
      <c r="BO402" s="161"/>
      <c r="BP402" s="161"/>
      <c r="BQ402" s="161"/>
      <c r="BR402" s="161"/>
      <c r="BS402" s="161"/>
      <c r="BT402" s="161"/>
      <c r="BU402" s="161"/>
      <c r="BV402" s="161"/>
    </row>
    <row r="403" spans="1:74">
      <c r="A403" s="161"/>
      <c r="B403" s="161"/>
      <c r="C403" s="307"/>
      <c r="D403" s="307"/>
      <c r="E403" s="307"/>
      <c r="F403" s="307"/>
      <c r="G403" s="307"/>
      <c r="H403" s="307"/>
      <c r="I403" s="307"/>
      <c r="J403" s="307"/>
      <c r="K403" s="307"/>
      <c r="L403" s="307"/>
      <c r="M403" s="307"/>
      <c r="N403" s="307"/>
      <c r="O403" s="307"/>
      <c r="P403" s="307"/>
      <c r="Q403" s="307"/>
      <c r="R403" s="307"/>
      <c r="S403" s="307"/>
      <c r="T403" s="307"/>
      <c r="U403" s="307"/>
      <c r="V403" s="307"/>
      <c r="W403" s="307"/>
      <c r="X403" s="307"/>
      <c r="Y403" s="307"/>
      <c r="Z403" s="307"/>
      <c r="AA403" s="307"/>
      <c r="AC403" s="161"/>
      <c r="AD403" s="161"/>
      <c r="AE403" s="161"/>
      <c r="AF403" s="161"/>
      <c r="AG403" s="161"/>
      <c r="AH403" s="161"/>
      <c r="AI403" s="161"/>
      <c r="AJ403" s="161"/>
      <c r="AK403" s="161"/>
      <c r="AL403" s="161"/>
      <c r="AM403" s="161"/>
      <c r="AN403" s="161"/>
      <c r="AO403" s="161"/>
      <c r="AP403" s="161"/>
      <c r="AQ403" s="161"/>
      <c r="AR403" s="161"/>
      <c r="AS403" s="161"/>
      <c r="AT403" s="161"/>
      <c r="AU403" s="161"/>
      <c r="AV403" s="161"/>
      <c r="AW403" s="161"/>
      <c r="AX403" s="161"/>
      <c r="AY403" s="161"/>
      <c r="AZ403" s="161"/>
      <c r="BA403" s="161"/>
      <c r="BB403" s="161"/>
      <c r="BC403" s="161"/>
      <c r="BD403" s="161"/>
      <c r="BE403" s="161"/>
      <c r="BF403" s="161"/>
      <c r="BG403" s="161"/>
      <c r="BH403" s="161"/>
      <c r="BI403" s="161"/>
      <c r="BJ403" s="161"/>
      <c r="BK403" s="161"/>
      <c r="BL403" s="161"/>
      <c r="BM403" s="161"/>
      <c r="BN403" s="161"/>
      <c r="BO403" s="161"/>
      <c r="BP403" s="161"/>
      <c r="BQ403" s="161"/>
      <c r="BR403" s="161"/>
      <c r="BS403" s="161"/>
      <c r="BT403" s="161"/>
      <c r="BU403" s="161"/>
      <c r="BV403" s="161"/>
    </row>
    <row r="404" spans="1:74">
      <c r="A404" s="161"/>
      <c r="B404" s="161"/>
      <c r="C404" s="307"/>
      <c r="D404" s="307"/>
      <c r="E404" s="307"/>
      <c r="F404" s="307"/>
      <c r="G404" s="307"/>
      <c r="H404" s="307"/>
      <c r="I404" s="307"/>
      <c r="J404" s="307"/>
      <c r="K404" s="307"/>
      <c r="L404" s="307"/>
      <c r="M404" s="307"/>
      <c r="N404" s="307"/>
      <c r="O404" s="307"/>
      <c r="P404" s="307"/>
      <c r="Q404" s="307"/>
      <c r="R404" s="307"/>
      <c r="S404" s="307"/>
      <c r="T404" s="307"/>
      <c r="U404" s="307"/>
      <c r="V404" s="307"/>
      <c r="W404" s="307"/>
      <c r="X404" s="307"/>
      <c r="Y404" s="307"/>
      <c r="Z404" s="307"/>
      <c r="AA404" s="307"/>
      <c r="AC404" s="161"/>
      <c r="AD404" s="161"/>
      <c r="AE404" s="161"/>
      <c r="AF404" s="161"/>
      <c r="AG404" s="161"/>
      <c r="AH404" s="161"/>
      <c r="AI404" s="161"/>
      <c r="AJ404" s="161"/>
      <c r="AK404" s="161"/>
      <c r="AL404" s="161"/>
      <c r="AM404" s="161"/>
      <c r="AN404" s="161"/>
      <c r="AO404" s="161"/>
      <c r="AP404" s="161"/>
      <c r="AQ404" s="161"/>
      <c r="AR404" s="161"/>
      <c r="AS404" s="161"/>
      <c r="AT404" s="161"/>
      <c r="AU404" s="161"/>
      <c r="AV404" s="161"/>
      <c r="AW404" s="161"/>
      <c r="AX404" s="161"/>
      <c r="AY404" s="161"/>
      <c r="AZ404" s="161"/>
      <c r="BA404" s="161"/>
      <c r="BB404" s="161"/>
      <c r="BC404" s="161"/>
      <c r="BD404" s="161"/>
      <c r="BE404" s="161"/>
      <c r="BF404" s="161"/>
      <c r="BG404" s="161"/>
      <c r="BH404" s="161"/>
      <c r="BI404" s="161"/>
      <c r="BJ404" s="161"/>
      <c r="BK404" s="161"/>
      <c r="BL404" s="161"/>
      <c r="BM404" s="161"/>
      <c r="BN404" s="161"/>
      <c r="BO404" s="161"/>
      <c r="BP404" s="161"/>
      <c r="BQ404" s="161"/>
      <c r="BR404" s="161"/>
      <c r="BS404" s="161"/>
      <c r="BT404" s="161"/>
      <c r="BU404" s="161"/>
      <c r="BV404" s="161"/>
    </row>
    <row r="405" spans="1:74">
      <c r="A405" s="161"/>
      <c r="B405" s="161"/>
      <c r="C405" s="163">
        <v>2012</v>
      </c>
      <c r="D405" s="163">
        <v>2013</v>
      </c>
      <c r="E405" s="163">
        <v>2014</v>
      </c>
      <c r="F405" s="163">
        <v>2015</v>
      </c>
      <c r="G405" s="163">
        <v>2016</v>
      </c>
      <c r="H405" s="163">
        <v>2017</v>
      </c>
      <c r="I405" s="163">
        <v>2018</v>
      </c>
      <c r="J405" s="163">
        <v>2019</v>
      </c>
      <c r="K405" s="163">
        <v>2020</v>
      </c>
      <c r="L405" s="163">
        <v>2021</v>
      </c>
      <c r="M405" s="163">
        <v>2022</v>
      </c>
      <c r="N405" s="163">
        <v>2023</v>
      </c>
      <c r="O405" s="163" t="s">
        <v>722</v>
      </c>
      <c r="P405" s="163" t="s">
        <v>723</v>
      </c>
      <c r="Q405" s="163" t="s">
        <v>732</v>
      </c>
      <c r="R405" s="163" t="s">
        <v>733</v>
      </c>
      <c r="S405" s="163" t="s">
        <v>753</v>
      </c>
      <c r="T405" s="163">
        <v>2029</v>
      </c>
      <c r="U405" s="163">
        <v>2030</v>
      </c>
      <c r="V405" s="163"/>
      <c r="W405" s="163"/>
      <c r="X405" s="163"/>
      <c r="Y405" s="163"/>
      <c r="Z405" s="163"/>
      <c r="AA405" s="163"/>
      <c r="AC405" s="161"/>
      <c r="AD405" s="161"/>
      <c r="AE405" s="161"/>
      <c r="AF405" s="161"/>
      <c r="AG405" s="161"/>
      <c r="AH405" s="161"/>
      <c r="AI405" s="161"/>
      <c r="AJ405" s="161"/>
      <c r="AK405" s="161"/>
      <c r="AL405" s="161"/>
      <c r="AM405" s="161"/>
      <c r="AN405" s="161"/>
      <c r="AO405" s="161"/>
      <c r="AP405" s="161"/>
      <c r="AQ405" s="161"/>
      <c r="AR405" s="161"/>
      <c r="AS405" s="161"/>
      <c r="AT405" s="161"/>
      <c r="AU405" s="161"/>
      <c r="AV405" s="161"/>
      <c r="AW405" s="161"/>
      <c r="AX405" s="161"/>
      <c r="AY405" s="161"/>
      <c r="AZ405" s="161"/>
      <c r="BA405" s="161"/>
      <c r="BB405" s="161"/>
      <c r="BC405" s="161"/>
      <c r="BD405" s="161"/>
      <c r="BE405" s="161"/>
      <c r="BF405" s="161"/>
      <c r="BG405" s="161"/>
      <c r="BH405" s="161"/>
      <c r="BI405" s="161"/>
      <c r="BJ405" s="161"/>
      <c r="BK405" s="161"/>
      <c r="BL405" s="161"/>
      <c r="BM405" s="161"/>
      <c r="BN405" s="161"/>
      <c r="BO405" s="161"/>
      <c r="BP405" s="161"/>
      <c r="BQ405" s="161"/>
      <c r="BR405" s="161"/>
      <c r="BS405" s="161"/>
      <c r="BT405" s="161"/>
      <c r="BU405" s="161"/>
      <c r="BV405" s="161"/>
    </row>
    <row r="406" spans="1:74">
      <c r="A406" s="161"/>
      <c r="B406" s="161" t="str">
        <f>B399</f>
        <v>MEGA</v>
      </c>
      <c r="C406" s="161"/>
      <c r="D406" s="264">
        <f>D399/C399-1</f>
        <v>0.121532806059931</v>
      </c>
      <c r="E406" s="264">
        <f t="shared" ref="E406:T409" si="102">E399/D399-1</f>
        <v>0.13974970202622172</v>
      </c>
      <c r="F406" s="264">
        <f t="shared" si="102"/>
        <v>0.26858387799564265</v>
      </c>
      <c r="G406" s="264">
        <f t="shared" si="102"/>
        <v>0.16486913512399526</v>
      </c>
      <c r="H406" s="264">
        <f t="shared" si="102"/>
        <v>1.9460989561832953E-2</v>
      </c>
      <c r="I406" s="264">
        <f t="shared" si="102"/>
        <v>0.12431306762306926</v>
      </c>
      <c r="J406" s="264">
        <f t="shared" si="102"/>
        <v>0.11154558551142202</v>
      </c>
      <c r="K406" s="264">
        <f t="shared" si="102"/>
        <v>3.6058137381966393E-2</v>
      </c>
      <c r="L406" s="264">
        <f t="shared" si="102"/>
        <v>0.10056739489791355</v>
      </c>
      <c r="M406" s="264">
        <f t="shared" si="102"/>
        <v>0.10236076154907847</v>
      </c>
      <c r="N406" s="264">
        <f t="shared" si="102"/>
        <v>9.9978991407098761E-2</v>
      </c>
      <c r="O406" s="264">
        <f t="shared" si="102"/>
        <v>9.9439380741024319E-2</v>
      </c>
      <c r="P406" s="264">
        <f t="shared" si="102"/>
        <v>7.8830546641182941E-2</v>
      </c>
      <c r="Q406" s="264">
        <f t="shared" si="102"/>
        <v>8.6216383933145568E-2</v>
      </c>
      <c r="R406" s="264">
        <f t="shared" si="102"/>
        <v>6.7151890668623038E-2</v>
      </c>
      <c r="S406" s="264">
        <f t="shared" si="102"/>
        <v>5.8598833575568943E-2</v>
      </c>
      <c r="T406" s="264">
        <f t="shared" si="102"/>
        <v>4.9999999999999822E-2</v>
      </c>
      <c r="U406" s="264">
        <f>U399/T399-1</f>
        <v>3.923723120953615E-2</v>
      </c>
      <c r="V406" s="264"/>
      <c r="W406" s="264"/>
      <c r="X406" s="264"/>
      <c r="Y406" s="264"/>
      <c r="Z406" s="264"/>
      <c r="AA406" s="264"/>
      <c r="AC406" s="161"/>
      <c r="AD406" s="161"/>
      <c r="AE406" s="161"/>
      <c r="AF406" s="161"/>
      <c r="AG406" s="161"/>
      <c r="AH406" s="161"/>
      <c r="AI406" s="161"/>
      <c r="AJ406" s="161"/>
      <c r="AK406" s="161"/>
      <c r="AL406" s="161"/>
      <c r="AM406" s="161"/>
      <c r="AN406" s="161"/>
      <c r="AO406" s="161"/>
      <c r="AP406" s="161"/>
      <c r="AQ406" s="161"/>
      <c r="AR406" s="161"/>
      <c r="AS406" s="161"/>
      <c r="AT406" s="161"/>
      <c r="AU406" s="161"/>
      <c r="AV406" s="161"/>
      <c r="AW406" s="161"/>
      <c r="AX406" s="161"/>
      <c r="AY406" s="161"/>
      <c r="AZ406" s="161"/>
      <c r="BA406" s="161"/>
      <c r="BB406" s="161"/>
      <c r="BC406" s="161"/>
      <c r="BD406" s="161"/>
      <c r="BE406" s="161"/>
      <c r="BF406" s="161"/>
      <c r="BG406" s="161"/>
      <c r="BH406" s="161"/>
      <c r="BI406" s="161"/>
      <c r="BJ406" s="161"/>
      <c r="BK406" s="161"/>
      <c r="BL406" s="161"/>
      <c r="BM406" s="161"/>
      <c r="BN406" s="161"/>
      <c r="BO406" s="161"/>
      <c r="BP406" s="161"/>
      <c r="BQ406" s="161"/>
      <c r="BR406" s="161"/>
      <c r="BS406" s="161"/>
      <c r="BT406" s="161"/>
      <c r="BU406" s="161"/>
      <c r="BV406" s="161"/>
    </row>
    <row r="407" spans="1:74">
      <c r="A407" s="161"/>
      <c r="B407" s="161" t="str">
        <f>B400</f>
        <v>Totalplay</v>
      </c>
      <c r="C407" s="161"/>
      <c r="D407" s="264"/>
      <c r="E407" s="264"/>
      <c r="F407" s="264"/>
      <c r="G407" s="264"/>
      <c r="H407" s="264"/>
      <c r="I407" s="264"/>
      <c r="J407" s="264"/>
      <c r="K407" s="264"/>
      <c r="L407" s="264">
        <f t="shared" ref="L407:S407" si="103">L400/K400-1</f>
        <v>0.43612816411046795</v>
      </c>
      <c r="M407" s="264">
        <f t="shared" si="103"/>
        <v>0.29421817146112228</v>
      </c>
      <c r="N407" s="264">
        <f t="shared" si="103"/>
        <v>0.12184343908175621</v>
      </c>
      <c r="O407" s="264">
        <f t="shared" si="103"/>
        <v>8.5804941913040222E-2</v>
      </c>
      <c r="P407" s="264">
        <f t="shared" si="103"/>
        <v>6.4938841636604794E-2</v>
      </c>
      <c r="Q407" s="264">
        <f t="shared" si="103"/>
        <v>6.2211019164611248E-2</v>
      </c>
      <c r="R407" s="264">
        <f t="shared" si="103"/>
        <v>5.9749307833151688E-2</v>
      </c>
      <c r="S407" s="264">
        <f t="shared" si="103"/>
        <v>5.0111412464130645E-2</v>
      </c>
      <c r="T407" s="264">
        <f t="shared" si="102"/>
        <v>4.1509157241616412E-2</v>
      </c>
      <c r="U407" s="264">
        <f>U400/T400-1</f>
        <v>4.0682023569655668E-2</v>
      </c>
      <c r="V407" s="264"/>
      <c r="W407" s="264"/>
      <c r="X407" s="264"/>
      <c r="Y407" s="264"/>
      <c r="Z407" s="264"/>
      <c r="AA407" s="264"/>
      <c r="AC407" s="161"/>
      <c r="AD407" s="161"/>
      <c r="AE407" s="161"/>
      <c r="AF407" s="161"/>
      <c r="AG407" s="161"/>
      <c r="AH407" s="161"/>
      <c r="AI407" s="161"/>
      <c r="AJ407" s="161"/>
      <c r="AK407" s="161"/>
      <c r="AL407" s="161"/>
      <c r="AM407" s="161"/>
      <c r="AN407" s="161"/>
      <c r="AO407" s="161"/>
      <c r="AP407" s="161"/>
      <c r="AQ407" s="161"/>
      <c r="AR407" s="161"/>
      <c r="AS407" s="161"/>
      <c r="AT407" s="161"/>
      <c r="AU407" s="161"/>
      <c r="AV407" s="161"/>
      <c r="AW407" s="161"/>
      <c r="AX407" s="161"/>
      <c r="AY407" s="161"/>
      <c r="AZ407" s="161"/>
      <c r="BA407" s="161"/>
      <c r="BB407" s="161"/>
      <c r="BC407" s="161"/>
      <c r="BD407" s="161"/>
      <c r="BE407" s="161"/>
      <c r="BF407" s="161"/>
      <c r="BG407" s="161"/>
      <c r="BH407" s="161"/>
      <c r="BI407" s="161"/>
      <c r="BJ407" s="161"/>
      <c r="BK407" s="161"/>
      <c r="BL407" s="161"/>
      <c r="BM407" s="161"/>
      <c r="BN407" s="161"/>
      <c r="BO407" s="161"/>
      <c r="BP407" s="161"/>
      <c r="BQ407" s="161"/>
      <c r="BR407" s="161"/>
      <c r="BS407" s="161"/>
      <c r="BT407" s="161"/>
      <c r="BU407" s="161"/>
      <c r="BV407" s="161"/>
    </row>
    <row r="408" spans="1:74">
      <c r="A408" s="161"/>
      <c r="B408" s="161" t="str">
        <f>B401</f>
        <v>Telmex</v>
      </c>
      <c r="C408" s="161"/>
      <c r="D408" s="264">
        <f>D401/C401-1</f>
        <v>-1.2441381950423214E-4</v>
      </c>
      <c r="E408" s="264">
        <f t="shared" si="102"/>
        <v>1.7697675086382647E-2</v>
      </c>
      <c r="F408" s="264">
        <f t="shared" si="102"/>
        <v>-6.0653085792750638E-2</v>
      </c>
      <c r="G408" s="264">
        <f t="shared" si="102"/>
        <v>1.1373990007709445E-2</v>
      </c>
      <c r="H408" s="264">
        <f t="shared" si="102"/>
        <v>-0.11525249225347234</v>
      </c>
      <c r="I408" s="264">
        <f t="shared" si="102"/>
        <v>-0.13996710342281049</v>
      </c>
      <c r="J408" s="264">
        <f t="shared" si="102"/>
        <v>-4.8528531654132845E-3</v>
      </c>
      <c r="K408" s="264">
        <f t="shared" si="102"/>
        <v>-1.1151930342925165E-2</v>
      </c>
      <c r="L408" s="264">
        <f t="shared" si="102"/>
        <v>6.9146967052726716E-3</v>
      </c>
      <c r="M408" s="264">
        <f t="shared" si="102"/>
        <v>-1.6833204217492348E-2</v>
      </c>
      <c r="N408" s="264">
        <f t="shared" si="102"/>
        <v>4.8243078325061362E-2</v>
      </c>
      <c r="O408" s="264">
        <f t="shared" si="102"/>
        <v>4.0369081199145063E-2</v>
      </c>
      <c r="P408" s="264">
        <f t="shared" si="102"/>
        <v>2.7556525519188746E-2</v>
      </c>
      <c r="Q408" s="264">
        <f t="shared" si="102"/>
        <v>3.2827757435270444E-2</v>
      </c>
      <c r="R408" s="264">
        <f t="shared" si="102"/>
        <v>4.1366976221745233E-2</v>
      </c>
      <c r="S408" s="264">
        <f t="shared" si="102"/>
        <v>3.0085805116642383E-2</v>
      </c>
      <c r="T408" s="264">
        <f t="shared" si="102"/>
        <v>3.1780765807229994E-2</v>
      </c>
      <c r="U408" s="264">
        <f>U401/T401-1</f>
        <v>3.3284341822633623E-2</v>
      </c>
      <c r="V408" s="264"/>
      <c r="W408" s="264"/>
      <c r="X408" s="264"/>
      <c r="Y408" s="264"/>
      <c r="Z408" s="264"/>
      <c r="AA408" s="264"/>
      <c r="AC408" s="161"/>
      <c r="AD408" s="161"/>
      <c r="AE408" s="161"/>
      <c r="AF408" s="161"/>
      <c r="AG408" s="161"/>
      <c r="AH408" s="161"/>
      <c r="AI408" s="161"/>
      <c r="AJ408" s="161"/>
      <c r="AK408" s="161"/>
      <c r="AL408" s="161"/>
      <c r="AM408" s="161"/>
      <c r="AN408" s="161"/>
      <c r="AO408" s="161"/>
      <c r="AP408" s="161"/>
      <c r="AQ408" s="161"/>
      <c r="AR408" s="161"/>
      <c r="AS408" s="161"/>
      <c r="AT408" s="161"/>
      <c r="AU408" s="161"/>
      <c r="AV408" s="161"/>
      <c r="AW408" s="161"/>
      <c r="AX408" s="161"/>
      <c r="AY408" s="161"/>
      <c r="AZ408" s="161"/>
      <c r="BA408" s="161"/>
      <c r="BB408" s="161"/>
      <c r="BC408" s="161"/>
      <c r="BD408" s="161"/>
      <c r="BE408" s="161"/>
      <c r="BF408" s="161"/>
      <c r="BG408" s="161"/>
      <c r="BH408" s="161"/>
      <c r="BI408" s="161"/>
      <c r="BJ408" s="161"/>
      <c r="BK408" s="161"/>
      <c r="BL408" s="161"/>
      <c r="BM408" s="161"/>
      <c r="BN408" s="161"/>
      <c r="BO408" s="161"/>
      <c r="BP408" s="161"/>
      <c r="BQ408" s="161"/>
      <c r="BR408" s="161"/>
      <c r="BS408" s="161"/>
      <c r="BT408" s="161"/>
      <c r="BU408" s="161"/>
      <c r="BV408" s="161"/>
    </row>
    <row r="409" spans="1:74">
      <c r="A409" s="161"/>
      <c r="B409" s="161" t="str">
        <f>B402</f>
        <v>TV</v>
      </c>
      <c r="C409" s="161"/>
      <c r="D409" s="264">
        <f>D402/C402-1</f>
        <v>0.10072958947747002</v>
      </c>
      <c r="E409" s="264">
        <f t="shared" si="102"/>
        <v>0.22162578476906214</v>
      </c>
      <c r="F409" s="264">
        <f t="shared" si="102"/>
        <v>0.36065471982882125</v>
      </c>
      <c r="G409" s="264">
        <f t="shared" si="102"/>
        <v>0.11946307782493171</v>
      </c>
      <c r="H409" s="264">
        <f t="shared" si="102"/>
        <v>3.6260331874224061E-2</v>
      </c>
      <c r="I409" s="264">
        <f t="shared" si="102"/>
        <v>9.6374969740982808E-2</v>
      </c>
      <c r="J409" s="264">
        <f t="shared" si="102"/>
        <v>0.15093975105566759</v>
      </c>
      <c r="K409" s="264">
        <f t="shared" si="102"/>
        <v>8.7887871085319702E-2</v>
      </c>
      <c r="L409" s="264">
        <f t="shared" si="102"/>
        <v>5.849613486425187E-2</v>
      </c>
      <c r="M409" s="264">
        <f t="shared" si="102"/>
        <v>8.1402056188035754E-3</v>
      </c>
      <c r="N409" s="264">
        <f t="shared" si="102"/>
        <v>1.4999999999999902E-2</v>
      </c>
      <c r="O409" s="264">
        <f t="shared" si="102"/>
        <v>2.4999999999999911E-2</v>
      </c>
      <c r="P409" s="264">
        <f t="shared" si="102"/>
        <v>2.4999999999999911E-2</v>
      </c>
      <c r="Q409" s="264">
        <f t="shared" si="102"/>
        <v>2.750000000000008E-2</v>
      </c>
      <c r="R409" s="264">
        <f t="shared" si="102"/>
        <v>3.0000000000000027E-2</v>
      </c>
      <c r="S409" s="264">
        <f t="shared" si="102"/>
        <v>3.2499999999999973E-2</v>
      </c>
      <c r="T409" s="264">
        <f t="shared" si="102"/>
        <v>3.499999999999992E-2</v>
      </c>
      <c r="U409" s="264">
        <f>U402/T402-1</f>
        <v>3.499999999999992E-2</v>
      </c>
      <c r="V409" s="264"/>
      <c r="W409" s="264"/>
      <c r="X409" s="264"/>
      <c r="Y409" s="264"/>
      <c r="Z409" s="264"/>
      <c r="AA409" s="264"/>
      <c r="AC409" s="161"/>
      <c r="AD409" s="161"/>
      <c r="AE409" s="161"/>
      <c r="AF409" s="161"/>
      <c r="AG409" s="161"/>
      <c r="AH409" s="161"/>
      <c r="AI409" s="161"/>
      <c r="AJ409" s="161"/>
      <c r="AK409" s="161"/>
      <c r="AL409" s="161"/>
      <c r="AM409" s="161"/>
      <c r="AN409" s="161"/>
      <c r="AO409" s="161"/>
      <c r="AP409" s="161"/>
      <c r="AQ409" s="161"/>
      <c r="AR409" s="161"/>
      <c r="AS409" s="161"/>
      <c r="AT409" s="161"/>
      <c r="AU409" s="161"/>
      <c r="AV409" s="161"/>
      <c r="AW409" s="161"/>
      <c r="AX409" s="161"/>
      <c r="AY409" s="161"/>
      <c r="AZ409" s="161"/>
      <c r="BA409" s="161"/>
      <c r="BB409" s="161"/>
      <c r="BC409" s="161"/>
      <c r="BD409" s="161"/>
      <c r="BE409" s="161"/>
      <c r="BF409" s="161"/>
      <c r="BG409" s="161"/>
      <c r="BH409" s="161"/>
      <c r="BI409" s="161"/>
      <c r="BJ409" s="161"/>
      <c r="BK409" s="161"/>
      <c r="BL409" s="161"/>
      <c r="BM409" s="161"/>
      <c r="BN409" s="161"/>
      <c r="BO409" s="161"/>
      <c r="BP409" s="161"/>
      <c r="BQ409" s="161"/>
      <c r="BR409" s="161"/>
      <c r="BS409" s="161"/>
      <c r="BT409" s="161"/>
      <c r="BU409" s="161"/>
      <c r="BV409" s="161"/>
    </row>
    <row r="410" spans="1:74">
      <c r="A410" s="161"/>
      <c r="B410" s="161"/>
      <c r="C410" s="161"/>
      <c r="D410" s="161"/>
      <c r="E410" s="161"/>
      <c r="F410" s="161"/>
      <c r="G410" s="161"/>
      <c r="H410" s="161"/>
      <c r="I410" s="161"/>
      <c r="J410" s="161"/>
      <c r="K410" s="161"/>
      <c r="L410" s="161"/>
      <c r="M410" s="161"/>
      <c r="N410" s="161"/>
      <c r="O410" s="161"/>
      <c r="P410" s="161"/>
      <c r="Q410" s="161"/>
      <c r="R410" s="161"/>
      <c r="S410" s="161"/>
      <c r="T410" s="161"/>
      <c r="U410" s="161"/>
      <c r="V410" s="161"/>
      <c r="W410" s="161"/>
      <c r="X410" s="161"/>
      <c r="Y410" s="161"/>
      <c r="Z410" s="161"/>
      <c r="AA410" s="161"/>
      <c r="AC410" s="161"/>
      <c r="AD410" s="161"/>
      <c r="AE410" s="161"/>
      <c r="AF410" s="161"/>
      <c r="AG410" s="161"/>
      <c r="AH410" s="161"/>
      <c r="AI410" s="161"/>
      <c r="AJ410" s="161"/>
      <c r="AK410" s="161"/>
      <c r="AL410" s="161"/>
      <c r="AM410" s="161"/>
      <c r="AN410" s="161"/>
      <c r="AO410" s="161"/>
      <c r="AP410" s="161"/>
      <c r="AQ410" s="161"/>
      <c r="AR410" s="161"/>
      <c r="AS410" s="161"/>
      <c r="AT410" s="161"/>
      <c r="AU410" s="161"/>
      <c r="AV410" s="161"/>
      <c r="AW410" s="161"/>
      <c r="AX410" s="161"/>
      <c r="AY410" s="161"/>
      <c r="AZ410" s="161"/>
      <c r="BA410" s="161"/>
      <c r="BB410" s="161"/>
      <c r="BC410" s="161"/>
      <c r="BD410" s="161"/>
      <c r="BE410" s="161"/>
      <c r="BF410" s="161"/>
      <c r="BG410" s="161"/>
      <c r="BH410" s="161"/>
      <c r="BI410" s="161"/>
      <c r="BJ410" s="161"/>
      <c r="BK410" s="161"/>
      <c r="BL410" s="161"/>
      <c r="BM410" s="161"/>
      <c r="BN410" s="161"/>
      <c r="BO410" s="161"/>
      <c r="BP410" s="161"/>
      <c r="BQ410" s="161"/>
      <c r="BR410" s="161"/>
      <c r="BS410" s="161"/>
      <c r="BT410" s="161"/>
      <c r="BU410" s="161"/>
      <c r="BV410" s="161"/>
    </row>
    <row r="411" spans="1:74">
      <c r="A411" s="161"/>
      <c r="B411" s="161"/>
      <c r="C411" s="161"/>
      <c r="D411" s="161"/>
      <c r="E411" s="161"/>
      <c r="F411" s="161"/>
      <c r="G411" s="161"/>
      <c r="H411" s="161"/>
      <c r="I411" s="161"/>
      <c r="J411" s="161"/>
      <c r="K411" s="161"/>
      <c r="L411" s="161"/>
      <c r="M411" s="161"/>
      <c r="N411" s="161"/>
      <c r="O411" s="161"/>
      <c r="P411" s="161"/>
      <c r="Q411" s="161"/>
      <c r="R411" s="161"/>
      <c r="S411" s="161"/>
      <c r="T411" s="161"/>
      <c r="U411" s="161"/>
      <c r="V411" s="161"/>
      <c r="W411" s="161"/>
      <c r="X411" s="161"/>
      <c r="Y411" s="161"/>
      <c r="Z411" s="161"/>
      <c r="AA411" s="161"/>
      <c r="AB411" s="161"/>
      <c r="AC411" s="161"/>
      <c r="AD411" s="161"/>
      <c r="AE411" s="161"/>
      <c r="AF411" s="161"/>
      <c r="AG411" s="161"/>
      <c r="AH411" s="161"/>
      <c r="AI411" s="161"/>
      <c r="AJ411" s="161"/>
      <c r="AK411" s="161"/>
      <c r="AL411" s="161"/>
      <c r="AM411" s="161"/>
      <c r="AN411" s="161"/>
      <c r="AO411" s="161"/>
      <c r="AP411" s="161"/>
      <c r="AQ411" s="161"/>
      <c r="AR411" s="161"/>
      <c r="AS411" s="161"/>
      <c r="AT411" s="161"/>
      <c r="AU411" s="161"/>
      <c r="AV411" s="161"/>
      <c r="AW411" s="161"/>
      <c r="AX411" s="161"/>
      <c r="AY411" s="161"/>
      <c r="AZ411" s="161"/>
      <c r="BA411" s="161"/>
      <c r="BB411" s="161"/>
      <c r="BC411" s="161"/>
      <c r="BD411" s="161"/>
      <c r="BE411" s="161"/>
      <c r="BF411" s="161"/>
      <c r="BG411" s="161"/>
      <c r="BH411" s="161"/>
      <c r="BI411" s="161"/>
      <c r="BJ411" s="161"/>
      <c r="BK411" s="161"/>
      <c r="BL411" s="161"/>
      <c r="BM411" s="161"/>
      <c r="BN411" s="161"/>
      <c r="BO411" s="161"/>
      <c r="BP411" s="161"/>
      <c r="BQ411" s="161"/>
      <c r="BR411" s="161"/>
      <c r="BS411" s="161"/>
      <c r="BT411" s="161"/>
      <c r="BU411" s="161"/>
      <c r="BV411" s="161"/>
    </row>
    <row r="412" spans="1:74">
      <c r="A412" s="161"/>
      <c r="B412" s="161"/>
      <c r="C412" s="161"/>
      <c r="D412" s="161"/>
      <c r="E412" s="161"/>
      <c r="F412" s="161"/>
      <c r="G412" s="161"/>
      <c r="H412" s="161"/>
      <c r="I412" s="161"/>
      <c r="J412" s="161"/>
      <c r="K412" s="161"/>
      <c r="L412" s="161"/>
      <c r="M412" s="161"/>
      <c r="N412" s="161"/>
      <c r="O412" s="161"/>
      <c r="P412" s="161"/>
      <c r="Q412" s="161"/>
      <c r="R412" s="161"/>
      <c r="S412" s="161"/>
      <c r="T412" s="161"/>
      <c r="U412" s="161"/>
      <c r="V412" s="161"/>
      <c r="W412" s="161"/>
      <c r="X412" s="161"/>
      <c r="Y412" s="161"/>
      <c r="Z412" s="161"/>
      <c r="AA412" s="161"/>
      <c r="AB412" s="161"/>
      <c r="AC412" s="161"/>
      <c r="AD412" s="161"/>
      <c r="AE412" s="161"/>
      <c r="AF412" s="161"/>
      <c r="AG412" s="161"/>
      <c r="AH412" s="161"/>
      <c r="AI412" s="161"/>
      <c r="AJ412" s="161"/>
      <c r="AK412" s="161"/>
      <c r="AL412" s="161"/>
      <c r="AM412" s="161"/>
      <c r="AN412" s="161"/>
      <c r="AO412" s="161"/>
      <c r="AP412" s="161"/>
      <c r="AQ412" s="161"/>
      <c r="AR412" s="161"/>
      <c r="AS412" s="161"/>
      <c r="AT412" s="161"/>
      <c r="AU412" s="161"/>
      <c r="AV412" s="161"/>
      <c r="AW412" s="161"/>
      <c r="AX412" s="161"/>
      <c r="AY412" s="161"/>
      <c r="AZ412" s="161"/>
      <c r="BA412" s="161"/>
      <c r="BB412" s="161"/>
      <c r="BC412" s="161"/>
      <c r="BD412" s="161"/>
      <c r="BE412" s="161"/>
      <c r="BF412" s="161"/>
      <c r="BG412" s="161"/>
      <c r="BH412" s="161"/>
      <c r="BI412" s="161"/>
      <c r="BJ412" s="161"/>
      <c r="BK412" s="161"/>
      <c r="BL412" s="161"/>
      <c r="BM412" s="161"/>
      <c r="BN412" s="161"/>
      <c r="BO412" s="161"/>
      <c r="BP412" s="161"/>
      <c r="BQ412" s="161"/>
      <c r="BR412" s="161"/>
      <c r="BS412" s="161"/>
      <c r="BT412" s="161"/>
      <c r="BU412" s="161"/>
      <c r="BV412" s="161"/>
    </row>
    <row r="413" spans="1:74">
      <c r="A413" s="161"/>
      <c r="B413" s="161"/>
      <c r="C413" s="161"/>
      <c r="D413" s="161"/>
      <c r="E413" s="161"/>
      <c r="F413" s="161"/>
      <c r="G413" s="161"/>
      <c r="H413" s="161"/>
      <c r="I413" s="161"/>
      <c r="J413" s="161"/>
      <c r="K413" s="161"/>
      <c r="L413" s="161"/>
      <c r="M413" s="161"/>
      <c r="N413" s="161"/>
      <c r="O413" s="161"/>
      <c r="P413" s="161"/>
      <c r="Q413" s="161"/>
      <c r="R413" s="161"/>
      <c r="S413" s="161"/>
      <c r="T413" s="161"/>
      <c r="U413" s="161"/>
      <c r="V413" s="161"/>
      <c r="W413" s="161"/>
      <c r="X413" s="161"/>
      <c r="Y413" s="161"/>
      <c r="Z413" s="161"/>
      <c r="AA413" s="161"/>
      <c r="AB413" s="161"/>
      <c r="AC413" s="161"/>
      <c r="AD413" s="161"/>
      <c r="AE413" s="161"/>
      <c r="AF413" s="161"/>
      <c r="AG413" s="161"/>
      <c r="AH413" s="161"/>
      <c r="AI413" s="161"/>
      <c r="AJ413" s="161"/>
      <c r="AK413" s="161"/>
      <c r="AL413" s="161"/>
      <c r="AM413" s="161"/>
      <c r="AN413" s="161"/>
      <c r="AO413" s="161"/>
      <c r="AP413" s="161"/>
      <c r="AQ413" s="161"/>
      <c r="AR413" s="161"/>
      <c r="AS413" s="161"/>
      <c r="AT413" s="161"/>
      <c r="AU413" s="161"/>
      <c r="AV413" s="161"/>
      <c r="AW413" s="161"/>
      <c r="AX413" s="161"/>
      <c r="AY413" s="161"/>
      <c r="AZ413" s="161"/>
      <c r="BA413" s="161"/>
      <c r="BB413" s="161"/>
      <c r="BC413" s="161"/>
      <c r="BD413" s="161"/>
      <c r="BE413" s="161"/>
      <c r="BF413" s="161"/>
      <c r="BG413" s="161"/>
      <c r="BH413" s="161"/>
      <c r="BI413" s="161"/>
      <c r="BJ413" s="161"/>
      <c r="BK413" s="161"/>
      <c r="BL413" s="161"/>
      <c r="BM413" s="161"/>
      <c r="BN413" s="161"/>
      <c r="BO413" s="161"/>
      <c r="BP413" s="161"/>
      <c r="BQ413" s="161"/>
      <c r="BR413" s="161"/>
      <c r="BS413" s="161"/>
      <c r="BT413" s="161"/>
      <c r="BU413" s="161"/>
      <c r="BV413" s="161"/>
    </row>
    <row r="414" spans="1:74">
      <c r="A414" s="161"/>
      <c r="B414" s="161"/>
      <c r="C414" s="161"/>
      <c r="D414" s="161"/>
      <c r="E414" s="161"/>
      <c r="F414" s="161"/>
      <c r="G414" s="161"/>
      <c r="H414" s="161"/>
      <c r="I414" s="161"/>
      <c r="J414" s="161"/>
      <c r="K414" s="161"/>
      <c r="L414" s="161"/>
      <c r="M414" s="161"/>
      <c r="N414" s="161"/>
      <c r="O414" s="161"/>
      <c r="P414" s="161"/>
      <c r="Q414" s="161"/>
      <c r="R414" s="161"/>
      <c r="S414" s="161"/>
      <c r="T414" s="161"/>
      <c r="U414" s="161"/>
      <c r="V414" s="161"/>
      <c r="W414" s="161"/>
      <c r="X414" s="161"/>
      <c r="Y414" s="161"/>
      <c r="Z414" s="161"/>
      <c r="AA414" s="161"/>
      <c r="AB414" s="161"/>
      <c r="AC414" s="161"/>
      <c r="AD414" s="161"/>
      <c r="AE414" s="161"/>
      <c r="AF414" s="161"/>
      <c r="AG414" s="161"/>
      <c r="AH414" s="161"/>
      <c r="AI414" s="161"/>
      <c r="AJ414" s="161"/>
      <c r="AK414" s="161"/>
      <c r="AL414" s="161"/>
      <c r="AM414" s="161"/>
      <c r="AN414" s="161"/>
      <c r="AO414" s="161"/>
      <c r="AP414" s="161"/>
      <c r="AQ414" s="161"/>
      <c r="AR414" s="161"/>
      <c r="AS414" s="161"/>
      <c r="AT414" s="161"/>
      <c r="AU414" s="161"/>
      <c r="AV414" s="161"/>
      <c r="AW414" s="161"/>
      <c r="AX414" s="161"/>
      <c r="AY414" s="161"/>
      <c r="AZ414" s="161"/>
      <c r="BA414" s="161"/>
      <c r="BB414" s="161"/>
      <c r="BC414" s="161"/>
      <c r="BD414" s="161"/>
      <c r="BE414" s="161"/>
      <c r="BF414" s="161"/>
      <c r="BG414" s="161"/>
      <c r="BH414" s="161"/>
      <c r="BI414" s="161"/>
      <c r="BJ414" s="161"/>
      <c r="BK414" s="161"/>
      <c r="BL414" s="161"/>
      <c r="BM414" s="161"/>
      <c r="BN414" s="161"/>
      <c r="BO414" s="161"/>
      <c r="BP414" s="161"/>
      <c r="BQ414" s="161"/>
      <c r="BR414" s="161"/>
      <c r="BS414" s="161"/>
      <c r="BT414" s="161"/>
      <c r="BU414" s="161"/>
      <c r="BV414" s="161"/>
    </row>
    <row r="415" spans="1:74">
      <c r="A415" s="161"/>
      <c r="J415" s="161"/>
      <c r="K415" s="161"/>
      <c r="L415" s="161"/>
      <c r="M415" s="161"/>
      <c r="N415" s="161"/>
      <c r="O415" s="161"/>
      <c r="P415" s="161"/>
      <c r="Q415" s="161"/>
      <c r="R415" s="161"/>
      <c r="S415" s="161"/>
      <c r="T415" s="161"/>
      <c r="U415" s="161"/>
      <c r="V415" s="161"/>
      <c r="W415" s="161"/>
      <c r="X415" s="161"/>
      <c r="Y415" s="161"/>
      <c r="Z415" s="161"/>
      <c r="AA415" s="161"/>
      <c r="AB415" s="161"/>
      <c r="AC415" s="161"/>
      <c r="AD415" s="161"/>
      <c r="AE415" s="161"/>
      <c r="AF415" s="161"/>
      <c r="AG415" s="161"/>
      <c r="AH415" s="161"/>
      <c r="AI415" s="161"/>
      <c r="AJ415" s="161"/>
      <c r="AK415" s="161"/>
      <c r="AL415" s="161"/>
      <c r="AM415" s="161"/>
      <c r="AN415" s="161"/>
      <c r="AO415" s="161"/>
      <c r="AP415" s="161"/>
      <c r="AQ415" s="161"/>
      <c r="AR415" s="161"/>
      <c r="AS415" s="161"/>
      <c r="AT415" s="161"/>
      <c r="AU415" s="161"/>
      <c r="AV415" s="161"/>
      <c r="AW415" s="161"/>
      <c r="AX415" s="161"/>
      <c r="AY415" s="161"/>
      <c r="AZ415" s="161"/>
      <c r="BA415" s="161"/>
      <c r="BB415" s="161"/>
      <c r="BC415" s="161"/>
      <c r="BD415" s="161"/>
      <c r="BE415" s="161"/>
      <c r="BF415" s="161"/>
      <c r="BG415" s="161"/>
      <c r="BH415" s="161"/>
      <c r="BI415" s="161"/>
      <c r="BJ415" s="161"/>
      <c r="BK415" s="161"/>
      <c r="BL415" s="161"/>
      <c r="BM415" s="161"/>
      <c r="BN415" s="161"/>
      <c r="BO415" s="161"/>
      <c r="BP415" s="161"/>
      <c r="BQ415" s="161"/>
      <c r="BR415" s="161"/>
      <c r="BS415" s="161"/>
      <c r="BT415" s="161"/>
      <c r="BU415" s="161"/>
      <c r="BV415" s="161"/>
    </row>
    <row r="416" spans="1:74">
      <c r="A416" s="161"/>
      <c r="B416" s="163" t="s">
        <v>43</v>
      </c>
      <c r="C416" s="310" t="s">
        <v>757</v>
      </c>
      <c r="D416" s="310" t="s">
        <v>758</v>
      </c>
      <c r="E416" s="310" t="s">
        <v>759</v>
      </c>
      <c r="F416" s="310" t="s">
        <v>760</v>
      </c>
      <c r="H416" s="310" t="s">
        <v>737</v>
      </c>
      <c r="I416" s="310" t="s">
        <v>553</v>
      </c>
      <c r="J416" s="161"/>
      <c r="K416" s="161"/>
      <c r="L416" s="161"/>
      <c r="M416" s="161"/>
      <c r="N416" s="161"/>
      <c r="O416" s="161"/>
      <c r="P416" s="161"/>
      <c r="Q416" s="161"/>
      <c r="R416" s="161"/>
      <c r="S416" s="161"/>
      <c r="T416" s="161"/>
      <c r="U416" s="161"/>
      <c r="V416" s="161"/>
      <c r="W416" s="161"/>
      <c r="X416" s="161"/>
      <c r="Y416" s="161"/>
      <c r="Z416" s="161"/>
      <c r="AA416" s="161"/>
      <c r="AB416" s="161"/>
      <c r="AC416" s="161"/>
      <c r="AD416" s="161"/>
      <c r="AE416" s="161"/>
      <c r="AF416" s="161"/>
      <c r="AG416" s="161"/>
      <c r="AH416" s="161"/>
      <c r="AI416" s="161"/>
      <c r="AJ416" s="161"/>
      <c r="AK416" s="161"/>
      <c r="AL416" s="161"/>
      <c r="AM416" s="161"/>
      <c r="AN416" s="161"/>
      <c r="AO416" s="161"/>
      <c r="AP416" s="161"/>
      <c r="AQ416" s="161"/>
      <c r="AR416" s="161"/>
      <c r="AS416" s="161"/>
      <c r="AT416" s="161"/>
      <c r="AU416" s="161"/>
      <c r="AV416" s="161"/>
      <c r="AW416" s="161"/>
      <c r="AX416" s="161"/>
      <c r="AY416" s="161"/>
      <c r="AZ416" s="161"/>
      <c r="BA416" s="161"/>
      <c r="BB416" s="161"/>
      <c r="BC416" s="161"/>
      <c r="BD416" s="161"/>
      <c r="BE416" s="161"/>
      <c r="BF416" s="161"/>
      <c r="BG416" s="161"/>
      <c r="BH416" s="161"/>
      <c r="BI416" s="161"/>
      <c r="BJ416" s="161"/>
      <c r="BK416" s="161"/>
      <c r="BL416" s="161"/>
      <c r="BM416" s="161"/>
      <c r="BN416" s="161"/>
      <c r="BO416" s="161"/>
      <c r="BP416" s="161"/>
      <c r="BQ416" s="161"/>
      <c r="BR416" s="161"/>
      <c r="BS416" s="161"/>
      <c r="BT416" s="161"/>
      <c r="BU416" s="161"/>
      <c r="BV416" s="161"/>
    </row>
    <row r="417" spans="1:74">
      <c r="A417" s="161"/>
      <c r="B417" s="161" t="s">
        <v>122</v>
      </c>
      <c r="C417" s="309">
        <f>Quarts!BH72</f>
        <v>7152.1880000000001</v>
      </c>
      <c r="D417" s="309">
        <f>Quarts!BI72</f>
        <v>7373.6940000000004</v>
      </c>
      <c r="E417" s="309">
        <f>Quarts!BJ72</f>
        <v>7490.7309999999998</v>
      </c>
      <c r="F417" s="309">
        <f>Quarts!BK72</f>
        <v>7853.9269999999997</v>
      </c>
      <c r="H417" s="309">
        <f>SUM(C417:F417)</f>
        <v>29870.54</v>
      </c>
      <c r="I417" s="309">
        <f>SUM(Quarts!BL72:BO72)</f>
        <v>32840.848000000005</v>
      </c>
      <c r="J417" s="161"/>
      <c r="K417" s="161"/>
      <c r="L417" s="161"/>
      <c r="M417" s="161"/>
      <c r="N417" s="161"/>
      <c r="O417" s="161"/>
      <c r="P417" s="161"/>
      <c r="Q417" s="161"/>
      <c r="R417" s="161"/>
      <c r="S417" s="161"/>
      <c r="T417" s="161"/>
      <c r="U417" s="161"/>
      <c r="V417" s="161"/>
      <c r="W417" s="161"/>
      <c r="X417" s="161"/>
      <c r="Y417" s="161"/>
      <c r="Z417" s="161"/>
      <c r="AA417" s="161"/>
      <c r="AB417" s="161"/>
      <c r="AC417" s="161"/>
      <c r="AD417" s="161"/>
      <c r="AE417" s="161"/>
      <c r="AF417" s="161"/>
      <c r="AG417" s="161"/>
      <c r="AH417" s="161"/>
      <c r="AI417" s="161"/>
      <c r="AJ417" s="161"/>
      <c r="AK417" s="161"/>
      <c r="AL417" s="161"/>
      <c r="AM417" s="161"/>
      <c r="AN417" s="161"/>
      <c r="AO417" s="161"/>
      <c r="AP417" s="161"/>
      <c r="AQ417" s="161"/>
      <c r="AR417" s="161"/>
      <c r="AS417" s="161"/>
      <c r="AT417" s="161"/>
      <c r="AU417" s="161"/>
      <c r="AV417" s="161"/>
      <c r="AW417" s="161"/>
      <c r="AX417" s="161"/>
      <c r="AY417" s="161"/>
      <c r="AZ417" s="161"/>
      <c r="BA417" s="161"/>
      <c r="BB417" s="161"/>
      <c r="BC417" s="161"/>
      <c r="BD417" s="161"/>
      <c r="BE417" s="161"/>
      <c r="BF417" s="161"/>
      <c r="BG417" s="161"/>
      <c r="BH417" s="161"/>
      <c r="BI417" s="161"/>
      <c r="BJ417" s="161"/>
      <c r="BK417" s="161"/>
      <c r="BL417" s="161"/>
      <c r="BM417" s="161"/>
      <c r="BN417" s="161"/>
      <c r="BO417" s="161"/>
      <c r="BP417" s="161"/>
      <c r="BQ417" s="161"/>
      <c r="BR417" s="161"/>
      <c r="BS417" s="161"/>
      <c r="BT417" s="161"/>
      <c r="BU417" s="161"/>
      <c r="BV417" s="161"/>
    </row>
    <row r="418" spans="1:74">
      <c r="A418" s="161"/>
      <c r="B418" s="161" t="s">
        <v>678</v>
      </c>
      <c r="C418" s="309">
        <v>9826</v>
      </c>
      <c r="D418" s="309">
        <v>9867</v>
      </c>
      <c r="E418" s="309">
        <v>10136</v>
      </c>
      <c r="F418" s="309">
        <v>10674</v>
      </c>
      <c r="H418" s="309">
        <f>SUM(C418:F418)</f>
        <v>40503</v>
      </c>
      <c r="I418" s="309">
        <v>44696.244041599995</v>
      </c>
      <c r="J418" s="161"/>
      <c r="K418" s="161"/>
      <c r="L418" s="161"/>
      <c r="M418" s="161"/>
      <c r="N418" s="161"/>
      <c r="O418" s="161"/>
      <c r="P418" s="161"/>
      <c r="Q418" s="161"/>
      <c r="R418" s="161"/>
      <c r="S418" s="161"/>
      <c r="T418" s="161"/>
      <c r="U418" s="161"/>
      <c r="V418" s="161"/>
      <c r="W418" s="161"/>
      <c r="X418" s="161"/>
      <c r="Y418" s="161"/>
      <c r="Z418" s="161"/>
      <c r="AA418" s="161"/>
      <c r="AB418" s="161"/>
      <c r="AC418" s="161"/>
      <c r="AD418" s="161"/>
      <c r="AE418" s="161"/>
      <c r="AF418" s="161"/>
      <c r="AG418" s="161"/>
      <c r="AH418" s="161"/>
      <c r="AI418" s="161"/>
      <c r="AJ418" s="161"/>
      <c r="AK418" s="161"/>
      <c r="AL418" s="161"/>
      <c r="AM418" s="161"/>
      <c r="AN418" s="161"/>
      <c r="AO418" s="161"/>
      <c r="AP418" s="161"/>
      <c r="AQ418" s="161"/>
      <c r="AR418" s="161"/>
      <c r="AS418" s="161"/>
      <c r="AT418" s="161"/>
      <c r="AU418" s="161"/>
      <c r="AV418" s="161"/>
      <c r="AW418" s="161"/>
      <c r="AX418" s="161"/>
      <c r="AY418" s="161"/>
      <c r="AZ418" s="161"/>
      <c r="BA418" s="161"/>
      <c r="BB418" s="161"/>
      <c r="BC418" s="161"/>
      <c r="BD418" s="161"/>
      <c r="BE418" s="161"/>
      <c r="BF418" s="161"/>
      <c r="BG418" s="161"/>
      <c r="BH418" s="161"/>
      <c r="BI418" s="161"/>
      <c r="BJ418" s="161"/>
      <c r="BK418" s="161"/>
      <c r="BL418" s="161"/>
      <c r="BM418" s="161"/>
      <c r="BN418" s="161"/>
      <c r="BO418" s="161"/>
      <c r="BP418" s="161"/>
      <c r="BQ418" s="161"/>
      <c r="BR418" s="161"/>
      <c r="BS418" s="161"/>
      <c r="BT418" s="161"/>
      <c r="BU418" s="161"/>
      <c r="BV418" s="161"/>
    </row>
    <row r="419" spans="1:74">
      <c r="A419" s="161"/>
      <c r="B419" s="161" t="s">
        <v>728</v>
      </c>
      <c r="C419" s="309">
        <v>12122.7</v>
      </c>
      <c r="D419" s="309">
        <v>12291.5</v>
      </c>
      <c r="E419" s="309">
        <v>12147.9</v>
      </c>
      <c r="F419" s="309">
        <v>12240.4</v>
      </c>
      <c r="H419" s="309">
        <f>SUM(C419:F419)</f>
        <v>48802.5</v>
      </c>
      <c r="I419" s="309">
        <v>50366.426424999998</v>
      </c>
      <c r="J419" s="161"/>
      <c r="K419" s="161"/>
      <c r="L419" s="161"/>
      <c r="M419" s="161"/>
      <c r="N419" s="161"/>
      <c r="O419" s="161"/>
      <c r="P419" s="161"/>
      <c r="Q419" s="161"/>
      <c r="R419" s="161"/>
      <c r="S419" s="161"/>
      <c r="T419" s="161"/>
      <c r="U419" s="161"/>
      <c r="V419" s="161"/>
      <c r="W419" s="161"/>
      <c r="X419" s="161"/>
      <c r="Y419" s="161"/>
      <c r="Z419" s="161"/>
      <c r="AA419" s="161"/>
      <c r="AB419" s="161"/>
      <c r="AC419" s="161"/>
      <c r="AD419" s="161"/>
      <c r="AE419" s="161"/>
      <c r="AF419" s="161"/>
      <c r="AG419" s="161"/>
      <c r="AH419" s="161"/>
      <c r="AI419" s="161"/>
      <c r="AJ419" s="161"/>
      <c r="AK419" s="161"/>
      <c r="AL419" s="161"/>
      <c r="AM419" s="161"/>
      <c r="AN419" s="161"/>
      <c r="AO419" s="161"/>
      <c r="AP419" s="161"/>
      <c r="AQ419" s="161"/>
      <c r="AR419" s="161"/>
      <c r="AS419" s="161"/>
      <c r="AT419" s="161"/>
      <c r="AU419" s="161"/>
      <c r="AV419" s="161"/>
      <c r="AW419" s="161"/>
      <c r="AX419" s="161"/>
      <c r="AY419" s="161"/>
      <c r="AZ419" s="161"/>
      <c r="BA419" s="161"/>
      <c r="BB419" s="161"/>
      <c r="BC419" s="161"/>
      <c r="BD419" s="161"/>
      <c r="BE419" s="161"/>
      <c r="BF419" s="161"/>
      <c r="BG419" s="161"/>
      <c r="BH419" s="161"/>
      <c r="BI419" s="161"/>
      <c r="BJ419" s="161"/>
      <c r="BK419" s="161"/>
      <c r="BL419" s="161"/>
      <c r="BM419" s="161"/>
      <c r="BN419" s="161"/>
      <c r="BO419" s="161"/>
      <c r="BP419" s="161"/>
      <c r="BQ419" s="161"/>
      <c r="BR419" s="161"/>
      <c r="BS419" s="161"/>
      <c r="BT419" s="161"/>
      <c r="BU419" s="161"/>
      <c r="BV419" s="161"/>
    </row>
    <row r="420" spans="1:74">
      <c r="A420" s="161"/>
      <c r="B420" s="161"/>
      <c r="C420" s="161"/>
      <c r="D420" s="161"/>
      <c r="E420" s="161"/>
      <c r="F420" s="161"/>
      <c r="G420" s="161"/>
      <c r="H420" s="161"/>
      <c r="I420" s="161"/>
      <c r="J420" s="161"/>
      <c r="K420" s="161"/>
      <c r="L420" s="161"/>
      <c r="M420" s="161"/>
      <c r="N420" s="161"/>
      <c r="O420" s="161"/>
      <c r="P420" s="161"/>
      <c r="Q420" s="161"/>
      <c r="R420" s="161"/>
      <c r="S420" s="161"/>
      <c r="T420" s="161"/>
      <c r="U420" s="161"/>
      <c r="V420" s="161"/>
      <c r="W420" s="161"/>
      <c r="X420" s="161"/>
      <c r="Y420" s="161"/>
      <c r="Z420" s="161"/>
      <c r="AA420" s="161"/>
      <c r="AB420" s="161"/>
      <c r="AC420" s="161"/>
      <c r="AD420" s="161"/>
      <c r="AE420" s="161"/>
      <c r="AF420" s="161"/>
      <c r="AG420" s="161"/>
      <c r="AH420" s="161"/>
      <c r="AI420" s="161"/>
      <c r="AJ420" s="161"/>
      <c r="AK420" s="161"/>
      <c r="AL420" s="161"/>
      <c r="AM420" s="161"/>
      <c r="AN420" s="161"/>
      <c r="AO420" s="161"/>
      <c r="AP420" s="161"/>
      <c r="AQ420" s="161"/>
      <c r="AR420" s="161"/>
      <c r="AS420" s="161"/>
      <c r="AT420" s="161"/>
      <c r="AU420" s="161"/>
      <c r="AV420" s="161"/>
      <c r="AW420" s="161"/>
      <c r="AX420" s="161"/>
      <c r="AY420" s="161"/>
      <c r="AZ420" s="161"/>
      <c r="BA420" s="161"/>
      <c r="BB420" s="161"/>
      <c r="BC420" s="161"/>
      <c r="BD420" s="161"/>
      <c r="BE420" s="161"/>
      <c r="BF420" s="161"/>
      <c r="BG420" s="161"/>
      <c r="BH420" s="161"/>
      <c r="BI420" s="161"/>
      <c r="BJ420" s="161"/>
      <c r="BK420" s="161"/>
      <c r="BL420" s="161"/>
      <c r="BM420" s="161"/>
      <c r="BN420" s="161"/>
      <c r="BO420" s="161"/>
      <c r="BP420" s="161"/>
      <c r="BQ420" s="161"/>
      <c r="BR420" s="161"/>
      <c r="BS420" s="161"/>
      <c r="BT420" s="161"/>
      <c r="BU420" s="161"/>
      <c r="BV420" s="161"/>
    </row>
    <row r="421" spans="1:74">
      <c r="A421" s="161"/>
      <c r="B421" s="161"/>
      <c r="C421" s="161"/>
      <c r="D421" s="161"/>
      <c r="E421" s="161"/>
      <c r="F421" s="161"/>
      <c r="G421" s="161"/>
      <c r="H421" s="161"/>
      <c r="I421" s="161"/>
      <c r="J421" s="161"/>
      <c r="K421" s="161"/>
      <c r="L421" s="161"/>
      <c r="M421" s="161"/>
      <c r="N421" s="161"/>
      <c r="O421" s="161"/>
      <c r="P421" s="161"/>
      <c r="Q421" s="161"/>
      <c r="R421" s="161"/>
      <c r="S421" s="161"/>
      <c r="T421" s="161"/>
      <c r="U421" s="161"/>
      <c r="V421" s="161"/>
      <c r="W421" s="161"/>
      <c r="X421" s="161"/>
      <c r="Y421" s="161"/>
      <c r="Z421" s="161"/>
      <c r="AA421" s="161"/>
      <c r="AB421" s="161"/>
      <c r="AC421" s="161"/>
      <c r="AD421" s="161"/>
      <c r="AE421" s="161"/>
      <c r="AF421" s="161"/>
      <c r="AG421" s="161"/>
      <c r="AH421" s="161"/>
      <c r="AI421" s="161"/>
      <c r="AJ421" s="161"/>
      <c r="AK421" s="161"/>
      <c r="AL421" s="161"/>
      <c r="AM421" s="161"/>
      <c r="AN421" s="161"/>
      <c r="AO421" s="161"/>
      <c r="AP421" s="161"/>
      <c r="AQ421" s="161"/>
      <c r="AR421" s="161"/>
      <c r="AS421" s="161"/>
      <c r="AT421" s="161"/>
      <c r="AU421" s="161"/>
      <c r="AV421" s="161"/>
      <c r="AW421" s="161"/>
      <c r="AX421" s="161"/>
      <c r="AY421" s="161"/>
      <c r="AZ421" s="161"/>
      <c r="BA421" s="161"/>
      <c r="BB421" s="161"/>
      <c r="BC421" s="161"/>
      <c r="BD421" s="161"/>
      <c r="BE421" s="161"/>
      <c r="BF421" s="161"/>
      <c r="BG421" s="161"/>
      <c r="BH421" s="161"/>
      <c r="BI421" s="161"/>
      <c r="BJ421" s="161"/>
      <c r="BK421" s="161"/>
      <c r="BL421" s="161"/>
      <c r="BM421" s="161"/>
      <c r="BN421" s="161"/>
      <c r="BO421" s="161"/>
      <c r="BP421" s="161"/>
      <c r="BQ421" s="161"/>
      <c r="BR421" s="161"/>
      <c r="BS421" s="161"/>
      <c r="BT421" s="161"/>
      <c r="BU421" s="161"/>
      <c r="BV421" s="161"/>
    </row>
    <row r="422" spans="1:74">
      <c r="A422" s="161"/>
      <c r="B422" s="163" t="s">
        <v>295</v>
      </c>
      <c r="C422" s="310" t="s">
        <v>757</v>
      </c>
      <c r="D422" s="310" t="s">
        <v>758</v>
      </c>
      <c r="E422" s="310" t="s">
        <v>759</v>
      </c>
      <c r="F422" s="310" t="s">
        <v>760</v>
      </c>
      <c r="H422" s="310" t="s">
        <v>737</v>
      </c>
      <c r="I422" s="310" t="s">
        <v>553</v>
      </c>
      <c r="J422" s="161"/>
      <c r="K422" s="161"/>
      <c r="L422" s="161"/>
      <c r="M422" s="161"/>
      <c r="N422" s="161"/>
      <c r="O422" s="161"/>
      <c r="P422" s="161"/>
      <c r="Q422" s="161"/>
      <c r="R422" s="161"/>
      <c r="S422" s="161"/>
      <c r="T422" s="161"/>
      <c r="U422" s="161"/>
      <c r="V422" s="161"/>
      <c r="W422" s="161"/>
      <c r="X422" s="161"/>
      <c r="Y422" s="161"/>
      <c r="Z422" s="161"/>
      <c r="AA422" s="161"/>
      <c r="AB422" s="161"/>
      <c r="AC422" s="161"/>
      <c r="AD422" s="161"/>
      <c r="AE422" s="161"/>
      <c r="AF422" s="161"/>
      <c r="AG422" s="161"/>
      <c r="AH422" s="161"/>
      <c r="AI422" s="161"/>
      <c r="AJ422" s="161"/>
      <c r="AK422" s="161"/>
      <c r="AL422" s="161"/>
      <c r="AM422" s="161"/>
      <c r="AN422" s="161"/>
      <c r="AO422" s="161"/>
      <c r="AP422" s="161"/>
      <c r="AQ422" s="161"/>
      <c r="AR422" s="161"/>
      <c r="AS422" s="161"/>
      <c r="AT422" s="161"/>
      <c r="AU422" s="161"/>
      <c r="AV422" s="161"/>
      <c r="AW422" s="161"/>
      <c r="AX422" s="161"/>
      <c r="AY422" s="161"/>
      <c r="AZ422" s="161"/>
      <c r="BA422" s="161"/>
      <c r="BB422" s="161"/>
      <c r="BC422" s="161"/>
      <c r="BD422" s="161"/>
      <c r="BE422" s="161"/>
      <c r="BF422" s="161"/>
      <c r="BG422" s="161"/>
      <c r="BH422" s="161"/>
      <c r="BI422" s="161"/>
      <c r="BJ422" s="161"/>
      <c r="BK422" s="161"/>
      <c r="BL422" s="161"/>
      <c r="BM422" s="161"/>
      <c r="BN422" s="161"/>
      <c r="BO422" s="161"/>
      <c r="BP422" s="161"/>
      <c r="BQ422" s="161"/>
      <c r="BR422" s="161"/>
      <c r="BS422" s="161"/>
      <c r="BT422" s="161"/>
      <c r="BU422" s="161"/>
      <c r="BV422" s="161"/>
    </row>
    <row r="423" spans="1:74">
      <c r="A423" s="161"/>
      <c r="B423" s="161" t="s">
        <v>122</v>
      </c>
      <c r="C423" s="309">
        <f>Quarts!BH140</f>
        <v>3268.6950000000002</v>
      </c>
      <c r="D423" s="309">
        <f>Quarts!BI140</f>
        <v>3287.3739999999998</v>
      </c>
      <c r="E423" s="309">
        <f>Quarts!BJ140</f>
        <v>3306.2489999999998</v>
      </c>
      <c r="F423" s="309">
        <f>Quarts!BK140</f>
        <v>3457.6759999999999</v>
      </c>
      <c r="H423" s="309">
        <f>SUM(C423:F423)</f>
        <v>13319.993999999999</v>
      </c>
      <c r="I423" s="309">
        <f>SUM(Quarts!BL140:BO140)</f>
        <v>14629.851999999999</v>
      </c>
      <c r="J423" s="161"/>
      <c r="K423" s="161"/>
      <c r="L423" s="161"/>
      <c r="M423" s="161"/>
      <c r="N423" s="161"/>
      <c r="O423" s="161"/>
      <c r="P423" s="161"/>
      <c r="Q423" s="161"/>
      <c r="R423" s="161"/>
      <c r="S423" s="161"/>
      <c r="T423" s="161"/>
      <c r="U423" s="161"/>
      <c r="V423" s="161"/>
      <c r="W423" s="161"/>
      <c r="X423" s="161"/>
      <c r="Y423" s="161"/>
      <c r="Z423" s="161"/>
      <c r="AA423" s="161"/>
      <c r="AB423" s="161"/>
      <c r="AC423" s="161"/>
      <c r="AD423" s="161"/>
      <c r="AE423" s="161"/>
      <c r="AF423" s="161"/>
      <c r="AG423" s="161"/>
      <c r="AH423" s="161"/>
      <c r="AI423" s="161"/>
      <c r="AJ423" s="161"/>
      <c r="AK423" s="161"/>
      <c r="AL423" s="161"/>
      <c r="AM423" s="161"/>
      <c r="AN423" s="161"/>
      <c r="AO423" s="161"/>
      <c r="AP423" s="161"/>
      <c r="AQ423" s="161"/>
      <c r="AR423" s="161"/>
      <c r="AS423" s="161"/>
      <c r="AT423" s="161"/>
      <c r="AU423" s="161"/>
      <c r="AV423" s="161"/>
      <c r="AW423" s="161"/>
      <c r="AX423" s="161"/>
      <c r="AY423" s="161"/>
      <c r="AZ423" s="161"/>
      <c r="BA423" s="161"/>
      <c r="BB423" s="161"/>
      <c r="BC423" s="161"/>
      <c r="BD423" s="161"/>
      <c r="BE423" s="161"/>
      <c r="BF423" s="161"/>
      <c r="BG423" s="161"/>
      <c r="BH423" s="161"/>
      <c r="BI423" s="161"/>
      <c r="BJ423" s="161"/>
      <c r="BK423" s="161"/>
      <c r="BL423" s="161"/>
      <c r="BM423" s="161"/>
      <c r="BN423" s="161"/>
      <c r="BO423" s="161"/>
      <c r="BP423" s="161"/>
      <c r="BQ423" s="161"/>
      <c r="BR423" s="161"/>
      <c r="BS423" s="161"/>
      <c r="BT423" s="161"/>
      <c r="BU423" s="161"/>
      <c r="BV423" s="161"/>
    </row>
    <row r="424" spans="1:74">
      <c r="A424" s="161"/>
      <c r="B424" s="161" t="s">
        <v>678</v>
      </c>
      <c r="C424" s="309">
        <v>4434</v>
      </c>
      <c r="D424" s="309">
        <v>4377</v>
      </c>
      <c r="E424" s="309">
        <v>4814</v>
      </c>
      <c r="F424" s="309">
        <v>4736</v>
      </c>
      <c r="H424" s="309">
        <f>SUM(C424:F424)</f>
        <v>18361</v>
      </c>
      <c r="I424" s="309">
        <v>20261.900028339074</v>
      </c>
      <c r="J424" s="161"/>
      <c r="K424" s="161"/>
      <c r="L424" s="161"/>
      <c r="M424" s="161"/>
      <c r="N424" s="161"/>
      <c r="O424" s="161"/>
      <c r="P424" s="161"/>
      <c r="Q424" s="161"/>
      <c r="R424" s="161"/>
      <c r="S424" s="161"/>
      <c r="T424" s="161"/>
      <c r="U424" s="161"/>
      <c r="V424" s="161"/>
      <c r="W424" s="161"/>
      <c r="X424" s="161"/>
      <c r="Y424" s="161"/>
      <c r="Z424" s="161"/>
      <c r="AA424" s="161"/>
      <c r="AB424" s="161"/>
      <c r="AC424" s="161"/>
      <c r="AD424" s="161"/>
      <c r="AE424" s="161"/>
      <c r="AF424" s="161"/>
      <c r="AG424" s="161"/>
      <c r="AH424" s="161"/>
      <c r="AI424" s="161"/>
      <c r="AJ424" s="161"/>
      <c r="AK424" s="161"/>
      <c r="AL424" s="161"/>
      <c r="AM424" s="161"/>
      <c r="AN424" s="161"/>
      <c r="AO424" s="161"/>
      <c r="AP424" s="161"/>
      <c r="AQ424" s="161"/>
      <c r="AR424" s="161"/>
      <c r="AS424" s="161"/>
      <c r="AT424" s="161"/>
      <c r="AU424" s="161"/>
      <c r="AV424" s="161"/>
      <c r="AW424" s="161"/>
      <c r="AX424" s="161"/>
      <c r="AY424" s="161"/>
      <c r="AZ424" s="161"/>
      <c r="BA424" s="161"/>
      <c r="BB424" s="161"/>
      <c r="BC424" s="161"/>
      <c r="BD424" s="161"/>
      <c r="BE424" s="161"/>
      <c r="BF424" s="161"/>
      <c r="BG424" s="161"/>
      <c r="BH424" s="161"/>
      <c r="BI424" s="161"/>
      <c r="BJ424" s="161"/>
      <c r="BK424" s="161"/>
      <c r="BL424" s="161"/>
      <c r="BM424" s="161"/>
      <c r="BN424" s="161"/>
      <c r="BO424" s="161"/>
      <c r="BP424" s="161"/>
      <c r="BQ424" s="161"/>
      <c r="BR424" s="161"/>
      <c r="BS424" s="161"/>
      <c r="BT424" s="161"/>
      <c r="BU424" s="161"/>
      <c r="BV424" s="161"/>
    </row>
    <row r="425" spans="1:74">
      <c r="A425" s="161"/>
      <c r="B425" s="161" t="s">
        <v>728</v>
      </c>
      <c r="C425" s="309">
        <v>4957</v>
      </c>
      <c r="D425" s="309">
        <v>4841.3999999999996</v>
      </c>
      <c r="E425" s="309">
        <v>4320.8</v>
      </c>
      <c r="F425" s="309">
        <v>4701.8</v>
      </c>
      <c r="H425" s="309">
        <f>SUM(C425:F425)</f>
        <v>18821</v>
      </c>
      <c r="I425" s="309">
        <v>19164.4252547125</v>
      </c>
      <c r="J425" s="161"/>
      <c r="K425" s="161"/>
      <c r="L425" s="161"/>
      <c r="M425" s="161"/>
      <c r="N425" s="161"/>
      <c r="O425" s="161"/>
      <c r="P425" s="161"/>
      <c r="Q425" s="161"/>
      <c r="R425" s="161"/>
      <c r="S425" s="161"/>
      <c r="T425" s="161"/>
      <c r="U425" s="161"/>
      <c r="V425" s="161"/>
      <c r="W425" s="161"/>
      <c r="X425" s="161"/>
      <c r="Y425" s="161"/>
      <c r="Z425" s="161"/>
      <c r="AA425" s="161"/>
      <c r="AB425" s="161"/>
      <c r="AC425" s="161"/>
      <c r="AD425" s="161"/>
      <c r="AE425" s="161"/>
      <c r="AF425" s="161"/>
      <c r="AG425" s="161"/>
      <c r="AH425" s="161"/>
      <c r="AI425" s="161"/>
      <c r="AJ425" s="161"/>
      <c r="AK425" s="161"/>
      <c r="AL425" s="161"/>
      <c r="AM425" s="161"/>
      <c r="AN425" s="161"/>
      <c r="AO425" s="161"/>
      <c r="AP425" s="161"/>
      <c r="AQ425" s="161"/>
      <c r="AR425" s="161"/>
      <c r="AS425" s="161"/>
      <c r="AT425" s="161"/>
      <c r="AU425" s="161"/>
      <c r="AV425" s="161"/>
      <c r="AW425" s="161"/>
      <c r="AX425" s="161"/>
      <c r="AY425" s="161"/>
      <c r="AZ425" s="161"/>
      <c r="BA425" s="161"/>
      <c r="BB425" s="161"/>
      <c r="BC425" s="161"/>
      <c r="BD425" s="161"/>
      <c r="BE425" s="161"/>
      <c r="BF425" s="161"/>
      <c r="BG425" s="161"/>
      <c r="BH425" s="161"/>
      <c r="BI425" s="161"/>
      <c r="BJ425" s="161"/>
      <c r="BK425" s="161"/>
      <c r="BL425" s="161"/>
      <c r="BM425" s="161"/>
      <c r="BN425" s="161"/>
      <c r="BO425" s="161"/>
      <c r="BP425" s="161"/>
      <c r="BQ425" s="161"/>
      <c r="BR425" s="161"/>
      <c r="BS425" s="161"/>
      <c r="BT425" s="161"/>
      <c r="BU425" s="161"/>
      <c r="BV425" s="161"/>
    </row>
    <row r="426" spans="1:74">
      <c r="A426" s="161"/>
      <c r="J426" s="161"/>
      <c r="K426" s="161"/>
      <c r="L426" s="161"/>
      <c r="M426" s="161"/>
      <c r="N426" s="161"/>
      <c r="O426" s="161"/>
      <c r="P426" s="161"/>
      <c r="Q426" s="161"/>
      <c r="R426" s="161"/>
      <c r="S426" s="161"/>
      <c r="T426" s="161"/>
      <c r="U426" s="161"/>
      <c r="V426" s="161"/>
      <c r="W426" s="161"/>
      <c r="X426" s="161"/>
      <c r="Y426" s="161"/>
      <c r="Z426" s="161"/>
      <c r="AA426" s="161"/>
      <c r="AB426" s="161"/>
      <c r="AC426" s="161"/>
      <c r="AD426" s="161"/>
      <c r="AE426" s="161"/>
      <c r="AF426" s="161"/>
      <c r="AG426" s="161"/>
      <c r="AH426" s="161"/>
      <c r="AI426" s="161"/>
      <c r="AJ426" s="161"/>
      <c r="AK426" s="161"/>
      <c r="AL426" s="161"/>
      <c r="AM426" s="161"/>
      <c r="AN426" s="161"/>
      <c r="AO426" s="161"/>
      <c r="AP426" s="161"/>
      <c r="AQ426" s="161"/>
      <c r="AR426" s="161"/>
      <c r="AS426" s="161"/>
      <c r="AT426" s="161"/>
      <c r="AU426" s="161"/>
      <c r="AV426" s="161"/>
      <c r="AW426" s="161"/>
      <c r="AX426" s="161"/>
      <c r="AY426" s="161"/>
      <c r="AZ426" s="161"/>
      <c r="BA426" s="161"/>
      <c r="BB426" s="161"/>
      <c r="BC426" s="161"/>
      <c r="BD426" s="161"/>
      <c r="BE426" s="161"/>
      <c r="BF426" s="161"/>
      <c r="BG426" s="161"/>
      <c r="BH426" s="161"/>
      <c r="BI426" s="161"/>
      <c r="BJ426" s="161"/>
      <c r="BK426" s="161"/>
      <c r="BL426" s="161"/>
      <c r="BM426" s="161"/>
      <c r="BN426" s="161"/>
      <c r="BO426" s="161"/>
      <c r="BP426" s="161"/>
      <c r="BQ426" s="161"/>
      <c r="BR426" s="161"/>
      <c r="BS426" s="161"/>
      <c r="BT426" s="161"/>
      <c r="BU426" s="161"/>
      <c r="BV426" s="161"/>
    </row>
    <row r="427" spans="1:74">
      <c r="A427" s="161"/>
      <c r="C427" s="309"/>
      <c r="D427" s="309"/>
      <c r="E427" s="309"/>
      <c r="F427" s="309"/>
      <c r="H427" s="309"/>
      <c r="I427" s="309"/>
      <c r="J427" s="161"/>
      <c r="K427" s="161"/>
      <c r="L427" s="161"/>
      <c r="M427" s="161"/>
      <c r="N427" s="161"/>
      <c r="O427" s="161"/>
      <c r="P427" s="161"/>
      <c r="Q427" s="161"/>
      <c r="R427" s="161"/>
      <c r="S427" s="161"/>
      <c r="T427" s="161"/>
      <c r="U427" s="161"/>
      <c r="V427" s="161"/>
      <c r="W427" s="161"/>
      <c r="X427" s="161"/>
      <c r="Y427" s="161"/>
      <c r="Z427" s="161"/>
      <c r="AA427" s="161"/>
      <c r="AB427" s="161"/>
      <c r="AC427" s="161"/>
      <c r="AD427" s="161"/>
      <c r="AE427" s="161"/>
      <c r="AF427" s="161"/>
      <c r="AG427" s="161"/>
      <c r="AH427" s="161"/>
      <c r="AI427" s="161"/>
      <c r="AJ427" s="161"/>
      <c r="AK427" s="161"/>
      <c r="AL427" s="161"/>
      <c r="AM427" s="161"/>
      <c r="AN427" s="161"/>
      <c r="AO427" s="161"/>
      <c r="AP427" s="161"/>
      <c r="AQ427" s="161"/>
      <c r="AR427" s="161"/>
      <c r="AS427" s="161"/>
      <c r="AT427" s="161"/>
      <c r="AU427" s="161"/>
      <c r="AV427" s="161"/>
      <c r="AW427" s="161"/>
      <c r="AX427" s="161"/>
      <c r="AY427" s="161"/>
      <c r="AZ427" s="161"/>
      <c r="BA427" s="161"/>
      <c r="BB427" s="161"/>
      <c r="BC427" s="161"/>
      <c r="BD427" s="161"/>
      <c r="BE427" s="161"/>
      <c r="BF427" s="161"/>
      <c r="BG427" s="161"/>
      <c r="BH427" s="161"/>
      <c r="BI427" s="161"/>
      <c r="BJ427" s="161"/>
      <c r="BK427" s="161"/>
      <c r="BL427" s="161"/>
      <c r="BM427" s="161"/>
      <c r="BN427" s="161"/>
      <c r="BO427" s="161"/>
      <c r="BP427" s="161"/>
      <c r="BQ427" s="161"/>
      <c r="BR427" s="161"/>
      <c r="BS427" s="161"/>
      <c r="BT427" s="161"/>
      <c r="BU427" s="161"/>
      <c r="BV427" s="161"/>
    </row>
    <row r="428" spans="1:74">
      <c r="A428" s="161"/>
      <c r="B428" s="163" t="s">
        <v>147</v>
      </c>
      <c r="C428" s="310" t="s">
        <v>757</v>
      </c>
      <c r="D428" s="310" t="s">
        <v>758</v>
      </c>
      <c r="E428" s="310" t="s">
        <v>759</v>
      </c>
      <c r="F428" s="310" t="s">
        <v>760</v>
      </c>
      <c r="H428" s="310" t="s">
        <v>737</v>
      </c>
      <c r="I428" s="310" t="s">
        <v>553</v>
      </c>
      <c r="J428" s="161"/>
      <c r="K428" s="161"/>
      <c r="L428" s="161"/>
      <c r="M428" s="161"/>
      <c r="N428" s="161"/>
      <c r="O428" s="161"/>
      <c r="P428" s="161"/>
      <c r="Q428" s="161"/>
      <c r="R428" s="161"/>
      <c r="S428" s="161"/>
      <c r="T428" s="161"/>
      <c r="U428" s="161"/>
      <c r="V428" s="161"/>
      <c r="W428" s="161"/>
      <c r="X428" s="161"/>
      <c r="Y428" s="161"/>
      <c r="Z428" s="161"/>
      <c r="AA428" s="161"/>
      <c r="AB428" s="161"/>
      <c r="AC428" s="161"/>
      <c r="AD428" s="161"/>
      <c r="AE428" s="161"/>
      <c r="AF428" s="161"/>
      <c r="AG428" s="161"/>
      <c r="AH428" s="161"/>
      <c r="AI428" s="161"/>
      <c r="AJ428" s="161"/>
      <c r="AK428" s="161"/>
      <c r="AL428" s="161"/>
      <c r="AM428" s="161"/>
      <c r="AN428" s="161"/>
      <c r="AO428" s="161"/>
      <c r="AP428" s="161"/>
      <c r="AQ428" s="161"/>
      <c r="AR428" s="161"/>
      <c r="AS428" s="161"/>
      <c r="AT428" s="161"/>
      <c r="AU428" s="161"/>
      <c r="AV428" s="161"/>
      <c r="AW428" s="161"/>
      <c r="AX428" s="161"/>
      <c r="AY428" s="161"/>
      <c r="AZ428" s="161"/>
      <c r="BA428" s="161"/>
      <c r="BB428" s="161"/>
      <c r="BC428" s="161"/>
      <c r="BD428" s="161"/>
      <c r="BE428" s="161"/>
      <c r="BF428" s="161"/>
      <c r="BG428" s="161"/>
      <c r="BH428" s="161"/>
      <c r="BI428" s="161"/>
      <c r="BJ428" s="161"/>
      <c r="BK428" s="161"/>
      <c r="BL428" s="161"/>
      <c r="BM428" s="161"/>
      <c r="BN428" s="161"/>
      <c r="BO428" s="161"/>
      <c r="BP428" s="161"/>
      <c r="BQ428" s="161"/>
      <c r="BR428" s="161"/>
      <c r="BS428" s="161"/>
      <c r="BT428" s="161"/>
      <c r="BU428" s="161"/>
      <c r="BV428" s="161"/>
    </row>
    <row r="429" spans="1:74">
      <c r="A429" s="161"/>
      <c r="B429" s="161" t="s">
        <v>122</v>
      </c>
      <c r="C429" s="309">
        <f>Quarts!BH159</f>
        <v>2235</v>
      </c>
      <c r="D429" s="309">
        <f>Quarts!BI159</f>
        <v>2930</v>
      </c>
      <c r="E429" s="309">
        <f>Quarts!BJ159</f>
        <v>3794</v>
      </c>
      <c r="F429" s="309">
        <f>Quarts!BK159</f>
        <v>3990</v>
      </c>
      <c r="H429" s="309">
        <f>SUM(C429:F429)</f>
        <v>12949</v>
      </c>
      <c r="I429" s="309">
        <f>650*17.1</f>
        <v>11115.000000000002</v>
      </c>
      <c r="L429" s="161"/>
      <c r="M429" s="161"/>
      <c r="N429" s="161"/>
      <c r="O429" s="161"/>
      <c r="P429" s="161"/>
      <c r="Q429" s="161"/>
      <c r="R429" s="161"/>
      <c r="T429" s="161"/>
      <c r="U429" s="161"/>
      <c r="V429" s="161"/>
      <c r="W429" s="161"/>
      <c r="X429" s="161"/>
      <c r="Y429" s="161"/>
      <c r="Z429" s="161"/>
      <c r="AA429" s="161"/>
      <c r="AB429" s="161"/>
      <c r="AC429" s="161"/>
      <c r="AD429" s="161"/>
      <c r="AE429" s="161"/>
      <c r="AF429" s="161"/>
      <c r="AG429" s="161"/>
      <c r="AH429" s="161"/>
      <c r="AI429" s="161"/>
      <c r="AJ429" s="161"/>
      <c r="AK429" s="161"/>
      <c r="AL429" s="161"/>
      <c r="AM429" s="161"/>
      <c r="AN429" s="161"/>
      <c r="AO429" s="161"/>
      <c r="AP429" s="161"/>
      <c r="AQ429" s="161"/>
      <c r="AR429" s="161"/>
      <c r="AS429" s="161"/>
      <c r="AT429" s="161"/>
      <c r="AU429" s="161"/>
      <c r="AV429" s="161"/>
      <c r="AW429" s="161"/>
      <c r="AX429" s="161"/>
      <c r="AY429" s="161"/>
      <c r="AZ429" s="161"/>
      <c r="BA429" s="161"/>
      <c r="BB429" s="161"/>
      <c r="BC429" s="161"/>
      <c r="BD429" s="161"/>
      <c r="BE429" s="161"/>
      <c r="BF429" s="161"/>
      <c r="BG429" s="161"/>
      <c r="BH429" s="161"/>
      <c r="BI429" s="161"/>
      <c r="BJ429" s="161"/>
      <c r="BK429" s="161"/>
      <c r="BL429" s="161"/>
      <c r="BM429" s="309">
        <f>SUM(Quarts!BL159:BO159)</f>
        <v>10339.654999999999</v>
      </c>
      <c r="BN429" s="161"/>
      <c r="BO429" s="161"/>
      <c r="BP429" s="161"/>
      <c r="BQ429" s="161"/>
      <c r="BR429" s="161"/>
      <c r="BS429" s="161"/>
      <c r="BT429" s="161"/>
      <c r="BU429" s="161"/>
      <c r="BV429" s="161"/>
    </row>
    <row r="430" spans="1:74">
      <c r="A430" s="161"/>
      <c r="B430" s="161" t="s">
        <v>678</v>
      </c>
      <c r="C430" s="309">
        <v>4100</v>
      </c>
      <c r="D430" s="309">
        <v>3980</v>
      </c>
      <c r="E430" s="309">
        <v>3739</v>
      </c>
      <c r="F430" s="309">
        <v>3807</v>
      </c>
      <c r="H430" s="309">
        <f>SUM(C430:F430)</f>
        <v>15626</v>
      </c>
      <c r="I430" s="309">
        <f>760*17.1</f>
        <v>12996.000000000002</v>
      </c>
      <c r="L430" s="161"/>
      <c r="M430" s="161"/>
      <c r="N430" s="161"/>
      <c r="O430" s="161"/>
      <c r="P430" s="161"/>
      <c r="Q430" s="161"/>
      <c r="R430" s="161"/>
      <c r="T430" s="161"/>
      <c r="U430" s="161"/>
      <c r="V430" s="161"/>
      <c r="W430" s="161"/>
      <c r="X430" s="161"/>
      <c r="Y430" s="161"/>
      <c r="Z430" s="161"/>
      <c r="AA430" s="161"/>
      <c r="AB430" s="161"/>
      <c r="AC430" s="161"/>
      <c r="AD430" s="161"/>
      <c r="AE430" s="161"/>
      <c r="AF430" s="161"/>
      <c r="AG430" s="161"/>
      <c r="AH430" s="161"/>
      <c r="AI430" s="161"/>
      <c r="AJ430" s="161"/>
      <c r="AK430" s="161"/>
      <c r="AL430" s="161"/>
      <c r="AM430" s="161"/>
      <c r="AN430" s="161"/>
      <c r="AO430" s="161"/>
      <c r="AP430" s="161"/>
      <c r="AQ430" s="161"/>
      <c r="AR430" s="161"/>
      <c r="AS430" s="161"/>
      <c r="AT430" s="161"/>
      <c r="AU430" s="161"/>
      <c r="AV430" s="161"/>
      <c r="AW430" s="161"/>
      <c r="AX430" s="161"/>
      <c r="AY430" s="161"/>
      <c r="AZ430" s="161"/>
      <c r="BA430" s="161"/>
      <c r="BB430" s="161"/>
      <c r="BC430" s="161"/>
      <c r="BD430" s="161"/>
      <c r="BE430" s="161"/>
      <c r="BF430" s="161"/>
      <c r="BG430" s="161"/>
      <c r="BH430" s="161"/>
      <c r="BI430" s="161"/>
      <c r="BJ430" s="161"/>
      <c r="BK430" s="161"/>
      <c r="BL430" s="161"/>
      <c r="BM430" s="309">
        <v>13185.391992271998</v>
      </c>
      <c r="BN430" s="161"/>
      <c r="BO430" s="161"/>
      <c r="BP430" s="161"/>
      <c r="BQ430" s="161"/>
      <c r="BR430" s="161"/>
      <c r="BS430" s="161"/>
      <c r="BT430" s="161"/>
      <c r="BU430" s="161"/>
      <c r="BV430" s="161"/>
    </row>
    <row r="431" spans="1:74">
      <c r="A431" s="161"/>
      <c r="B431" s="161" t="s">
        <v>728</v>
      </c>
      <c r="C431" s="309">
        <v>3123.6840000000002</v>
      </c>
      <c r="D431" s="309">
        <v>2691.1410000000005</v>
      </c>
      <c r="E431" s="309">
        <v>2406.87</v>
      </c>
      <c r="F431" s="309">
        <v>3023.8650000000002</v>
      </c>
      <c r="H431" s="309">
        <f>SUM(C431:F431)</f>
        <v>11245.56</v>
      </c>
      <c r="I431" s="309">
        <f>630*17.1</f>
        <v>10773</v>
      </c>
      <c r="L431" s="161"/>
      <c r="M431" s="161"/>
      <c r="N431" s="161"/>
      <c r="O431" s="161"/>
      <c r="P431" s="161"/>
      <c r="Q431" s="161"/>
      <c r="R431" s="161"/>
      <c r="T431" s="161"/>
      <c r="U431" s="161"/>
      <c r="V431" s="161"/>
      <c r="W431" s="161"/>
      <c r="X431" s="161"/>
      <c r="Y431" s="161"/>
      <c r="Z431" s="161"/>
      <c r="AA431" s="161"/>
      <c r="AB431" s="161"/>
      <c r="AC431" s="161"/>
      <c r="AD431" s="161"/>
      <c r="AE431" s="161"/>
      <c r="AF431" s="161"/>
      <c r="AG431" s="161"/>
      <c r="AH431" s="161"/>
      <c r="AI431" s="161"/>
      <c r="AJ431" s="161"/>
      <c r="AK431" s="161"/>
      <c r="AL431" s="161"/>
      <c r="AM431" s="161"/>
      <c r="AN431" s="161"/>
      <c r="AO431" s="161"/>
      <c r="AP431" s="161"/>
      <c r="AQ431" s="161"/>
      <c r="AR431" s="161"/>
      <c r="AS431" s="161"/>
      <c r="AT431" s="161"/>
      <c r="AU431" s="161"/>
      <c r="AV431" s="161"/>
      <c r="AW431" s="161"/>
      <c r="AX431" s="161"/>
      <c r="AY431" s="161"/>
      <c r="AZ431" s="161"/>
      <c r="BA431" s="161"/>
      <c r="BB431" s="161"/>
      <c r="BC431" s="161"/>
      <c r="BD431" s="161"/>
      <c r="BE431" s="161"/>
      <c r="BF431" s="161"/>
      <c r="BG431" s="161"/>
      <c r="BH431" s="161"/>
      <c r="BI431" s="161"/>
      <c r="BJ431" s="161"/>
      <c r="BK431" s="161"/>
      <c r="BL431" s="161"/>
      <c r="BM431" s="309">
        <v>11080.6138135</v>
      </c>
      <c r="BN431" s="161"/>
      <c r="BO431" s="161"/>
      <c r="BP431" s="161"/>
      <c r="BQ431" s="161"/>
      <c r="BR431" s="161"/>
      <c r="BS431" s="161"/>
      <c r="BT431" s="161"/>
      <c r="BU431" s="161"/>
      <c r="BV431" s="161"/>
    </row>
    <row r="432" spans="1:74">
      <c r="A432" s="161"/>
      <c r="B432" s="161"/>
      <c r="C432" s="309"/>
      <c r="D432" s="309"/>
      <c r="E432" s="309"/>
      <c r="F432" s="309"/>
      <c r="H432" s="309"/>
      <c r="I432" s="309"/>
      <c r="J432" s="161"/>
      <c r="K432" s="161"/>
      <c r="L432" s="161"/>
      <c r="M432" s="161"/>
      <c r="N432" s="161"/>
      <c r="O432" s="161"/>
      <c r="P432" s="161"/>
      <c r="Q432" s="161"/>
      <c r="R432" s="161"/>
      <c r="S432" s="161"/>
      <c r="T432" s="161"/>
      <c r="U432" s="161"/>
      <c r="V432" s="161"/>
      <c r="W432" s="161"/>
      <c r="X432" s="161"/>
      <c r="Y432" s="161"/>
      <c r="Z432" s="161"/>
      <c r="AA432" s="161"/>
      <c r="AB432" s="161"/>
      <c r="AC432" s="161"/>
      <c r="AD432" s="161"/>
      <c r="AE432" s="161"/>
      <c r="AF432" s="161"/>
      <c r="AG432" s="161"/>
      <c r="AH432" s="161"/>
      <c r="AI432" s="161"/>
      <c r="AJ432" s="161"/>
      <c r="AK432" s="161"/>
      <c r="AL432" s="161"/>
      <c r="AM432" s="161"/>
      <c r="AN432" s="161"/>
      <c r="AO432" s="161"/>
      <c r="AP432" s="161"/>
      <c r="AQ432" s="161"/>
      <c r="AR432" s="161"/>
      <c r="AS432" s="161"/>
      <c r="AT432" s="161"/>
      <c r="AU432" s="161"/>
      <c r="AV432" s="161"/>
      <c r="AW432" s="161"/>
      <c r="AX432" s="161"/>
      <c r="AY432" s="161"/>
      <c r="AZ432" s="161"/>
      <c r="BA432" s="161"/>
      <c r="BB432" s="161"/>
      <c r="BC432" s="161"/>
      <c r="BD432" s="161"/>
      <c r="BE432" s="161"/>
      <c r="BF432" s="161"/>
      <c r="BG432" s="161"/>
      <c r="BH432" s="161"/>
      <c r="BI432" s="161"/>
      <c r="BJ432" s="161"/>
      <c r="BK432" s="161"/>
      <c r="BL432" s="161"/>
      <c r="BM432" s="161"/>
      <c r="BN432" s="161"/>
      <c r="BO432" s="161"/>
      <c r="BP432" s="161"/>
      <c r="BQ432" s="161"/>
      <c r="BR432" s="161"/>
      <c r="BS432" s="161"/>
      <c r="BT432" s="161"/>
      <c r="BU432" s="161"/>
      <c r="BV432" s="161"/>
    </row>
    <row r="433" spans="1:74">
      <c r="A433" s="161"/>
      <c r="J433" s="161"/>
      <c r="K433" s="161"/>
      <c r="L433" s="161"/>
      <c r="M433" s="161"/>
      <c r="N433" s="161"/>
      <c r="O433" s="161"/>
      <c r="P433" s="161"/>
      <c r="Q433" s="161"/>
      <c r="R433" s="161"/>
      <c r="S433" s="161"/>
      <c r="T433" s="161"/>
      <c r="U433" s="161"/>
      <c r="V433" s="161"/>
      <c r="W433" s="161"/>
      <c r="X433" s="161"/>
      <c r="Y433" s="161"/>
      <c r="Z433" s="161"/>
      <c r="AA433" s="161"/>
      <c r="AB433" s="161"/>
      <c r="AC433" s="161"/>
      <c r="AD433" s="161"/>
      <c r="AE433" s="161"/>
      <c r="AF433" s="161"/>
      <c r="AG433" s="161"/>
      <c r="AH433" s="161"/>
      <c r="AI433" s="161"/>
      <c r="AJ433" s="161"/>
      <c r="AK433" s="161"/>
      <c r="AL433" s="161"/>
      <c r="AM433" s="161"/>
      <c r="AN433" s="161"/>
      <c r="AO433" s="161"/>
      <c r="AP433" s="161"/>
      <c r="AQ433" s="161"/>
      <c r="AR433" s="161"/>
      <c r="AS433" s="161"/>
      <c r="AT433" s="161"/>
      <c r="AU433" s="161"/>
      <c r="AV433" s="161"/>
      <c r="AW433" s="161"/>
      <c r="AX433" s="161"/>
      <c r="AY433" s="161"/>
      <c r="AZ433" s="161"/>
      <c r="BA433" s="161"/>
      <c r="BB433" s="161"/>
      <c r="BC433" s="161"/>
      <c r="BD433" s="161"/>
      <c r="BE433" s="161"/>
      <c r="BF433" s="161"/>
      <c r="BG433" s="161"/>
      <c r="BH433" s="161"/>
      <c r="BI433" s="161"/>
      <c r="BJ433" s="161"/>
      <c r="BK433" s="161"/>
      <c r="BL433" s="161"/>
      <c r="BM433" s="161"/>
      <c r="BN433" s="161"/>
      <c r="BO433" s="161"/>
      <c r="BP433" s="161"/>
      <c r="BQ433" s="161"/>
      <c r="BR433" s="161"/>
      <c r="BS433" s="161"/>
      <c r="BT433" s="161"/>
      <c r="BU433" s="161"/>
      <c r="BV433" s="161"/>
    </row>
    <row r="434" spans="1:74">
      <c r="A434" s="161"/>
      <c r="B434" s="163" t="s">
        <v>92</v>
      </c>
      <c r="C434" s="310" t="s">
        <v>757</v>
      </c>
      <c r="D434" s="310" t="s">
        <v>758</v>
      </c>
      <c r="E434" s="310" t="s">
        <v>759</v>
      </c>
      <c r="F434" s="310" t="s">
        <v>760</v>
      </c>
      <c r="H434" s="310" t="s">
        <v>737</v>
      </c>
      <c r="I434" s="310" t="s">
        <v>553</v>
      </c>
      <c r="J434" s="161"/>
      <c r="K434" s="161"/>
      <c r="L434" s="161"/>
      <c r="M434" s="161"/>
      <c r="N434" s="161"/>
      <c r="O434" s="161"/>
      <c r="P434" s="161"/>
      <c r="Q434" s="161"/>
      <c r="R434" s="161"/>
      <c r="S434" s="161"/>
      <c r="T434" s="161"/>
      <c r="U434" s="161"/>
      <c r="V434" s="161"/>
      <c r="W434" s="161"/>
      <c r="X434" s="161"/>
      <c r="Y434" s="161"/>
      <c r="Z434" s="161"/>
      <c r="AA434" s="161"/>
      <c r="AB434" s="161"/>
      <c r="AC434" s="161"/>
      <c r="AD434" s="161"/>
      <c r="AE434" s="161"/>
      <c r="AF434" s="161"/>
      <c r="AG434" s="161"/>
      <c r="AH434" s="161"/>
      <c r="AI434" s="161"/>
      <c r="AJ434" s="161"/>
      <c r="AK434" s="161"/>
      <c r="AL434" s="161"/>
      <c r="AM434" s="161"/>
      <c r="AN434" s="161"/>
      <c r="AO434" s="161"/>
      <c r="AP434" s="161"/>
      <c r="AQ434" s="161"/>
      <c r="AR434" s="161"/>
      <c r="AS434" s="161"/>
      <c r="AT434" s="161"/>
      <c r="AU434" s="161"/>
      <c r="AV434" s="161"/>
      <c r="AW434" s="161"/>
      <c r="AX434" s="161"/>
      <c r="AY434" s="161"/>
      <c r="AZ434" s="161"/>
      <c r="BA434" s="161"/>
      <c r="BB434" s="161"/>
      <c r="BC434" s="161"/>
      <c r="BD434" s="161"/>
      <c r="BE434" s="161"/>
      <c r="BF434" s="161"/>
      <c r="BG434" s="161"/>
      <c r="BH434" s="161"/>
      <c r="BI434" s="161"/>
      <c r="BJ434" s="161"/>
      <c r="BK434" s="161"/>
      <c r="BL434" s="161"/>
      <c r="BM434" s="161"/>
      <c r="BN434" s="161"/>
      <c r="BO434" s="161"/>
      <c r="BP434" s="161"/>
      <c r="BQ434" s="161"/>
      <c r="BR434" s="161"/>
      <c r="BS434" s="161"/>
      <c r="BT434" s="161"/>
      <c r="BU434" s="161"/>
      <c r="BV434" s="161"/>
    </row>
    <row r="435" spans="1:74">
      <c r="A435" s="161"/>
      <c r="B435" s="161" t="s">
        <v>122</v>
      </c>
      <c r="C435" s="309">
        <f t="shared" ref="C435:F437" si="104">C423-C429</f>
        <v>1033.6950000000002</v>
      </c>
      <c r="D435" s="309">
        <f t="shared" si="104"/>
        <v>357.3739999999998</v>
      </c>
      <c r="E435" s="309">
        <f t="shared" si="104"/>
        <v>-487.7510000000002</v>
      </c>
      <c r="F435" s="309">
        <f t="shared" si="104"/>
        <v>-532.32400000000007</v>
      </c>
      <c r="H435" s="309">
        <f t="shared" ref="H435:I437" si="105">H423-H429</f>
        <v>370.99399999999878</v>
      </c>
      <c r="I435" s="309">
        <f t="shared" si="105"/>
        <v>3514.8519999999971</v>
      </c>
      <c r="J435" s="161"/>
      <c r="K435" s="161"/>
      <c r="L435" s="161"/>
      <c r="M435" s="161"/>
      <c r="N435" s="161"/>
      <c r="O435" s="161"/>
      <c r="P435" s="161"/>
      <c r="Q435" s="161"/>
      <c r="R435" s="161"/>
      <c r="S435" s="161"/>
      <c r="T435" s="161"/>
      <c r="U435" s="161"/>
      <c r="V435" s="161"/>
      <c r="W435" s="161"/>
      <c r="X435" s="161"/>
      <c r="Y435" s="161"/>
      <c r="Z435" s="161"/>
      <c r="AA435" s="161"/>
      <c r="AB435" s="161"/>
      <c r="AC435" s="161"/>
      <c r="AD435" s="161"/>
      <c r="AE435" s="161"/>
      <c r="AF435" s="161"/>
      <c r="AG435" s="161"/>
      <c r="AH435" s="161"/>
      <c r="AI435" s="161"/>
      <c r="AJ435" s="161"/>
      <c r="AK435" s="161"/>
      <c r="AL435" s="161"/>
      <c r="AM435" s="161"/>
      <c r="AN435" s="161"/>
      <c r="AO435" s="161"/>
      <c r="AP435" s="161"/>
      <c r="AQ435" s="161"/>
      <c r="AR435" s="161"/>
      <c r="AS435" s="161"/>
      <c r="AT435" s="161"/>
      <c r="AU435" s="161"/>
      <c r="AV435" s="161"/>
      <c r="AW435" s="161"/>
      <c r="AX435" s="161"/>
      <c r="AY435" s="161"/>
      <c r="AZ435" s="161"/>
      <c r="BA435" s="161"/>
      <c r="BB435" s="161"/>
      <c r="BC435" s="161"/>
      <c r="BD435" s="161"/>
      <c r="BE435" s="161"/>
      <c r="BF435" s="161"/>
      <c r="BG435" s="161"/>
      <c r="BH435" s="161"/>
      <c r="BI435" s="161"/>
      <c r="BJ435" s="161"/>
      <c r="BK435" s="161"/>
      <c r="BL435" s="161"/>
      <c r="BM435" s="161"/>
      <c r="BN435" s="161"/>
      <c r="BO435" s="161"/>
      <c r="BP435" s="161"/>
      <c r="BQ435" s="161"/>
      <c r="BR435" s="161"/>
      <c r="BS435" s="161"/>
      <c r="BT435" s="161"/>
      <c r="BU435" s="161"/>
      <c r="BV435" s="161"/>
    </row>
    <row r="436" spans="1:74">
      <c r="A436" s="161"/>
      <c r="B436" s="161" t="s">
        <v>678</v>
      </c>
      <c r="C436" s="309">
        <f t="shared" si="104"/>
        <v>334</v>
      </c>
      <c r="D436" s="309">
        <f t="shared" si="104"/>
        <v>397</v>
      </c>
      <c r="E436" s="309">
        <f t="shared" si="104"/>
        <v>1075</v>
      </c>
      <c r="F436" s="309">
        <f t="shared" si="104"/>
        <v>929</v>
      </c>
      <c r="H436" s="309">
        <f t="shared" si="105"/>
        <v>2735</v>
      </c>
      <c r="I436" s="309">
        <f t="shared" si="105"/>
        <v>7265.9000283390724</v>
      </c>
      <c r="J436" s="161"/>
      <c r="K436" s="161"/>
      <c r="L436" s="161"/>
      <c r="M436" s="161"/>
      <c r="N436" s="161"/>
      <c r="O436" s="161"/>
      <c r="P436" s="161"/>
      <c r="Q436" s="161"/>
      <c r="R436" s="161"/>
      <c r="S436" s="161"/>
      <c r="T436" s="161"/>
      <c r="U436" s="161"/>
      <c r="V436" s="161"/>
      <c r="W436" s="161"/>
      <c r="X436" s="161"/>
      <c r="Y436" s="161"/>
      <c r="Z436" s="161"/>
      <c r="AA436" s="161"/>
      <c r="AB436" s="161"/>
      <c r="AC436" s="161"/>
      <c r="AD436" s="161"/>
      <c r="AE436" s="161"/>
      <c r="AF436" s="161"/>
      <c r="AG436" s="161"/>
      <c r="AH436" s="161"/>
      <c r="AI436" s="161"/>
      <c r="AJ436" s="161"/>
      <c r="AK436" s="161"/>
      <c r="AL436" s="161"/>
      <c r="AM436" s="161"/>
      <c r="AN436" s="161"/>
      <c r="AO436" s="161"/>
      <c r="AP436" s="161"/>
      <c r="AQ436" s="161"/>
      <c r="AR436" s="161"/>
      <c r="AS436" s="161"/>
      <c r="AT436" s="161"/>
      <c r="AU436" s="161"/>
      <c r="AV436" s="161"/>
      <c r="AW436" s="161"/>
      <c r="AX436" s="161"/>
      <c r="AY436" s="161"/>
      <c r="AZ436" s="161"/>
      <c r="BA436" s="161"/>
      <c r="BB436" s="161"/>
      <c r="BC436" s="161"/>
      <c r="BD436" s="161"/>
      <c r="BE436" s="161"/>
      <c r="BF436" s="161"/>
      <c r="BG436" s="161"/>
      <c r="BH436" s="161"/>
      <c r="BI436" s="161"/>
      <c r="BJ436" s="161"/>
      <c r="BK436" s="161"/>
      <c r="BL436" s="161"/>
      <c r="BM436" s="161"/>
      <c r="BN436" s="161"/>
      <c r="BO436" s="161"/>
      <c r="BP436" s="161"/>
      <c r="BQ436" s="161"/>
      <c r="BR436" s="161"/>
      <c r="BS436" s="161"/>
      <c r="BT436" s="161"/>
      <c r="BU436" s="161"/>
      <c r="BV436" s="161"/>
    </row>
    <row r="437" spans="1:74">
      <c r="A437" s="161"/>
      <c r="B437" s="161" t="s">
        <v>728</v>
      </c>
      <c r="C437" s="309">
        <f t="shared" si="104"/>
        <v>1833.3159999999998</v>
      </c>
      <c r="D437" s="309">
        <f t="shared" si="104"/>
        <v>2150.2589999999991</v>
      </c>
      <c r="E437" s="309">
        <f t="shared" si="104"/>
        <v>1913.9300000000003</v>
      </c>
      <c r="F437" s="309">
        <f t="shared" si="104"/>
        <v>1677.9349999999999</v>
      </c>
      <c r="H437" s="309">
        <f t="shared" si="105"/>
        <v>7575.4400000000005</v>
      </c>
      <c r="I437" s="309">
        <f t="shared" si="105"/>
        <v>8391.4252547124997</v>
      </c>
      <c r="J437" s="161"/>
      <c r="K437" s="161"/>
      <c r="L437" s="161"/>
      <c r="M437" s="161"/>
      <c r="N437" s="161"/>
      <c r="O437" s="161"/>
      <c r="P437" s="161"/>
      <c r="Q437" s="161"/>
      <c r="R437" s="161"/>
      <c r="S437" s="161"/>
      <c r="T437" s="161"/>
      <c r="U437" s="161"/>
      <c r="V437" s="161"/>
      <c r="W437" s="161"/>
      <c r="X437" s="161"/>
      <c r="Y437" s="161"/>
      <c r="Z437" s="161"/>
      <c r="AA437" s="161"/>
      <c r="AB437" s="161"/>
      <c r="AC437" s="161"/>
      <c r="AD437" s="161"/>
      <c r="AE437" s="161"/>
      <c r="AF437" s="161"/>
      <c r="AG437" s="161"/>
      <c r="AH437" s="161"/>
      <c r="AI437" s="161"/>
      <c r="AJ437" s="161"/>
      <c r="AK437" s="161"/>
      <c r="AL437" s="161"/>
      <c r="AM437" s="161"/>
      <c r="AN437" s="161"/>
      <c r="AO437" s="161"/>
      <c r="AP437" s="161"/>
      <c r="AQ437" s="161"/>
      <c r="AR437" s="161"/>
      <c r="AS437" s="161"/>
      <c r="AT437" s="161"/>
      <c r="AU437" s="161"/>
      <c r="AV437" s="161"/>
      <c r="AW437" s="161"/>
      <c r="AX437" s="161"/>
      <c r="AY437" s="161"/>
      <c r="AZ437" s="161"/>
      <c r="BA437" s="161"/>
      <c r="BB437" s="161"/>
      <c r="BC437" s="161"/>
      <c r="BD437" s="161"/>
      <c r="BE437" s="161"/>
      <c r="BF437" s="161"/>
      <c r="BG437" s="161"/>
      <c r="BH437" s="161"/>
      <c r="BI437" s="161"/>
      <c r="BJ437" s="161"/>
      <c r="BK437" s="161"/>
      <c r="BL437" s="161"/>
      <c r="BM437" s="161"/>
      <c r="BN437" s="161"/>
      <c r="BO437" s="161"/>
      <c r="BP437" s="161"/>
      <c r="BQ437" s="161"/>
      <c r="BR437" s="161"/>
      <c r="BS437" s="161"/>
      <c r="BT437" s="161"/>
      <c r="BU437" s="161"/>
      <c r="BV437" s="161"/>
    </row>
    <row r="438" spans="1:74">
      <c r="A438" s="161"/>
      <c r="B438" s="161"/>
      <c r="C438" s="309"/>
      <c r="D438" s="309"/>
      <c r="E438" s="309"/>
      <c r="F438" s="309"/>
      <c r="G438" s="307"/>
      <c r="H438" s="307"/>
      <c r="I438" s="161"/>
      <c r="J438" s="161"/>
      <c r="K438" s="161"/>
      <c r="L438" s="161"/>
      <c r="M438" s="161"/>
      <c r="N438" s="161"/>
      <c r="O438" s="161"/>
      <c r="P438" s="161"/>
      <c r="Q438" s="161"/>
      <c r="R438" s="161"/>
      <c r="S438" s="161"/>
      <c r="T438" s="161"/>
      <c r="U438" s="161"/>
      <c r="V438" s="161"/>
      <c r="W438" s="161"/>
      <c r="X438" s="161"/>
      <c r="Y438" s="161"/>
      <c r="Z438" s="161"/>
      <c r="AA438" s="161"/>
      <c r="AB438" s="161"/>
      <c r="AC438" s="161"/>
      <c r="AD438" s="161"/>
      <c r="AE438" s="161"/>
      <c r="AF438" s="161"/>
      <c r="AG438" s="161"/>
      <c r="AH438" s="161"/>
      <c r="AI438" s="161"/>
      <c r="AJ438" s="161"/>
      <c r="AK438" s="161"/>
      <c r="AL438" s="161"/>
      <c r="AM438" s="161"/>
      <c r="AN438" s="161"/>
      <c r="AO438" s="161"/>
      <c r="AP438" s="161"/>
      <c r="AQ438" s="161"/>
      <c r="AR438" s="161"/>
      <c r="AS438" s="161"/>
      <c r="AT438" s="161"/>
      <c r="AU438" s="161"/>
      <c r="AV438" s="161"/>
      <c r="AW438" s="161"/>
      <c r="AX438" s="161"/>
      <c r="AY438" s="161"/>
      <c r="AZ438" s="161"/>
      <c r="BA438" s="161"/>
      <c r="BB438" s="161"/>
      <c r="BC438" s="161"/>
      <c r="BD438" s="161"/>
      <c r="BE438" s="161"/>
      <c r="BF438" s="161"/>
      <c r="BG438" s="161"/>
      <c r="BH438" s="161"/>
      <c r="BI438" s="161"/>
      <c r="BJ438" s="161"/>
      <c r="BK438" s="161"/>
      <c r="BL438" s="161"/>
      <c r="BM438" s="161"/>
      <c r="BN438" s="161"/>
      <c r="BO438" s="161"/>
      <c r="BP438" s="161"/>
      <c r="BQ438" s="161"/>
      <c r="BR438" s="161"/>
      <c r="BS438" s="161"/>
      <c r="BT438" s="161"/>
      <c r="BU438" s="161"/>
      <c r="BV438" s="161"/>
    </row>
    <row r="439" spans="1:74">
      <c r="A439" s="161"/>
      <c r="B439" s="161"/>
      <c r="D439" s="307"/>
      <c r="E439" s="307"/>
      <c r="F439" s="307"/>
      <c r="G439" s="307"/>
      <c r="H439" s="307"/>
      <c r="I439" s="161"/>
      <c r="J439" s="161"/>
      <c r="K439" s="161"/>
      <c r="L439" s="161"/>
      <c r="M439" s="161"/>
      <c r="N439" s="161"/>
      <c r="O439" s="161"/>
      <c r="P439" s="161"/>
      <c r="Q439" s="161"/>
      <c r="R439" s="161"/>
      <c r="S439" s="161"/>
      <c r="T439" s="161"/>
      <c r="U439" s="161"/>
      <c r="V439" s="161"/>
      <c r="W439" s="161"/>
      <c r="X439" s="161"/>
      <c r="Y439" s="161"/>
      <c r="Z439" s="161"/>
      <c r="AA439" s="161"/>
      <c r="AB439" s="161"/>
      <c r="AC439" s="161"/>
      <c r="AD439" s="161"/>
      <c r="AE439" s="161"/>
      <c r="AF439" s="161"/>
      <c r="AG439" s="161"/>
      <c r="AH439" s="161"/>
      <c r="AI439" s="161"/>
      <c r="AJ439" s="161"/>
      <c r="AK439" s="161"/>
      <c r="AL439" s="161"/>
      <c r="AM439" s="161"/>
      <c r="AN439" s="161"/>
      <c r="AO439" s="161"/>
      <c r="AP439" s="161"/>
      <c r="AQ439" s="161"/>
      <c r="AR439" s="161"/>
      <c r="AS439" s="161"/>
      <c r="AT439" s="161"/>
      <c r="AU439" s="161"/>
      <c r="AV439" s="161"/>
      <c r="AW439" s="161"/>
      <c r="AX439" s="161"/>
      <c r="AY439" s="161"/>
      <c r="AZ439" s="161"/>
      <c r="BA439" s="161"/>
      <c r="BB439" s="161"/>
      <c r="BC439" s="161"/>
      <c r="BD439" s="161"/>
      <c r="BE439" s="161"/>
      <c r="BF439" s="161"/>
      <c r="BG439" s="161"/>
      <c r="BH439" s="161"/>
      <c r="BI439" s="161"/>
      <c r="BJ439" s="161"/>
      <c r="BK439" s="161"/>
      <c r="BL439" s="161"/>
      <c r="BM439" s="161"/>
      <c r="BN439" s="161"/>
      <c r="BO439" s="161"/>
      <c r="BP439" s="161"/>
      <c r="BQ439" s="161"/>
      <c r="BR439" s="161"/>
      <c r="BS439" s="161"/>
      <c r="BT439" s="161"/>
      <c r="BU439" s="161"/>
      <c r="BV439" s="161"/>
    </row>
    <row r="440" spans="1:74">
      <c r="A440" s="161"/>
      <c r="B440" s="163" t="str">
        <f>B434</f>
        <v>OpFCF</v>
      </c>
      <c r="C440" s="517" t="str">
        <f>H422</f>
        <v>FY23</v>
      </c>
      <c r="D440" s="517" t="str">
        <f>I422</f>
        <v>FY24</v>
      </c>
      <c r="E440" s="307"/>
      <c r="F440" s="307"/>
      <c r="G440" s="307"/>
      <c r="H440" s="307"/>
      <c r="I440" s="161"/>
      <c r="J440" s="161"/>
      <c r="K440" s="161"/>
      <c r="L440" s="161"/>
      <c r="M440" s="161"/>
      <c r="N440" s="161"/>
      <c r="O440" s="161"/>
      <c r="P440" s="161"/>
      <c r="Q440" s="161"/>
      <c r="R440" s="161"/>
      <c r="S440" s="161"/>
      <c r="T440" s="161"/>
      <c r="U440" s="161"/>
      <c r="V440" s="161"/>
      <c r="W440" s="161"/>
      <c r="X440" s="161"/>
      <c r="Y440" s="161"/>
      <c r="Z440" s="161"/>
      <c r="AA440" s="161"/>
      <c r="AB440" s="161"/>
      <c r="AC440" s="161"/>
      <c r="AD440" s="161"/>
      <c r="AE440" s="161"/>
      <c r="AF440" s="161"/>
      <c r="AG440" s="161"/>
      <c r="AH440" s="161"/>
      <c r="AI440" s="161"/>
      <c r="AJ440" s="161"/>
      <c r="AK440" s="161"/>
      <c r="AL440" s="161"/>
      <c r="AM440" s="161"/>
      <c r="AN440" s="161"/>
      <c r="AO440" s="161"/>
      <c r="AP440" s="161"/>
      <c r="AQ440" s="161"/>
      <c r="AR440" s="161"/>
      <c r="AS440" s="161"/>
      <c r="AT440" s="161"/>
      <c r="AU440" s="161"/>
      <c r="AV440" s="161"/>
      <c r="AW440" s="161"/>
      <c r="AX440" s="161"/>
      <c r="AY440" s="161"/>
      <c r="AZ440" s="161"/>
      <c r="BA440" s="161"/>
      <c r="BB440" s="161"/>
      <c r="BC440" s="161"/>
      <c r="BD440" s="161"/>
      <c r="BE440" s="161"/>
      <c r="BF440" s="161"/>
      <c r="BG440" s="161"/>
      <c r="BH440" s="161"/>
      <c r="BI440" s="161"/>
      <c r="BJ440" s="161"/>
      <c r="BK440" s="161"/>
      <c r="BL440" s="161"/>
      <c r="BM440" s="161"/>
      <c r="BN440" s="161"/>
      <c r="BO440" s="161"/>
      <c r="BP440" s="161"/>
      <c r="BQ440" s="161"/>
      <c r="BR440" s="161"/>
      <c r="BS440" s="161"/>
      <c r="BT440" s="161"/>
      <c r="BU440" s="161"/>
      <c r="BV440" s="161"/>
    </row>
    <row r="441" spans="1:74">
      <c r="A441" s="161"/>
      <c r="B441" s="161" t="str">
        <f>B435</f>
        <v>MEGA</v>
      </c>
      <c r="C441" s="309">
        <f t="shared" ref="C441:D443" si="106">H435</f>
        <v>370.99399999999878</v>
      </c>
      <c r="D441" s="309">
        <f t="shared" si="106"/>
        <v>3514.8519999999971</v>
      </c>
      <c r="E441" s="307"/>
      <c r="F441" s="307"/>
      <c r="G441" s="307"/>
      <c r="H441" s="307"/>
      <c r="I441" s="161"/>
      <c r="J441" s="161"/>
      <c r="K441" s="161"/>
      <c r="L441" s="161"/>
      <c r="M441" s="161"/>
      <c r="N441" s="161"/>
      <c r="O441" s="161"/>
      <c r="P441" s="161"/>
      <c r="Q441" s="161"/>
      <c r="R441" s="161"/>
      <c r="S441" s="161"/>
      <c r="T441" s="161"/>
      <c r="U441" s="161"/>
      <c r="V441" s="161"/>
      <c r="W441" s="161"/>
      <c r="X441" s="161"/>
      <c r="Y441" s="161"/>
      <c r="Z441" s="161"/>
      <c r="AA441" s="161"/>
      <c r="AB441" s="161"/>
      <c r="AC441" s="161"/>
      <c r="AD441" s="161"/>
      <c r="AE441" s="161"/>
      <c r="AF441" s="161"/>
      <c r="AG441" s="161"/>
      <c r="AH441" s="161"/>
      <c r="AI441" s="161"/>
      <c r="AJ441" s="161"/>
      <c r="AK441" s="161"/>
      <c r="AL441" s="161"/>
      <c r="AM441" s="161"/>
      <c r="AN441" s="161"/>
      <c r="AO441" s="161"/>
      <c r="AP441" s="161"/>
      <c r="AQ441" s="161"/>
      <c r="AR441" s="161"/>
      <c r="AS441" s="161"/>
      <c r="AT441" s="161"/>
      <c r="AU441" s="161"/>
      <c r="AV441" s="161"/>
      <c r="AW441" s="161"/>
      <c r="AX441" s="161"/>
      <c r="AY441" s="161"/>
      <c r="AZ441" s="161"/>
      <c r="BA441" s="161"/>
      <c r="BB441" s="161"/>
      <c r="BC441" s="161"/>
      <c r="BD441" s="161"/>
      <c r="BE441" s="161"/>
      <c r="BF441" s="161"/>
      <c r="BG441" s="161"/>
      <c r="BH441" s="161"/>
      <c r="BI441" s="161"/>
      <c r="BJ441" s="161"/>
      <c r="BK441" s="161"/>
      <c r="BL441" s="161"/>
      <c r="BM441" s="161"/>
      <c r="BN441" s="161"/>
      <c r="BO441" s="161"/>
      <c r="BP441" s="161"/>
      <c r="BQ441" s="161"/>
      <c r="BR441" s="161"/>
      <c r="BS441" s="161"/>
      <c r="BT441" s="161"/>
      <c r="BU441" s="161"/>
      <c r="BV441" s="161"/>
    </row>
    <row r="442" spans="1:74">
      <c r="A442" s="161"/>
      <c r="B442" s="161" t="str">
        <f>B436</f>
        <v>Totalplay</v>
      </c>
      <c r="C442" s="309">
        <f t="shared" si="106"/>
        <v>2735</v>
      </c>
      <c r="D442" s="309">
        <f t="shared" si="106"/>
        <v>7265.9000283390724</v>
      </c>
      <c r="E442" s="307"/>
      <c r="F442" s="307"/>
      <c r="G442" s="307"/>
      <c r="H442" s="307"/>
      <c r="I442" s="161"/>
      <c r="J442" s="161"/>
      <c r="K442" s="161"/>
      <c r="L442" s="161"/>
      <c r="M442" s="161"/>
      <c r="N442" s="161"/>
      <c r="O442" s="161"/>
      <c r="P442" s="161"/>
      <c r="Q442" s="161"/>
      <c r="R442" s="161"/>
      <c r="S442" s="161"/>
      <c r="T442" s="161"/>
      <c r="U442" s="161"/>
      <c r="V442" s="161"/>
      <c r="W442" s="161"/>
      <c r="X442" s="161"/>
      <c r="Y442" s="161"/>
      <c r="Z442" s="161"/>
      <c r="AA442" s="161"/>
      <c r="AB442" s="161"/>
      <c r="AC442" s="161"/>
      <c r="AD442" s="161"/>
      <c r="AE442" s="161"/>
      <c r="AF442" s="161"/>
      <c r="AG442" s="161"/>
      <c r="AH442" s="161"/>
      <c r="AI442" s="161"/>
      <c r="AJ442" s="161"/>
      <c r="AK442" s="161"/>
      <c r="AL442" s="161"/>
      <c r="AM442" s="161"/>
      <c r="AN442" s="161"/>
      <c r="AO442" s="161"/>
      <c r="AP442" s="161"/>
      <c r="AQ442" s="161"/>
      <c r="AR442" s="161"/>
      <c r="AS442" s="161"/>
      <c r="AT442" s="161"/>
      <c r="AU442" s="161"/>
      <c r="AV442" s="161"/>
      <c r="AW442" s="161"/>
      <c r="AX442" s="161"/>
      <c r="AY442" s="161"/>
      <c r="AZ442" s="161"/>
      <c r="BA442" s="161"/>
      <c r="BB442" s="161"/>
      <c r="BC442" s="161"/>
      <c r="BD442" s="161"/>
      <c r="BE442" s="161"/>
      <c r="BF442" s="161"/>
      <c r="BG442" s="161"/>
      <c r="BH442" s="161"/>
      <c r="BI442" s="161"/>
      <c r="BJ442" s="161"/>
      <c r="BK442" s="161"/>
      <c r="BL442" s="161"/>
      <c r="BM442" s="161"/>
      <c r="BN442" s="161"/>
      <c r="BO442" s="161"/>
      <c r="BP442" s="161"/>
      <c r="BQ442" s="161"/>
      <c r="BR442" s="161"/>
      <c r="BS442" s="161"/>
      <c r="BT442" s="161"/>
      <c r="BU442" s="161"/>
      <c r="BV442" s="161"/>
    </row>
    <row r="443" spans="1:74">
      <c r="A443" s="161"/>
      <c r="B443" s="161" t="str">
        <f>B437</f>
        <v>TV (Cable)</v>
      </c>
      <c r="C443" s="309">
        <f t="shared" si="106"/>
        <v>7575.4400000000005</v>
      </c>
      <c r="D443" s="309">
        <f t="shared" si="106"/>
        <v>8391.4252547124997</v>
      </c>
      <c r="E443" s="307"/>
      <c r="F443" s="307"/>
      <c r="G443" s="307"/>
      <c r="H443" s="307"/>
      <c r="I443" s="161"/>
      <c r="J443" s="161"/>
      <c r="K443" s="161"/>
      <c r="L443" s="161"/>
      <c r="M443" s="161"/>
      <c r="N443" s="161"/>
      <c r="O443" s="161"/>
      <c r="P443" s="161"/>
      <c r="Q443" s="161"/>
      <c r="R443" s="161"/>
      <c r="S443" s="161"/>
      <c r="T443" s="161"/>
      <c r="U443" s="161"/>
      <c r="V443" s="161"/>
      <c r="W443" s="161"/>
      <c r="X443" s="161"/>
      <c r="Y443" s="161"/>
      <c r="Z443" s="161"/>
      <c r="AA443" s="161"/>
      <c r="AB443" s="161"/>
      <c r="AC443" s="161"/>
      <c r="AD443" s="161"/>
      <c r="AE443" s="161"/>
      <c r="AF443" s="161"/>
      <c r="AG443" s="161"/>
      <c r="AH443" s="161"/>
      <c r="AI443" s="161"/>
      <c r="AJ443" s="161"/>
      <c r="AK443" s="161"/>
      <c r="AL443" s="161"/>
      <c r="AM443" s="161"/>
      <c r="AN443" s="161"/>
      <c r="AO443" s="161"/>
      <c r="AP443" s="161"/>
      <c r="AQ443" s="161"/>
      <c r="AR443" s="161"/>
      <c r="AS443" s="161"/>
      <c r="AT443" s="161"/>
      <c r="AU443" s="161"/>
      <c r="AV443" s="161"/>
      <c r="AW443" s="161"/>
      <c r="AX443" s="161"/>
      <c r="AY443" s="161"/>
      <c r="AZ443" s="161"/>
      <c r="BA443" s="161"/>
      <c r="BB443" s="161"/>
      <c r="BC443" s="161"/>
      <c r="BD443" s="161"/>
      <c r="BE443" s="161"/>
      <c r="BF443" s="161"/>
      <c r="BG443" s="161"/>
      <c r="BH443" s="161"/>
      <c r="BI443" s="161"/>
      <c r="BJ443" s="161"/>
      <c r="BK443" s="161"/>
      <c r="BL443" s="161"/>
      <c r="BM443" s="161"/>
      <c r="BN443" s="161"/>
      <c r="BO443" s="161"/>
      <c r="BP443" s="161"/>
      <c r="BQ443" s="161"/>
      <c r="BR443" s="161"/>
      <c r="BS443" s="161"/>
      <c r="BT443" s="161"/>
      <c r="BU443" s="161"/>
      <c r="BV443" s="161"/>
    </row>
    <row r="444" spans="1:74">
      <c r="A444" s="161"/>
      <c r="B444" s="161"/>
      <c r="C444" s="307"/>
      <c r="D444" s="307"/>
      <c r="E444" s="307"/>
      <c r="F444" s="307"/>
      <c r="G444" s="307"/>
      <c r="H444" s="307"/>
      <c r="I444" s="161"/>
      <c r="J444" s="161"/>
      <c r="K444" s="161"/>
      <c r="L444" s="161"/>
      <c r="M444" s="161"/>
      <c r="N444" s="161"/>
      <c r="O444" s="161"/>
      <c r="P444" s="161"/>
      <c r="Q444" s="161"/>
      <c r="R444" s="161"/>
      <c r="S444" s="161"/>
      <c r="T444" s="161"/>
      <c r="U444" s="161"/>
      <c r="V444" s="161"/>
      <c r="W444" s="161"/>
      <c r="X444" s="161"/>
      <c r="Y444" s="161"/>
      <c r="Z444" s="161"/>
      <c r="AA444" s="161"/>
      <c r="AB444" s="161"/>
      <c r="AC444" s="161"/>
      <c r="AD444" s="161"/>
      <c r="AE444" s="161"/>
      <c r="AF444" s="161"/>
      <c r="AG444" s="161"/>
      <c r="AH444" s="161"/>
      <c r="AI444" s="161"/>
      <c r="AJ444" s="161"/>
      <c r="AK444" s="161"/>
      <c r="AL444" s="161"/>
      <c r="AM444" s="161"/>
      <c r="AN444" s="161"/>
      <c r="AO444" s="161"/>
      <c r="AP444" s="161"/>
      <c r="AQ444" s="161"/>
      <c r="AR444" s="161"/>
      <c r="AS444" s="161"/>
      <c r="AT444" s="161"/>
      <c r="AU444" s="161"/>
      <c r="AV444" s="161"/>
      <c r="AW444" s="161"/>
      <c r="AX444" s="161"/>
      <c r="AY444" s="161"/>
      <c r="AZ444" s="161"/>
      <c r="BA444" s="161"/>
      <c r="BB444" s="161"/>
      <c r="BC444" s="161"/>
      <c r="BD444" s="161"/>
      <c r="BE444" s="161"/>
      <c r="BF444" s="161"/>
      <c r="BG444" s="161"/>
      <c r="BH444" s="161"/>
      <c r="BI444" s="161"/>
      <c r="BJ444" s="161"/>
      <c r="BK444" s="161"/>
      <c r="BL444" s="161"/>
      <c r="BM444" s="161"/>
      <c r="BN444" s="161"/>
      <c r="BO444" s="161"/>
      <c r="BP444" s="161"/>
      <c r="BQ444" s="161"/>
      <c r="BR444" s="161"/>
      <c r="BS444" s="161"/>
      <c r="BT444" s="161"/>
      <c r="BU444" s="161"/>
      <c r="BV444" s="161"/>
    </row>
    <row r="445" spans="1:74">
      <c r="A445" s="161"/>
      <c r="B445" s="163" t="s">
        <v>761</v>
      </c>
      <c r="C445" s="517" t="str">
        <f>H416</f>
        <v>FY23</v>
      </c>
      <c r="D445" s="517" t="str">
        <f>I416</f>
        <v>FY24</v>
      </c>
      <c r="E445" s="307"/>
      <c r="F445" s="307"/>
      <c r="G445" s="307"/>
      <c r="H445" s="307"/>
      <c r="I445" s="161"/>
      <c r="J445" s="161"/>
      <c r="K445" s="161"/>
      <c r="L445" s="161"/>
      <c r="M445" s="161"/>
      <c r="N445" s="161"/>
      <c r="O445" s="161"/>
      <c r="P445" s="161"/>
      <c r="Q445" s="161"/>
      <c r="R445" s="161"/>
      <c r="S445" s="161"/>
      <c r="T445" s="161"/>
      <c r="U445" s="161"/>
      <c r="V445" s="161"/>
      <c r="W445" s="161"/>
      <c r="X445" s="161"/>
      <c r="Y445" s="161"/>
      <c r="Z445" s="161"/>
      <c r="AA445" s="161"/>
      <c r="AB445" s="161"/>
      <c r="AC445" s="161"/>
      <c r="AD445" s="161"/>
      <c r="AE445" s="161"/>
      <c r="AF445" s="161"/>
      <c r="AG445" s="161"/>
      <c r="AH445" s="161"/>
      <c r="AI445" s="161"/>
      <c r="AJ445" s="161"/>
      <c r="AK445" s="161"/>
      <c r="AL445" s="161"/>
      <c r="AM445" s="161"/>
      <c r="AN445" s="161"/>
      <c r="AO445" s="161"/>
      <c r="AP445" s="161"/>
      <c r="AQ445" s="161"/>
      <c r="AR445" s="161"/>
      <c r="AS445" s="161"/>
      <c r="AT445" s="161"/>
      <c r="AU445" s="161"/>
      <c r="AV445" s="161"/>
      <c r="AW445" s="161"/>
      <c r="AX445" s="161"/>
      <c r="AY445" s="161"/>
      <c r="AZ445" s="161"/>
      <c r="BA445" s="161"/>
      <c r="BB445" s="161"/>
      <c r="BC445" s="161"/>
      <c r="BD445" s="161"/>
      <c r="BE445" s="161"/>
      <c r="BF445" s="161"/>
      <c r="BG445" s="161"/>
      <c r="BH445" s="161"/>
      <c r="BI445" s="161"/>
      <c r="BJ445" s="161"/>
      <c r="BK445" s="161"/>
      <c r="BL445" s="161"/>
      <c r="BM445" s="161"/>
      <c r="BN445" s="161"/>
      <c r="BO445" s="161"/>
      <c r="BP445" s="161"/>
      <c r="BQ445" s="161"/>
      <c r="BR445" s="161"/>
      <c r="BS445" s="161"/>
      <c r="BT445" s="161"/>
      <c r="BU445" s="161"/>
      <c r="BV445" s="161"/>
    </row>
    <row r="446" spans="1:74">
      <c r="A446" s="161"/>
      <c r="B446" s="161" t="str">
        <f>B417</f>
        <v>MEGA</v>
      </c>
      <c r="C446" s="312">
        <f t="shared" ref="C446:D448" si="107">H435/H417</f>
        <v>1.24200633801732E-2</v>
      </c>
      <c r="D446" s="312">
        <f t="shared" si="107"/>
        <v>0.1070268343862496</v>
      </c>
      <c r="E446" s="307"/>
      <c r="F446" s="307"/>
      <c r="G446" s="307"/>
      <c r="H446" s="307"/>
      <c r="I446" s="161"/>
      <c r="J446" s="161"/>
      <c r="K446" s="161"/>
      <c r="L446" s="161"/>
      <c r="M446" s="161"/>
      <c r="N446" s="161"/>
      <c r="O446" s="161"/>
      <c r="P446" s="161"/>
      <c r="Q446" s="161"/>
      <c r="R446" s="161"/>
      <c r="S446" s="161"/>
      <c r="T446" s="161"/>
      <c r="U446" s="161"/>
      <c r="V446" s="161"/>
      <c r="W446" s="161"/>
      <c r="X446" s="161"/>
      <c r="Y446" s="161"/>
      <c r="Z446" s="161"/>
      <c r="AA446" s="161"/>
      <c r="AB446" s="161"/>
      <c r="AC446" s="161"/>
      <c r="AD446" s="161"/>
      <c r="AE446" s="161"/>
      <c r="AF446" s="161"/>
      <c r="AG446" s="161"/>
      <c r="AH446" s="161"/>
      <c r="AI446" s="161"/>
      <c r="AJ446" s="161"/>
      <c r="AK446" s="161"/>
      <c r="AL446" s="161"/>
      <c r="AM446" s="161"/>
      <c r="AN446" s="161"/>
      <c r="AO446" s="161"/>
      <c r="AP446" s="161"/>
      <c r="AQ446" s="161"/>
      <c r="AR446" s="161"/>
      <c r="AS446" s="161"/>
      <c r="AT446" s="161"/>
      <c r="AU446" s="161"/>
      <c r="AV446" s="161"/>
      <c r="AW446" s="161"/>
      <c r="AX446" s="161"/>
      <c r="AY446" s="161"/>
      <c r="AZ446" s="161"/>
      <c r="BA446" s="161"/>
      <c r="BB446" s="161"/>
      <c r="BC446" s="161"/>
      <c r="BD446" s="161"/>
      <c r="BE446" s="161"/>
      <c r="BF446" s="161"/>
      <c r="BG446" s="161"/>
      <c r="BH446" s="161"/>
      <c r="BI446" s="161"/>
      <c r="BJ446" s="161"/>
      <c r="BK446" s="161"/>
      <c r="BL446" s="161"/>
      <c r="BM446" s="161"/>
      <c r="BN446" s="161"/>
      <c r="BO446" s="161"/>
      <c r="BP446" s="161"/>
      <c r="BQ446" s="161"/>
      <c r="BR446" s="161"/>
      <c r="BS446" s="161"/>
      <c r="BT446" s="161"/>
      <c r="BU446" s="161"/>
      <c r="BV446" s="161"/>
    </row>
    <row r="447" spans="1:74">
      <c r="A447" s="161"/>
      <c r="B447" s="161" t="str">
        <f>B418</f>
        <v>Totalplay</v>
      </c>
      <c r="C447" s="312">
        <f t="shared" si="107"/>
        <v>6.7525862281806293E-2</v>
      </c>
      <c r="D447" s="312">
        <f t="shared" si="107"/>
        <v>0.16256175846848572</v>
      </c>
      <c r="E447" s="307"/>
      <c r="F447" s="307"/>
      <c r="G447" s="307"/>
      <c r="H447" s="307"/>
      <c r="I447" s="161"/>
      <c r="J447" s="161"/>
      <c r="K447" s="161"/>
      <c r="L447" s="161"/>
      <c r="M447" s="161"/>
      <c r="N447" s="161"/>
      <c r="O447" s="161"/>
      <c r="P447" s="161"/>
      <c r="Q447" s="161"/>
      <c r="R447" s="161"/>
      <c r="S447" s="161"/>
      <c r="T447" s="161"/>
      <c r="U447" s="161"/>
      <c r="V447" s="161"/>
      <c r="W447" s="161"/>
      <c r="X447" s="161"/>
      <c r="Y447" s="161"/>
      <c r="Z447" s="161"/>
      <c r="AA447" s="161"/>
      <c r="AB447" s="161"/>
      <c r="AC447" s="161"/>
      <c r="AD447" s="161"/>
      <c r="AE447" s="161"/>
      <c r="AF447" s="161"/>
      <c r="AG447" s="161"/>
      <c r="AH447" s="161"/>
      <c r="AI447" s="161"/>
      <c r="AJ447" s="161"/>
      <c r="AK447" s="161"/>
      <c r="AL447" s="161"/>
      <c r="AM447" s="161"/>
      <c r="AN447" s="161"/>
      <c r="AO447" s="161"/>
      <c r="AP447" s="161"/>
      <c r="AQ447" s="161"/>
      <c r="AR447" s="161"/>
      <c r="AS447" s="161"/>
      <c r="AT447" s="161"/>
      <c r="AU447" s="161"/>
      <c r="AV447" s="161"/>
      <c r="AW447" s="161"/>
      <c r="AX447" s="161"/>
      <c r="AY447" s="161"/>
      <c r="AZ447" s="161"/>
      <c r="BA447" s="161"/>
      <c r="BB447" s="161"/>
      <c r="BC447" s="161"/>
      <c r="BD447" s="161"/>
      <c r="BE447" s="161"/>
      <c r="BF447" s="161"/>
      <c r="BG447" s="161"/>
      <c r="BH447" s="161"/>
      <c r="BI447" s="161"/>
      <c r="BJ447" s="161"/>
      <c r="BK447" s="161"/>
      <c r="BL447" s="161"/>
      <c r="BM447" s="161"/>
      <c r="BN447" s="161"/>
      <c r="BO447" s="161"/>
      <c r="BP447" s="161"/>
      <c r="BQ447" s="161"/>
      <c r="BR447" s="161"/>
      <c r="BS447" s="161"/>
      <c r="BT447" s="161"/>
      <c r="BU447" s="161"/>
      <c r="BV447" s="161"/>
    </row>
    <row r="448" spans="1:74">
      <c r="A448" s="161"/>
      <c r="B448" s="161" t="str">
        <f>B419</f>
        <v>TV (Cable)</v>
      </c>
      <c r="C448" s="312">
        <f t="shared" si="107"/>
        <v>0.15522647405358334</v>
      </c>
      <c r="D448" s="312">
        <f t="shared" si="107"/>
        <v>0.16660751715645469</v>
      </c>
      <c r="E448" s="307"/>
      <c r="F448" s="307"/>
      <c r="G448" s="307"/>
      <c r="H448" s="307"/>
      <c r="I448" s="161"/>
      <c r="J448" s="161"/>
      <c r="K448" s="161"/>
      <c r="L448" s="161"/>
      <c r="M448" s="161"/>
      <c r="N448" s="161"/>
      <c r="O448" s="161"/>
      <c r="P448" s="161"/>
      <c r="Q448" s="161"/>
      <c r="R448" s="161"/>
      <c r="S448" s="161"/>
      <c r="T448" s="161"/>
      <c r="U448" s="161"/>
      <c r="V448" s="161"/>
      <c r="W448" s="161"/>
      <c r="X448" s="161"/>
      <c r="Y448" s="161"/>
      <c r="Z448" s="161"/>
      <c r="AA448" s="161"/>
      <c r="AB448" s="161"/>
      <c r="AC448" s="161"/>
      <c r="AD448" s="161"/>
      <c r="AE448" s="161"/>
      <c r="AF448" s="161"/>
      <c r="AG448" s="161"/>
      <c r="AH448" s="161"/>
      <c r="AI448" s="161"/>
      <c r="AJ448" s="161"/>
      <c r="AK448" s="161"/>
      <c r="AL448" s="161"/>
      <c r="AM448" s="161"/>
      <c r="AN448" s="161"/>
      <c r="AO448" s="161"/>
      <c r="AP448" s="161"/>
      <c r="AQ448" s="161"/>
      <c r="AR448" s="161"/>
      <c r="AS448" s="161"/>
      <c r="AT448" s="161"/>
      <c r="AU448" s="161"/>
      <c r="AV448" s="161"/>
      <c r="AW448" s="161"/>
      <c r="AX448" s="161"/>
      <c r="AY448" s="161"/>
      <c r="AZ448" s="161"/>
      <c r="BA448" s="161"/>
      <c r="BB448" s="161"/>
      <c r="BC448" s="161"/>
      <c r="BD448" s="161"/>
      <c r="BE448" s="161"/>
      <c r="BF448" s="161"/>
      <c r="BG448" s="161"/>
      <c r="BH448" s="161"/>
      <c r="BI448" s="161"/>
      <c r="BJ448" s="161"/>
      <c r="BK448" s="161"/>
      <c r="BL448" s="161"/>
      <c r="BM448" s="161"/>
      <c r="BN448" s="161"/>
      <c r="BO448" s="161"/>
      <c r="BP448" s="161"/>
      <c r="BQ448" s="161"/>
      <c r="BR448" s="161"/>
      <c r="BS448" s="161"/>
      <c r="BT448" s="161"/>
      <c r="BU448" s="161"/>
      <c r="BV448" s="161"/>
    </row>
    <row r="449" spans="1:74">
      <c r="A449" s="161"/>
      <c r="B449" s="161"/>
      <c r="C449" s="161"/>
      <c r="D449" s="161"/>
      <c r="E449" s="161"/>
      <c r="F449" s="161"/>
      <c r="G449" s="161"/>
      <c r="H449" s="161"/>
      <c r="I449" s="161"/>
      <c r="J449" s="161"/>
      <c r="K449" s="161"/>
      <c r="L449" s="161"/>
      <c r="M449" s="161"/>
      <c r="N449" s="161"/>
      <c r="O449" s="161"/>
      <c r="P449" s="161"/>
      <c r="Q449" s="161"/>
      <c r="R449" s="161"/>
      <c r="S449" s="161"/>
      <c r="T449" s="161"/>
      <c r="U449" s="161"/>
      <c r="V449" s="161"/>
      <c r="W449" s="161"/>
      <c r="X449" s="161"/>
      <c r="Y449" s="161"/>
      <c r="Z449" s="161"/>
      <c r="AA449" s="161"/>
      <c r="AB449" s="161"/>
      <c r="AC449" s="161"/>
      <c r="AD449" s="161"/>
      <c r="AE449" s="161"/>
      <c r="AF449" s="161"/>
      <c r="AG449" s="161"/>
      <c r="AH449" s="161"/>
      <c r="AI449" s="161"/>
      <c r="AJ449" s="161"/>
      <c r="AK449" s="161"/>
      <c r="AL449" s="161"/>
      <c r="AM449" s="161"/>
      <c r="AN449" s="161"/>
      <c r="AO449" s="161"/>
      <c r="AP449" s="161"/>
      <c r="AQ449" s="161"/>
      <c r="AR449" s="161"/>
      <c r="AS449" s="161"/>
      <c r="AT449" s="161"/>
      <c r="AU449" s="161"/>
      <c r="AV449" s="161"/>
      <c r="AW449" s="161"/>
      <c r="AX449" s="161"/>
      <c r="AY449" s="161"/>
      <c r="AZ449" s="161"/>
      <c r="BA449" s="161"/>
      <c r="BB449" s="161"/>
      <c r="BC449" s="161"/>
      <c r="BD449" s="161"/>
      <c r="BE449" s="161"/>
      <c r="BF449" s="161"/>
      <c r="BG449" s="161"/>
      <c r="BH449" s="161"/>
      <c r="BI449" s="161"/>
      <c r="BJ449" s="161"/>
      <c r="BK449" s="161"/>
      <c r="BL449" s="161"/>
      <c r="BM449" s="161"/>
      <c r="BN449" s="161"/>
      <c r="BO449" s="161"/>
      <c r="BP449" s="161"/>
      <c r="BQ449" s="161"/>
      <c r="BR449" s="161"/>
      <c r="BS449" s="161"/>
      <c r="BT449" s="161"/>
      <c r="BU449" s="161"/>
      <c r="BV449" s="161"/>
    </row>
    <row r="450" spans="1:74">
      <c r="A450" s="161"/>
      <c r="B450" s="161"/>
      <c r="C450" s="161"/>
      <c r="D450" s="161"/>
      <c r="E450" s="161"/>
      <c r="F450" s="161"/>
      <c r="G450" s="161"/>
      <c r="H450" s="161"/>
      <c r="I450" s="161"/>
      <c r="J450" s="161"/>
      <c r="K450" s="161"/>
      <c r="L450" s="161"/>
      <c r="M450" s="161"/>
      <c r="N450" s="161"/>
      <c r="O450" s="161"/>
      <c r="P450" s="161"/>
      <c r="Q450" s="161"/>
      <c r="R450" s="161"/>
      <c r="S450" s="161"/>
      <c r="T450" s="161"/>
      <c r="U450" s="161"/>
      <c r="V450" s="161"/>
      <c r="W450" s="161"/>
      <c r="X450" s="161"/>
      <c r="Y450" s="161"/>
      <c r="Z450" s="161"/>
      <c r="AA450" s="161"/>
      <c r="AB450" s="161"/>
      <c r="AC450" s="161"/>
      <c r="AD450" s="161"/>
      <c r="AE450" s="161"/>
      <c r="AF450" s="161"/>
      <c r="AG450" s="161"/>
      <c r="AH450" s="161"/>
      <c r="AI450" s="161"/>
      <c r="AJ450" s="161"/>
      <c r="AK450" s="161"/>
      <c r="AL450" s="161"/>
      <c r="AM450" s="161"/>
      <c r="AN450" s="161"/>
      <c r="AO450" s="161"/>
      <c r="AP450" s="161"/>
      <c r="AQ450" s="161"/>
      <c r="AR450" s="161"/>
      <c r="AS450" s="161"/>
      <c r="AT450" s="161"/>
      <c r="AU450" s="161"/>
      <c r="AV450" s="161"/>
      <c r="AW450" s="161"/>
      <c r="AX450" s="161"/>
      <c r="AY450" s="161"/>
      <c r="AZ450" s="161"/>
      <c r="BA450" s="161"/>
      <c r="BB450" s="161"/>
      <c r="BC450" s="161"/>
      <c r="BD450" s="161"/>
      <c r="BE450" s="161"/>
      <c r="BF450" s="161"/>
      <c r="BG450" s="161"/>
      <c r="BH450" s="161"/>
      <c r="BI450" s="161"/>
      <c r="BJ450" s="161"/>
      <c r="BK450" s="161"/>
      <c r="BL450" s="161"/>
      <c r="BM450" s="161"/>
      <c r="BN450" s="161"/>
      <c r="BO450" s="161"/>
      <c r="BP450" s="161"/>
      <c r="BQ450" s="161"/>
      <c r="BR450" s="161"/>
      <c r="BS450" s="161"/>
      <c r="BT450" s="161"/>
      <c r="BU450" s="161"/>
      <c r="BV450" s="161"/>
    </row>
    <row r="451" spans="1:74">
      <c r="A451" s="161"/>
      <c r="B451" s="161"/>
      <c r="C451" s="161"/>
      <c r="D451" s="161"/>
      <c r="E451" s="161"/>
      <c r="F451" s="161"/>
      <c r="G451" s="161"/>
      <c r="H451" s="161"/>
      <c r="I451" s="161"/>
      <c r="J451" s="161"/>
      <c r="K451" s="161"/>
      <c r="L451" s="161"/>
      <c r="M451" s="161"/>
      <c r="N451" s="161"/>
      <c r="O451" s="161"/>
      <c r="P451" s="161"/>
      <c r="Q451" s="161"/>
      <c r="R451" s="161"/>
      <c r="S451" s="161"/>
      <c r="T451" s="161"/>
      <c r="U451" s="161"/>
      <c r="V451" s="161"/>
      <c r="W451" s="161"/>
      <c r="X451" s="161"/>
      <c r="Y451" s="161"/>
      <c r="Z451" s="161"/>
      <c r="AA451" s="161"/>
      <c r="AB451" s="161"/>
      <c r="AC451" s="161"/>
      <c r="AD451" s="161"/>
      <c r="AE451" s="161"/>
      <c r="AF451" s="161"/>
      <c r="AG451" s="161"/>
      <c r="AH451" s="161"/>
      <c r="AI451" s="161"/>
      <c r="AJ451" s="161"/>
      <c r="AK451" s="161"/>
      <c r="AL451" s="161"/>
      <c r="AM451" s="161"/>
      <c r="AN451" s="161"/>
      <c r="AO451" s="161"/>
      <c r="AP451" s="161"/>
      <c r="AQ451" s="161"/>
      <c r="AR451" s="161"/>
      <c r="AS451" s="161"/>
      <c r="AT451" s="161"/>
      <c r="AU451" s="161"/>
      <c r="AV451" s="161"/>
      <c r="AW451" s="161"/>
      <c r="AX451" s="161"/>
      <c r="AY451" s="161"/>
      <c r="AZ451" s="161"/>
      <c r="BA451" s="161"/>
      <c r="BB451" s="161"/>
      <c r="BC451" s="161"/>
      <c r="BD451" s="161"/>
      <c r="BE451" s="161"/>
      <c r="BF451" s="161"/>
      <c r="BG451" s="161"/>
      <c r="BH451" s="161"/>
      <c r="BI451" s="161"/>
      <c r="BJ451" s="161"/>
      <c r="BK451" s="161"/>
      <c r="BL451" s="161"/>
      <c r="BM451" s="161"/>
      <c r="BN451" s="161"/>
      <c r="BO451" s="161"/>
      <c r="BP451" s="161"/>
      <c r="BQ451" s="161"/>
      <c r="BR451" s="161"/>
      <c r="BS451" s="161"/>
      <c r="BT451" s="161"/>
      <c r="BU451" s="161"/>
      <c r="BV451" s="161"/>
    </row>
    <row r="452" spans="1:74">
      <c r="A452" s="161"/>
      <c r="B452" s="161"/>
      <c r="C452" s="161"/>
      <c r="D452" s="161"/>
      <c r="E452" s="161"/>
      <c r="F452" s="161"/>
      <c r="G452" s="161"/>
      <c r="H452" s="161"/>
      <c r="I452" s="161"/>
      <c r="J452" s="161"/>
      <c r="K452" s="161"/>
      <c r="L452" s="161"/>
      <c r="M452" s="161"/>
      <c r="N452" s="161"/>
      <c r="O452" s="161"/>
      <c r="P452" s="161"/>
      <c r="Q452" s="161"/>
      <c r="R452" s="161"/>
      <c r="S452" s="161"/>
      <c r="T452" s="161"/>
      <c r="U452" s="161"/>
      <c r="V452" s="161"/>
      <c r="W452" s="161"/>
      <c r="X452" s="161"/>
      <c r="Y452" s="161"/>
      <c r="Z452" s="161"/>
      <c r="AA452" s="161"/>
      <c r="AB452" s="161"/>
      <c r="AC452" s="161"/>
      <c r="AD452" s="161"/>
      <c r="AE452" s="161"/>
      <c r="AF452" s="161"/>
      <c r="AG452" s="161"/>
      <c r="AH452" s="161"/>
      <c r="AI452" s="161"/>
      <c r="AJ452" s="161"/>
      <c r="AK452" s="161"/>
      <c r="AL452" s="161"/>
      <c r="AM452" s="161"/>
      <c r="AN452" s="161"/>
      <c r="AO452" s="161"/>
      <c r="AP452" s="161"/>
      <c r="AQ452" s="161"/>
      <c r="AR452" s="161"/>
      <c r="AS452" s="161"/>
      <c r="AT452" s="161"/>
      <c r="AU452" s="161"/>
      <c r="AV452" s="161"/>
      <c r="AW452" s="161"/>
      <c r="AX452" s="161"/>
      <c r="AY452" s="161"/>
      <c r="AZ452" s="161"/>
      <c r="BA452" s="161"/>
      <c r="BB452" s="161"/>
      <c r="BC452" s="161"/>
      <c r="BD452" s="161"/>
      <c r="BE452" s="161"/>
      <c r="BF452" s="161"/>
      <c r="BG452" s="161"/>
      <c r="BH452" s="161"/>
      <c r="BI452" s="161"/>
      <c r="BJ452" s="161"/>
      <c r="BK452" s="161"/>
      <c r="BL452" s="161"/>
      <c r="BM452" s="161"/>
      <c r="BN452" s="161"/>
      <c r="BO452" s="161"/>
      <c r="BP452" s="161"/>
      <c r="BQ452" s="161"/>
      <c r="BR452" s="161"/>
      <c r="BS452" s="161"/>
      <c r="BT452" s="161"/>
      <c r="BU452" s="161"/>
      <c r="BV452" s="161"/>
    </row>
    <row r="453" spans="1:74">
      <c r="A453" s="161"/>
      <c r="B453" s="161"/>
      <c r="C453" s="161"/>
      <c r="D453" s="161"/>
      <c r="E453" s="161"/>
      <c r="F453" s="161"/>
      <c r="G453" s="161"/>
      <c r="H453" s="161"/>
      <c r="I453" s="161"/>
      <c r="J453" s="161"/>
      <c r="K453" s="161"/>
      <c r="L453" s="161"/>
      <c r="M453" s="161"/>
      <c r="N453" s="161"/>
      <c r="O453" s="161"/>
      <c r="P453" s="161"/>
      <c r="Q453" s="161"/>
      <c r="R453" s="161"/>
      <c r="S453" s="161"/>
      <c r="T453" s="161"/>
      <c r="U453" s="161"/>
      <c r="V453" s="161"/>
      <c r="W453" s="161"/>
      <c r="X453" s="161"/>
      <c r="Y453" s="161"/>
      <c r="Z453" s="161"/>
      <c r="AA453" s="161"/>
      <c r="AB453" s="161"/>
      <c r="AC453" s="161"/>
      <c r="AD453" s="161"/>
      <c r="AE453" s="161"/>
      <c r="AF453" s="161"/>
      <c r="AG453" s="161"/>
      <c r="AH453" s="161"/>
      <c r="AI453" s="161"/>
      <c r="AJ453" s="161"/>
      <c r="AK453" s="161"/>
      <c r="AL453" s="161"/>
      <c r="AM453" s="161"/>
      <c r="AN453" s="161"/>
      <c r="AO453" s="161"/>
      <c r="AP453" s="161"/>
      <c r="AQ453" s="161"/>
      <c r="AR453" s="161"/>
      <c r="AS453" s="161"/>
      <c r="AT453" s="161"/>
      <c r="AU453" s="161"/>
      <c r="AV453" s="161"/>
      <c r="AW453" s="161"/>
      <c r="AX453" s="161"/>
      <c r="AY453" s="161"/>
      <c r="AZ453" s="161"/>
      <c r="BA453" s="161"/>
      <c r="BB453" s="161"/>
      <c r="BC453" s="161"/>
      <c r="BD453" s="161"/>
      <c r="BE453" s="161"/>
      <c r="BF453" s="161"/>
      <c r="BG453" s="161"/>
      <c r="BH453" s="161"/>
      <c r="BI453" s="161"/>
      <c r="BJ453" s="161"/>
      <c r="BK453" s="161"/>
      <c r="BL453" s="161"/>
      <c r="BM453" s="161"/>
      <c r="BN453" s="161"/>
      <c r="BO453" s="161"/>
      <c r="BP453" s="161"/>
      <c r="BQ453" s="161"/>
      <c r="BR453" s="161"/>
      <c r="BS453" s="161"/>
      <c r="BT453" s="161"/>
      <c r="BU453" s="161"/>
      <c r="BV453" s="161"/>
    </row>
    <row r="454" spans="1:74">
      <c r="A454" s="161"/>
      <c r="B454" s="161"/>
      <c r="C454" s="161"/>
      <c r="D454" s="161"/>
      <c r="E454" s="161"/>
      <c r="F454" s="161"/>
      <c r="G454" s="161"/>
      <c r="H454" s="161"/>
      <c r="I454" s="161"/>
      <c r="J454" s="161"/>
      <c r="K454" s="161"/>
      <c r="L454" s="161"/>
      <c r="M454" s="161"/>
      <c r="N454" s="161"/>
      <c r="O454" s="161"/>
      <c r="P454" s="161"/>
      <c r="Q454" s="161"/>
      <c r="R454" s="161"/>
      <c r="S454" s="161"/>
      <c r="T454" s="161"/>
      <c r="U454" s="161"/>
      <c r="V454" s="161"/>
      <c r="W454" s="161"/>
      <c r="X454" s="161"/>
      <c r="Y454" s="161"/>
      <c r="Z454" s="161"/>
      <c r="AA454" s="161"/>
      <c r="AB454" s="161"/>
      <c r="AC454" s="161"/>
      <c r="AD454" s="161"/>
      <c r="AE454" s="161"/>
      <c r="AF454" s="161"/>
      <c r="AG454" s="161"/>
      <c r="AH454" s="161"/>
      <c r="AI454" s="161"/>
      <c r="AJ454" s="161"/>
      <c r="AK454" s="161"/>
      <c r="AL454" s="161"/>
      <c r="AM454" s="161"/>
      <c r="AN454" s="161"/>
      <c r="AO454" s="161"/>
      <c r="AP454" s="161"/>
      <c r="AQ454" s="161"/>
      <c r="AR454" s="161"/>
      <c r="AS454" s="161"/>
      <c r="AT454" s="161"/>
      <c r="AU454" s="161"/>
      <c r="AV454" s="161"/>
      <c r="AW454" s="161"/>
      <c r="AX454" s="161"/>
      <c r="AY454" s="161"/>
      <c r="AZ454" s="161"/>
      <c r="BA454" s="161"/>
      <c r="BB454" s="161"/>
      <c r="BC454" s="161"/>
      <c r="BD454" s="161"/>
      <c r="BE454" s="161"/>
      <c r="BF454" s="161"/>
      <c r="BG454" s="161"/>
      <c r="BH454" s="161"/>
      <c r="BI454" s="161"/>
      <c r="BJ454" s="161"/>
      <c r="BK454" s="161"/>
      <c r="BL454" s="161"/>
      <c r="BM454" s="161"/>
      <c r="BN454" s="161"/>
      <c r="BO454" s="161"/>
      <c r="BP454" s="161"/>
      <c r="BQ454" s="161"/>
      <c r="BR454" s="161"/>
      <c r="BS454" s="161"/>
      <c r="BT454" s="161"/>
      <c r="BU454" s="161"/>
      <c r="BV454" s="161"/>
    </row>
    <row r="455" spans="1:74">
      <c r="A455" s="161"/>
      <c r="B455" s="161"/>
      <c r="C455" s="161"/>
      <c r="D455" s="161"/>
      <c r="E455" s="161"/>
      <c r="F455" s="161"/>
      <c r="G455" s="161"/>
      <c r="H455" s="161"/>
      <c r="I455" s="161"/>
      <c r="J455" s="161"/>
      <c r="K455" s="161"/>
      <c r="L455" s="161"/>
      <c r="M455" s="161"/>
      <c r="N455" s="161"/>
      <c r="O455" s="161"/>
      <c r="P455" s="161"/>
      <c r="Q455" s="161"/>
      <c r="R455" s="161"/>
      <c r="S455" s="161"/>
      <c r="T455" s="161"/>
      <c r="U455" s="161"/>
      <c r="V455" s="161"/>
      <c r="W455" s="161"/>
      <c r="X455" s="161"/>
      <c r="Y455" s="161"/>
      <c r="Z455" s="161"/>
      <c r="AA455" s="161"/>
      <c r="AB455" s="161"/>
      <c r="AC455" s="161"/>
      <c r="AD455" s="161"/>
      <c r="AE455" s="161"/>
      <c r="AF455" s="161"/>
      <c r="AG455" s="161"/>
      <c r="AH455" s="161"/>
      <c r="AI455" s="161"/>
      <c r="AJ455" s="161"/>
      <c r="AK455" s="161"/>
      <c r="AL455" s="161"/>
      <c r="AM455" s="161"/>
      <c r="AN455" s="161"/>
      <c r="AO455" s="161"/>
      <c r="AP455" s="161"/>
      <c r="AQ455" s="161"/>
      <c r="AR455" s="161"/>
      <c r="AS455" s="161"/>
      <c r="AT455" s="161"/>
      <c r="AU455" s="161"/>
      <c r="AV455" s="161"/>
      <c r="AW455" s="161"/>
      <c r="AX455" s="161"/>
      <c r="AY455" s="161"/>
      <c r="AZ455" s="161"/>
      <c r="BA455" s="161"/>
      <c r="BB455" s="161"/>
      <c r="BC455" s="161"/>
      <c r="BD455" s="161"/>
      <c r="BE455" s="161"/>
      <c r="BF455" s="161"/>
      <c r="BG455" s="161"/>
      <c r="BH455" s="161"/>
      <c r="BI455" s="161"/>
      <c r="BJ455" s="161"/>
      <c r="BK455" s="161"/>
      <c r="BL455" s="161"/>
      <c r="BM455" s="161"/>
      <c r="BN455" s="161"/>
      <c r="BO455" s="161"/>
      <c r="BP455" s="161"/>
      <c r="BQ455" s="161"/>
      <c r="BR455" s="161"/>
      <c r="BS455" s="161"/>
      <c r="BT455" s="161"/>
      <c r="BU455" s="161"/>
      <c r="BV455" s="161"/>
    </row>
    <row r="456" spans="1:74">
      <c r="A456" s="161"/>
      <c r="B456" s="161"/>
      <c r="C456" s="161"/>
      <c r="D456" s="161"/>
      <c r="E456" s="161"/>
      <c r="F456" s="161"/>
      <c r="G456" s="161"/>
      <c r="H456" s="161"/>
      <c r="I456" s="161"/>
      <c r="J456" s="161"/>
      <c r="K456" s="161"/>
      <c r="L456" s="161"/>
      <c r="M456" s="161"/>
      <c r="N456" s="161"/>
      <c r="O456" s="161"/>
      <c r="P456" s="161"/>
      <c r="Q456" s="161"/>
      <c r="R456" s="161"/>
      <c r="S456" s="161"/>
      <c r="T456" s="161"/>
      <c r="U456" s="161"/>
      <c r="V456" s="161"/>
      <c r="W456" s="161"/>
      <c r="X456" s="161"/>
      <c r="Y456" s="161"/>
      <c r="Z456" s="161"/>
      <c r="AA456" s="161"/>
      <c r="AB456" s="161"/>
      <c r="AC456" s="161"/>
      <c r="AD456" s="161"/>
      <c r="AE456" s="161"/>
      <c r="AF456" s="161"/>
      <c r="AG456" s="161"/>
      <c r="AH456" s="161"/>
      <c r="AI456" s="161"/>
      <c r="AJ456" s="161"/>
      <c r="AK456" s="161"/>
      <c r="AL456" s="161"/>
      <c r="AM456" s="161"/>
      <c r="AN456" s="161"/>
      <c r="AO456" s="161"/>
      <c r="AP456" s="161"/>
      <c r="AQ456" s="161"/>
      <c r="AR456" s="161"/>
      <c r="AS456" s="161"/>
      <c r="AT456" s="161"/>
      <c r="AU456" s="161"/>
      <c r="AV456" s="161"/>
      <c r="AW456" s="161"/>
      <c r="AX456" s="161"/>
      <c r="AY456" s="161"/>
      <c r="AZ456" s="161"/>
      <c r="BA456" s="161"/>
      <c r="BB456" s="161"/>
      <c r="BC456" s="161"/>
      <c r="BD456" s="161"/>
      <c r="BE456" s="161"/>
      <c r="BF456" s="161"/>
      <c r="BG456" s="161"/>
      <c r="BH456" s="161"/>
      <c r="BI456" s="161"/>
      <c r="BJ456" s="161"/>
      <c r="BK456" s="161"/>
      <c r="BL456" s="161"/>
      <c r="BM456" s="161"/>
      <c r="BN456" s="161"/>
      <c r="BO456" s="161"/>
      <c r="BP456" s="161"/>
      <c r="BQ456" s="161"/>
      <c r="BR456" s="161"/>
      <c r="BS456" s="161"/>
      <c r="BT456" s="161"/>
      <c r="BU456" s="161"/>
      <c r="BV456" s="161"/>
    </row>
    <row r="457" spans="1:74">
      <c r="A457" s="161"/>
      <c r="B457" s="161"/>
      <c r="C457" s="161"/>
      <c r="D457" s="161"/>
      <c r="E457" s="161"/>
      <c r="F457" s="161"/>
      <c r="G457" s="161"/>
      <c r="H457" s="161"/>
      <c r="I457" s="161"/>
      <c r="J457" s="161"/>
      <c r="K457" s="161"/>
      <c r="L457" s="161"/>
      <c r="M457" s="161"/>
      <c r="N457" s="161"/>
      <c r="O457" s="161"/>
      <c r="P457" s="161"/>
      <c r="Q457" s="161"/>
      <c r="R457" s="161"/>
      <c r="S457" s="161"/>
      <c r="T457" s="161"/>
      <c r="U457" s="161"/>
      <c r="V457" s="161"/>
      <c r="W457" s="161"/>
      <c r="X457" s="161"/>
      <c r="Y457" s="161"/>
      <c r="Z457" s="161"/>
      <c r="AA457" s="161"/>
      <c r="AB457" s="161"/>
      <c r="AC457" s="161"/>
      <c r="AD457" s="161"/>
      <c r="AE457" s="161"/>
      <c r="AF457" s="161"/>
      <c r="AG457" s="161"/>
      <c r="AH457" s="161"/>
      <c r="AI457" s="161"/>
      <c r="AJ457" s="161"/>
      <c r="AK457" s="161"/>
      <c r="AL457" s="161"/>
      <c r="AM457" s="161"/>
      <c r="AN457" s="161"/>
      <c r="AO457" s="161"/>
      <c r="AP457" s="161"/>
      <c r="AQ457" s="161"/>
      <c r="AR457" s="161"/>
      <c r="AS457" s="161"/>
      <c r="AT457" s="161"/>
      <c r="AU457" s="161"/>
      <c r="AV457" s="161"/>
      <c r="AW457" s="161"/>
      <c r="AX457" s="161"/>
      <c r="AY457" s="161"/>
      <c r="AZ457" s="161"/>
      <c r="BA457" s="161"/>
      <c r="BB457" s="161"/>
      <c r="BC457" s="161"/>
      <c r="BD457" s="161"/>
      <c r="BE457" s="161"/>
      <c r="BF457" s="161"/>
      <c r="BG457" s="161"/>
      <c r="BH457" s="161"/>
      <c r="BI457" s="161"/>
      <c r="BJ457" s="161"/>
      <c r="BK457" s="161"/>
      <c r="BL457" s="161"/>
      <c r="BM457" s="161"/>
      <c r="BN457" s="161"/>
      <c r="BO457" s="161"/>
      <c r="BP457" s="161"/>
      <c r="BQ457" s="161"/>
      <c r="BR457" s="161"/>
      <c r="BS457" s="161"/>
      <c r="BT457" s="161"/>
      <c r="BU457" s="161"/>
      <c r="BV457" s="161"/>
    </row>
    <row r="458" spans="1:74">
      <c r="A458" s="161"/>
      <c r="B458" s="161"/>
      <c r="C458" s="161"/>
      <c r="D458" s="161"/>
      <c r="E458" s="161"/>
      <c r="F458" s="161"/>
      <c r="G458" s="161"/>
      <c r="H458" s="161"/>
      <c r="I458" s="161"/>
      <c r="J458" s="161"/>
      <c r="K458" s="161"/>
      <c r="L458" s="161"/>
      <c r="M458" s="161"/>
      <c r="N458" s="161"/>
      <c r="O458" s="161"/>
      <c r="P458" s="161"/>
      <c r="Q458" s="161"/>
      <c r="R458" s="161"/>
      <c r="S458" s="161"/>
      <c r="T458" s="161"/>
      <c r="U458" s="161"/>
      <c r="V458" s="161"/>
      <c r="W458" s="161"/>
      <c r="X458" s="161"/>
      <c r="Y458" s="161"/>
      <c r="Z458" s="161"/>
      <c r="AA458" s="161"/>
      <c r="AB458" s="161"/>
      <c r="AC458" s="161"/>
      <c r="AD458" s="161"/>
      <c r="AE458" s="161"/>
      <c r="AF458" s="161"/>
      <c r="AG458" s="161"/>
      <c r="AH458" s="161"/>
      <c r="AI458" s="161"/>
      <c r="AJ458" s="161"/>
      <c r="AK458" s="161"/>
      <c r="AL458" s="161"/>
      <c r="AM458" s="161"/>
      <c r="AN458" s="161"/>
      <c r="AO458" s="161"/>
      <c r="AP458" s="161"/>
      <c r="AQ458" s="161"/>
      <c r="AR458" s="161"/>
      <c r="AS458" s="161"/>
      <c r="AT458" s="161"/>
      <c r="AU458" s="161"/>
      <c r="AV458" s="161"/>
      <c r="AW458" s="161"/>
      <c r="AX458" s="161"/>
      <c r="AY458" s="161"/>
      <c r="AZ458" s="161"/>
      <c r="BA458" s="161"/>
      <c r="BB458" s="161"/>
      <c r="BC458" s="161"/>
      <c r="BD458" s="161"/>
      <c r="BE458" s="161"/>
      <c r="BF458" s="161"/>
      <c r="BG458" s="161"/>
      <c r="BH458" s="161"/>
      <c r="BI458" s="161"/>
      <c r="BJ458" s="161"/>
      <c r="BK458" s="161"/>
      <c r="BL458" s="161"/>
      <c r="BM458" s="161"/>
      <c r="BN458" s="161"/>
      <c r="BO458" s="161"/>
      <c r="BP458" s="161"/>
      <c r="BQ458" s="161"/>
      <c r="BR458" s="161"/>
      <c r="BS458" s="161"/>
      <c r="BT458" s="161"/>
      <c r="BU458" s="161"/>
      <c r="BV458" s="161"/>
    </row>
    <row r="459" spans="1:74">
      <c r="A459" s="161"/>
      <c r="B459" s="161"/>
      <c r="C459" s="161"/>
      <c r="D459" s="161"/>
      <c r="E459" s="161"/>
      <c r="F459" s="161"/>
      <c r="G459" s="161"/>
      <c r="H459" s="161"/>
      <c r="I459" s="161"/>
      <c r="J459" s="161"/>
      <c r="K459" s="161"/>
      <c r="L459" s="161"/>
      <c r="M459" s="161"/>
      <c r="N459" s="161"/>
      <c r="O459" s="161"/>
      <c r="P459" s="161"/>
      <c r="Q459" s="161"/>
      <c r="R459" s="161"/>
      <c r="S459" s="161"/>
      <c r="T459" s="161"/>
      <c r="U459" s="161"/>
      <c r="V459" s="161"/>
      <c r="W459" s="161"/>
      <c r="X459" s="161"/>
      <c r="Y459" s="161"/>
      <c r="Z459" s="161"/>
      <c r="AA459" s="161"/>
      <c r="AB459" s="161"/>
      <c r="AC459" s="161"/>
      <c r="AD459" s="161"/>
      <c r="AE459" s="161"/>
      <c r="AF459" s="161"/>
      <c r="AG459" s="161"/>
      <c r="AH459" s="161"/>
      <c r="AI459" s="161"/>
      <c r="AJ459" s="161"/>
      <c r="AK459" s="161"/>
      <c r="AL459" s="161"/>
      <c r="AM459" s="161"/>
      <c r="AN459" s="161"/>
      <c r="AO459" s="161"/>
      <c r="AP459" s="161"/>
      <c r="AQ459" s="161"/>
      <c r="AR459" s="161"/>
      <c r="AS459" s="161"/>
      <c r="AT459" s="161"/>
      <c r="AU459" s="161"/>
      <c r="AV459" s="161"/>
      <c r="AW459" s="161"/>
      <c r="AX459" s="161"/>
      <c r="AY459" s="161"/>
      <c r="AZ459" s="161"/>
      <c r="BA459" s="161"/>
      <c r="BB459" s="161"/>
      <c r="BC459" s="161"/>
      <c r="BD459" s="161"/>
      <c r="BE459" s="161"/>
      <c r="BF459" s="161"/>
      <c r="BG459" s="161"/>
      <c r="BH459" s="161"/>
      <c r="BI459" s="161"/>
      <c r="BJ459" s="161"/>
      <c r="BK459" s="161"/>
      <c r="BL459" s="161"/>
      <c r="BM459" s="161"/>
      <c r="BN459" s="161"/>
      <c r="BO459" s="161"/>
      <c r="BP459" s="161"/>
      <c r="BQ459" s="161"/>
      <c r="BR459" s="161"/>
      <c r="BS459" s="161"/>
      <c r="BT459" s="161"/>
      <c r="BU459" s="161"/>
      <c r="BV459" s="161"/>
    </row>
    <row r="460" spans="1:74">
      <c r="A460" s="161"/>
      <c r="B460" s="161"/>
      <c r="C460" s="161"/>
      <c r="D460" s="161"/>
      <c r="E460" s="161"/>
      <c r="F460" s="161"/>
      <c r="G460" s="161"/>
      <c r="H460" s="161"/>
      <c r="I460" s="161"/>
      <c r="J460" s="161"/>
      <c r="K460" s="161"/>
      <c r="L460" s="161"/>
      <c r="M460" s="161"/>
      <c r="N460" s="161"/>
      <c r="O460" s="161"/>
      <c r="P460" s="161"/>
      <c r="Q460" s="161"/>
      <c r="R460" s="161"/>
      <c r="S460" s="161"/>
      <c r="T460" s="161"/>
      <c r="U460" s="161"/>
      <c r="V460" s="161"/>
      <c r="W460" s="161"/>
      <c r="X460" s="161"/>
      <c r="Y460" s="161"/>
      <c r="Z460" s="161"/>
      <c r="AA460" s="161"/>
      <c r="AB460" s="161"/>
      <c r="AC460" s="161"/>
      <c r="AD460" s="161"/>
      <c r="AE460" s="161"/>
      <c r="AF460" s="161"/>
      <c r="AG460" s="161"/>
      <c r="AH460" s="161"/>
      <c r="AI460" s="161"/>
      <c r="AJ460" s="161"/>
      <c r="AK460" s="161"/>
      <c r="AL460" s="161"/>
      <c r="AM460" s="161"/>
      <c r="AN460" s="161"/>
      <c r="AO460" s="161"/>
      <c r="AP460" s="161"/>
      <c r="AQ460" s="161"/>
      <c r="AR460" s="161"/>
      <c r="AS460" s="161"/>
      <c r="AT460" s="161"/>
      <c r="AU460" s="161"/>
      <c r="AV460" s="161"/>
      <c r="AW460" s="161"/>
      <c r="AX460" s="161"/>
      <c r="AY460" s="161"/>
      <c r="AZ460" s="161"/>
      <c r="BA460" s="161"/>
      <c r="BB460" s="161"/>
      <c r="BC460" s="161"/>
      <c r="BD460" s="161"/>
      <c r="BE460" s="161"/>
      <c r="BF460" s="161"/>
      <c r="BG460" s="161"/>
      <c r="BH460" s="161"/>
      <c r="BI460" s="161"/>
      <c r="BJ460" s="161"/>
      <c r="BK460" s="161"/>
      <c r="BL460" s="161"/>
      <c r="BM460" s="161"/>
      <c r="BN460" s="161"/>
      <c r="BO460" s="161"/>
      <c r="BP460" s="161"/>
      <c r="BQ460" s="161"/>
      <c r="BR460" s="161"/>
      <c r="BS460" s="161"/>
      <c r="BT460" s="161"/>
      <c r="BU460" s="161"/>
      <c r="BV460" s="161"/>
    </row>
    <row r="461" spans="1:74">
      <c r="A461" s="161"/>
      <c r="B461" s="161"/>
      <c r="C461" s="161"/>
      <c r="D461" s="161"/>
      <c r="E461" s="161"/>
      <c r="F461" s="161"/>
      <c r="G461" s="161"/>
      <c r="H461" s="161"/>
      <c r="I461" s="161"/>
      <c r="J461" s="161"/>
      <c r="K461" s="161"/>
      <c r="L461" s="161"/>
      <c r="M461" s="161"/>
      <c r="N461" s="161"/>
      <c r="O461" s="161"/>
      <c r="P461" s="161"/>
      <c r="Q461" s="161"/>
      <c r="R461" s="161"/>
      <c r="S461" s="161"/>
      <c r="T461" s="161"/>
      <c r="U461" s="161"/>
      <c r="V461" s="161"/>
      <c r="W461" s="161"/>
      <c r="X461" s="161"/>
      <c r="Y461" s="161"/>
      <c r="Z461" s="161"/>
      <c r="AA461" s="161"/>
      <c r="AB461" s="161"/>
      <c r="AC461" s="161"/>
      <c r="AD461" s="161"/>
      <c r="AE461" s="161"/>
      <c r="AF461" s="161"/>
      <c r="AG461" s="161"/>
      <c r="AH461" s="161"/>
      <c r="AI461" s="161"/>
      <c r="AJ461" s="161"/>
      <c r="AK461" s="161"/>
      <c r="AL461" s="161"/>
      <c r="AM461" s="161"/>
      <c r="AN461" s="161"/>
      <c r="AO461" s="161"/>
      <c r="AP461" s="161"/>
      <c r="AQ461" s="161"/>
      <c r="AR461" s="161"/>
      <c r="AS461" s="161"/>
      <c r="AT461" s="161"/>
      <c r="AU461" s="161"/>
      <c r="AV461" s="161"/>
      <c r="AW461" s="161"/>
      <c r="AX461" s="161"/>
      <c r="AY461" s="161"/>
      <c r="AZ461" s="161"/>
      <c r="BA461" s="161"/>
      <c r="BB461" s="161"/>
      <c r="BC461" s="161"/>
      <c r="BD461" s="161"/>
      <c r="BE461" s="161"/>
      <c r="BF461" s="161"/>
      <c r="BG461" s="161"/>
      <c r="BH461" s="161"/>
      <c r="BI461" s="161"/>
      <c r="BJ461" s="161"/>
      <c r="BK461" s="161"/>
      <c r="BL461" s="161"/>
      <c r="BM461" s="161"/>
      <c r="BN461" s="161"/>
      <c r="BO461" s="161"/>
      <c r="BP461" s="161"/>
      <c r="BQ461" s="161"/>
      <c r="BR461" s="161"/>
      <c r="BS461" s="161"/>
      <c r="BT461" s="161"/>
      <c r="BU461" s="161"/>
      <c r="BV461" s="161"/>
    </row>
    <row r="462" spans="1:74">
      <c r="A462" s="161"/>
      <c r="B462" s="161"/>
      <c r="C462" s="161"/>
      <c r="D462" s="161"/>
      <c r="E462" s="161"/>
      <c r="F462" s="161"/>
      <c r="G462" s="161"/>
      <c r="H462" s="161"/>
      <c r="I462" s="161"/>
      <c r="J462" s="161"/>
      <c r="K462" s="161"/>
      <c r="L462" s="161"/>
      <c r="M462" s="161"/>
      <c r="N462" s="161"/>
      <c r="O462" s="161"/>
      <c r="P462" s="161"/>
      <c r="Q462" s="161"/>
      <c r="R462" s="161"/>
      <c r="S462" s="161"/>
      <c r="T462" s="161"/>
      <c r="U462" s="161"/>
      <c r="V462" s="161"/>
      <c r="W462" s="161"/>
      <c r="X462" s="161"/>
      <c r="Y462" s="161"/>
      <c r="Z462" s="161"/>
      <c r="AA462" s="161"/>
      <c r="AB462" s="161"/>
      <c r="AC462" s="161"/>
      <c r="AD462" s="161"/>
      <c r="AE462" s="161"/>
      <c r="AF462" s="161"/>
      <c r="AG462" s="161"/>
      <c r="AH462" s="161"/>
      <c r="AI462" s="161"/>
      <c r="AJ462" s="161"/>
      <c r="AK462" s="161"/>
      <c r="AL462" s="161"/>
      <c r="AM462" s="161"/>
      <c r="AN462" s="161"/>
      <c r="AO462" s="161"/>
      <c r="AP462" s="161"/>
      <c r="AQ462" s="161"/>
      <c r="AR462" s="161"/>
      <c r="AS462" s="161"/>
      <c r="AT462" s="161"/>
      <c r="AU462" s="161"/>
      <c r="AV462" s="161"/>
      <c r="AW462" s="161"/>
      <c r="AX462" s="161"/>
      <c r="AY462" s="161"/>
      <c r="AZ462" s="161"/>
      <c r="BA462" s="161"/>
      <c r="BB462" s="161"/>
      <c r="BC462" s="161"/>
      <c r="BD462" s="161"/>
      <c r="BE462" s="161"/>
      <c r="BF462" s="161"/>
      <c r="BG462" s="161"/>
      <c r="BH462" s="161"/>
      <c r="BI462" s="161"/>
      <c r="BJ462" s="161"/>
      <c r="BK462" s="161"/>
      <c r="BL462" s="161"/>
      <c r="BM462" s="161"/>
      <c r="BN462" s="161"/>
      <c r="BO462" s="161"/>
      <c r="BP462" s="161"/>
      <c r="BQ462" s="161"/>
      <c r="BR462" s="161"/>
      <c r="BS462" s="161"/>
      <c r="BT462" s="161"/>
      <c r="BU462" s="161"/>
      <c r="BV462" s="161"/>
    </row>
    <row r="463" spans="1:74">
      <c r="A463" s="161"/>
      <c r="B463" s="161"/>
      <c r="C463" s="161"/>
      <c r="D463" s="161"/>
      <c r="E463" s="161"/>
      <c r="F463" s="161"/>
      <c r="G463" s="161"/>
      <c r="H463" s="161"/>
      <c r="I463" s="161"/>
      <c r="J463" s="161"/>
      <c r="K463" s="161"/>
      <c r="L463" s="161"/>
      <c r="M463" s="161"/>
      <c r="N463" s="161"/>
      <c r="O463" s="161"/>
      <c r="P463" s="161"/>
      <c r="Q463" s="161"/>
      <c r="R463" s="161"/>
      <c r="S463" s="161"/>
      <c r="T463" s="161"/>
      <c r="U463" s="161"/>
      <c r="V463" s="161"/>
      <c r="W463" s="161"/>
      <c r="X463" s="161"/>
      <c r="Y463" s="161"/>
      <c r="Z463" s="161"/>
      <c r="AA463" s="161"/>
      <c r="AB463" s="161"/>
      <c r="AC463" s="161"/>
      <c r="AD463" s="161"/>
      <c r="AE463" s="161"/>
      <c r="AF463" s="161"/>
      <c r="AG463" s="161"/>
      <c r="AH463" s="161"/>
      <c r="AI463" s="161"/>
      <c r="AJ463" s="161"/>
      <c r="AK463" s="161"/>
      <c r="AL463" s="161"/>
      <c r="AM463" s="161"/>
      <c r="AN463" s="161"/>
      <c r="AO463" s="161"/>
      <c r="AP463" s="161"/>
      <c r="AQ463" s="161"/>
      <c r="AR463" s="161"/>
      <c r="AS463" s="161"/>
      <c r="AT463" s="161"/>
      <c r="AU463" s="161"/>
      <c r="AV463" s="161"/>
      <c r="AW463" s="161"/>
      <c r="AX463" s="161"/>
      <c r="AY463" s="161"/>
      <c r="AZ463" s="161"/>
      <c r="BA463" s="161"/>
      <c r="BB463" s="161"/>
      <c r="BC463" s="161"/>
      <c r="BD463" s="161"/>
      <c r="BE463" s="161"/>
      <c r="BF463" s="161"/>
      <c r="BG463" s="161"/>
      <c r="BH463" s="161"/>
      <c r="BI463" s="161"/>
      <c r="BJ463" s="161"/>
      <c r="BK463" s="161"/>
      <c r="BL463" s="161"/>
      <c r="BM463" s="161"/>
      <c r="BN463" s="161"/>
      <c r="BO463" s="161"/>
      <c r="BP463" s="161"/>
      <c r="BQ463" s="161"/>
      <c r="BR463" s="161"/>
      <c r="BS463" s="161"/>
      <c r="BT463" s="161"/>
      <c r="BU463" s="161"/>
      <c r="BV463" s="161"/>
    </row>
    <row r="464" spans="1:74">
      <c r="A464" s="161"/>
      <c r="B464" s="161"/>
      <c r="C464" s="161"/>
      <c r="D464" s="161"/>
      <c r="E464" s="161"/>
      <c r="F464" s="161"/>
      <c r="G464" s="161"/>
      <c r="H464" s="161"/>
      <c r="I464" s="161"/>
      <c r="J464" s="161"/>
      <c r="K464" s="161"/>
      <c r="L464" s="161"/>
      <c r="M464" s="161"/>
      <c r="N464" s="161"/>
      <c r="O464" s="161"/>
      <c r="P464" s="161"/>
      <c r="Q464" s="161"/>
      <c r="R464" s="161"/>
      <c r="S464" s="161"/>
      <c r="T464" s="161"/>
      <c r="U464" s="161"/>
      <c r="V464" s="161"/>
      <c r="W464" s="161"/>
      <c r="X464" s="161"/>
      <c r="Y464" s="161"/>
      <c r="Z464" s="161"/>
      <c r="AA464" s="161"/>
      <c r="AB464" s="161"/>
      <c r="AC464" s="161"/>
      <c r="AD464" s="161"/>
      <c r="AE464" s="161"/>
      <c r="AF464" s="161"/>
      <c r="AG464" s="161"/>
      <c r="AH464" s="161"/>
      <c r="AI464" s="161"/>
      <c r="AJ464" s="161"/>
      <c r="AK464" s="161"/>
      <c r="AL464" s="161"/>
      <c r="AM464" s="161"/>
      <c r="AN464" s="161"/>
      <c r="AO464" s="161"/>
      <c r="AP464" s="161"/>
      <c r="AQ464" s="161"/>
      <c r="AR464" s="161"/>
      <c r="AS464" s="161"/>
      <c r="AT464" s="161"/>
      <c r="AU464" s="161"/>
      <c r="AV464" s="161"/>
      <c r="AW464" s="161"/>
      <c r="AX464" s="161"/>
      <c r="AY464" s="161"/>
      <c r="AZ464" s="161"/>
      <c r="BA464" s="161"/>
      <c r="BB464" s="161"/>
      <c r="BC464" s="161"/>
      <c r="BD464" s="161"/>
      <c r="BE464" s="161"/>
      <c r="BF464" s="161"/>
      <c r="BG464" s="161"/>
      <c r="BH464" s="161"/>
      <c r="BI464" s="161"/>
      <c r="BJ464" s="161"/>
      <c r="BK464" s="161"/>
      <c r="BL464" s="161"/>
      <c r="BM464" s="161"/>
      <c r="BN464" s="161"/>
      <c r="BO464" s="161"/>
      <c r="BP464" s="161"/>
      <c r="BQ464" s="161"/>
      <c r="BR464" s="161"/>
      <c r="BS464" s="161"/>
      <c r="BT464" s="161"/>
      <c r="BU464" s="161"/>
      <c r="BV464" s="161"/>
    </row>
    <row r="465" spans="1:74">
      <c r="A465" s="161"/>
      <c r="B465" s="161"/>
      <c r="C465" s="161"/>
      <c r="D465" s="161"/>
      <c r="E465" s="161"/>
      <c r="F465" s="161"/>
      <c r="G465" s="161"/>
      <c r="H465" s="161"/>
      <c r="I465" s="161"/>
      <c r="J465" s="161"/>
      <c r="K465" s="161"/>
      <c r="L465" s="161"/>
      <c r="M465" s="161"/>
      <c r="N465" s="161"/>
      <c r="O465" s="161"/>
      <c r="P465" s="161"/>
      <c r="Q465" s="161"/>
      <c r="R465" s="161"/>
      <c r="S465" s="161"/>
      <c r="T465" s="161"/>
      <c r="U465" s="161"/>
      <c r="V465" s="161"/>
      <c r="W465" s="161"/>
      <c r="X465" s="161"/>
      <c r="Y465" s="161"/>
      <c r="Z465" s="161"/>
      <c r="AA465" s="161"/>
      <c r="AB465" s="161"/>
      <c r="AC465" s="161"/>
      <c r="AD465" s="161"/>
      <c r="AE465" s="161"/>
      <c r="AF465" s="161"/>
      <c r="AG465" s="161"/>
      <c r="AH465" s="161"/>
      <c r="AI465" s="161"/>
      <c r="AJ465" s="161"/>
      <c r="AK465" s="161"/>
      <c r="AL465" s="161"/>
      <c r="AM465" s="161"/>
      <c r="AN465" s="161"/>
      <c r="AO465" s="161"/>
      <c r="AP465" s="161"/>
      <c r="AQ465" s="161"/>
      <c r="AR465" s="161"/>
      <c r="AS465" s="161"/>
      <c r="AT465" s="161"/>
      <c r="AU465" s="161"/>
      <c r="AV465" s="161"/>
      <c r="AW465" s="161"/>
      <c r="AX465" s="161"/>
      <c r="AY465" s="161"/>
      <c r="AZ465" s="161"/>
      <c r="BA465" s="161"/>
      <c r="BB465" s="161"/>
      <c r="BC465" s="161"/>
      <c r="BD465" s="161"/>
      <c r="BE465" s="161"/>
      <c r="BF465" s="161"/>
      <c r="BG465" s="161"/>
      <c r="BH465" s="161"/>
      <c r="BI465" s="161"/>
      <c r="BJ465" s="161"/>
      <c r="BK465" s="161"/>
      <c r="BL465" s="161"/>
      <c r="BM465" s="161"/>
      <c r="BN465" s="161"/>
      <c r="BO465" s="161"/>
      <c r="BP465" s="161"/>
      <c r="BQ465" s="161"/>
      <c r="BR465" s="161"/>
      <c r="BS465" s="161"/>
      <c r="BT465" s="161"/>
      <c r="BU465" s="161"/>
      <c r="BV465" s="161"/>
    </row>
    <row r="466" spans="1:74">
      <c r="A466" s="161"/>
      <c r="B466" s="161"/>
      <c r="C466" s="161"/>
      <c r="D466" s="161"/>
      <c r="E466" s="161"/>
      <c r="F466" s="161"/>
      <c r="G466" s="161"/>
      <c r="H466" s="161"/>
      <c r="I466" s="161"/>
      <c r="J466" s="161"/>
      <c r="K466" s="161"/>
      <c r="L466" s="161"/>
      <c r="M466" s="161"/>
      <c r="N466" s="161"/>
      <c r="O466" s="161"/>
      <c r="P466" s="161"/>
      <c r="Q466" s="161"/>
      <c r="R466" s="161"/>
      <c r="S466" s="161"/>
      <c r="T466" s="161"/>
      <c r="U466" s="161"/>
      <c r="V466" s="161"/>
      <c r="W466" s="161"/>
      <c r="X466" s="161"/>
      <c r="Y466" s="161"/>
      <c r="Z466" s="161"/>
      <c r="AA466" s="161"/>
      <c r="AB466" s="161"/>
      <c r="AC466" s="161"/>
      <c r="AD466" s="161"/>
      <c r="AE466" s="161"/>
      <c r="AF466" s="161"/>
      <c r="AG466" s="161"/>
      <c r="AH466" s="161"/>
      <c r="AI466" s="161"/>
      <c r="AJ466" s="161"/>
      <c r="AK466" s="161"/>
      <c r="AL466" s="161"/>
      <c r="AM466" s="161"/>
      <c r="AN466" s="161"/>
      <c r="AO466" s="161"/>
      <c r="AP466" s="161"/>
      <c r="AQ466" s="161"/>
      <c r="AR466" s="161"/>
      <c r="AS466" s="161"/>
      <c r="AT466" s="161"/>
      <c r="AU466" s="161"/>
      <c r="AV466" s="161"/>
      <c r="AW466" s="161"/>
      <c r="AX466" s="161"/>
      <c r="AY466" s="161"/>
      <c r="AZ466" s="161"/>
      <c r="BA466" s="161"/>
      <c r="BB466" s="161"/>
      <c r="BC466" s="161"/>
      <c r="BD466" s="161"/>
      <c r="BE466" s="161"/>
      <c r="BF466" s="161"/>
      <c r="BG466" s="161"/>
      <c r="BH466" s="161"/>
      <c r="BI466" s="161"/>
      <c r="BJ466" s="161"/>
      <c r="BK466" s="161"/>
      <c r="BL466" s="161"/>
      <c r="BM466" s="161"/>
      <c r="BN466" s="161"/>
      <c r="BO466" s="161"/>
      <c r="BP466" s="161"/>
      <c r="BQ466" s="161"/>
      <c r="BR466" s="161"/>
      <c r="BS466" s="161"/>
      <c r="BT466" s="161"/>
      <c r="BU466" s="161"/>
      <c r="BV466" s="161"/>
    </row>
    <row r="467" spans="1:74">
      <c r="A467" s="161"/>
      <c r="B467" s="161"/>
      <c r="C467" s="161"/>
      <c r="D467" s="161"/>
      <c r="E467" s="161"/>
      <c r="F467" s="161"/>
      <c r="G467" s="161"/>
      <c r="H467" s="161"/>
      <c r="I467" s="161"/>
      <c r="J467" s="161"/>
      <c r="K467" s="161"/>
      <c r="L467" s="161"/>
      <c r="M467" s="161"/>
      <c r="N467" s="161"/>
      <c r="O467" s="161"/>
      <c r="P467" s="161"/>
      <c r="Q467" s="161"/>
      <c r="R467" s="161"/>
      <c r="S467" s="161"/>
      <c r="T467" s="161"/>
      <c r="U467" s="161"/>
      <c r="V467" s="161"/>
      <c r="W467" s="161"/>
      <c r="X467" s="161"/>
      <c r="Y467" s="161"/>
      <c r="Z467" s="161"/>
      <c r="AA467" s="161"/>
      <c r="AB467" s="161"/>
      <c r="AC467" s="161"/>
      <c r="AD467" s="161"/>
      <c r="AE467" s="161"/>
      <c r="AF467" s="161"/>
      <c r="AG467" s="161"/>
      <c r="AH467" s="161"/>
      <c r="AI467" s="161"/>
      <c r="AJ467" s="161"/>
      <c r="AK467" s="161"/>
      <c r="AL467" s="161"/>
      <c r="AM467" s="161"/>
      <c r="AN467" s="161"/>
      <c r="AO467" s="161"/>
      <c r="AP467" s="161"/>
      <c r="AQ467" s="161"/>
      <c r="AR467" s="161"/>
      <c r="AS467" s="161"/>
      <c r="AT467" s="161"/>
      <c r="AU467" s="161"/>
      <c r="AV467" s="161"/>
      <c r="AW467" s="161"/>
      <c r="AX467" s="161"/>
      <c r="AY467" s="161"/>
      <c r="AZ467" s="161"/>
      <c r="BA467" s="161"/>
      <c r="BB467" s="161"/>
      <c r="BC467" s="161"/>
      <c r="BD467" s="161"/>
      <c r="BE467" s="161"/>
      <c r="BF467" s="161"/>
      <c r="BG467" s="161"/>
      <c r="BH467" s="161"/>
      <c r="BI467" s="161"/>
      <c r="BJ467" s="161"/>
      <c r="BK467" s="161"/>
      <c r="BL467" s="161"/>
      <c r="BM467" s="161"/>
      <c r="BN467" s="161"/>
      <c r="BO467" s="161"/>
      <c r="BP467" s="161"/>
      <c r="BQ467" s="161"/>
      <c r="BR467" s="161"/>
      <c r="BS467" s="161"/>
      <c r="BT467" s="161"/>
      <c r="BU467" s="161"/>
      <c r="BV467" s="161"/>
    </row>
    <row r="468" spans="1:74">
      <c r="A468" s="161"/>
      <c r="B468" s="161" t="s">
        <v>122</v>
      </c>
      <c r="C468" s="161"/>
      <c r="D468" s="161"/>
      <c r="E468" s="161"/>
      <c r="F468" s="161"/>
      <c r="G468" s="161"/>
      <c r="H468" s="161"/>
      <c r="I468" s="161"/>
      <c r="J468" s="161"/>
      <c r="K468" s="161"/>
      <c r="L468" s="161"/>
      <c r="M468" s="161"/>
      <c r="N468" s="161"/>
      <c r="O468" s="161"/>
      <c r="P468" s="161"/>
      <c r="Q468" s="161"/>
      <c r="R468" s="161"/>
      <c r="S468" s="161"/>
      <c r="T468" s="161"/>
      <c r="U468" s="161"/>
      <c r="V468" s="161"/>
      <c r="W468" s="161"/>
      <c r="X468" s="161"/>
      <c r="Y468" s="161"/>
      <c r="Z468" s="161"/>
      <c r="AA468" s="161"/>
      <c r="AB468" s="161"/>
      <c r="AC468" s="161"/>
      <c r="AD468" s="161"/>
      <c r="AE468" s="161"/>
      <c r="AF468" s="161"/>
      <c r="AG468" s="161"/>
      <c r="AH468" s="161"/>
      <c r="AI468" s="161"/>
      <c r="AJ468" s="161"/>
      <c r="AK468" s="161"/>
      <c r="AL468" s="161"/>
      <c r="AM468" s="161"/>
      <c r="AN468" s="161"/>
      <c r="AO468" s="161"/>
      <c r="AP468" s="161"/>
      <c r="AQ468" s="161"/>
      <c r="AR468" s="161"/>
      <c r="AS468" s="161"/>
      <c r="AT468" s="161"/>
      <c r="AU468" s="161"/>
      <c r="AV468" s="161"/>
      <c r="AW468" s="161"/>
      <c r="AX468" s="161"/>
      <c r="AY468" s="161"/>
      <c r="AZ468" s="161"/>
      <c r="BA468" s="161"/>
      <c r="BB468" s="161"/>
      <c r="BC468" s="161"/>
      <c r="BD468" s="161"/>
      <c r="BE468" s="161"/>
      <c r="BF468" s="161"/>
      <c r="BG468" s="161"/>
      <c r="BH468" s="161"/>
      <c r="BI468" s="161"/>
      <c r="BJ468" s="161"/>
      <c r="BK468" s="161"/>
      <c r="BL468" s="161"/>
      <c r="BM468" s="161"/>
      <c r="BN468" s="161"/>
      <c r="BO468" s="161"/>
      <c r="BP468" s="161"/>
      <c r="BQ468" s="161"/>
      <c r="BR468" s="161"/>
      <c r="BS468" s="161"/>
      <c r="BT468" s="161"/>
      <c r="BU468" s="161"/>
      <c r="BV468" s="161"/>
    </row>
    <row r="469" spans="1:74">
      <c r="A469" s="161"/>
      <c r="B469" s="161"/>
      <c r="C469" s="161"/>
      <c r="D469" s="161"/>
      <c r="E469" s="161"/>
      <c r="F469" s="161"/>
      <c r="G469" s="161"/>
      <c r="H469" s="161"/>
      <c r="I469" s="161"/>
      <c r="J469" s="161"/>
      <c r="K469" s="161"/>
      <c r="L469" s="161"/>
      <c r="M469" s="161"/>
      <c r="N469" s="161"/>
      <c r="O469" s="161"/>
      <c r="P469" s="161"/>
      <c r="Q469" s="161"/>
      <c r="R469" s="161"/>
      <c r="S469" s="161"/>
      <c r="T469" s="161"/>
      <c r="U469" s="161"/>
      <c r="V469" s="161"/>
      <c r="W469" s="161"/>
      <c r="X469" s="161"/>
      <c r="Y469" s="161"/>
      <c r="Z469" s="161"/>
      <c r="AA469" s="161"/>
      <c r="AB469" s="161"/>
      <c r="AC469" s="161"/>
      <c r="AD469" s="161"/>
      <c r="AE469" s="161"/>
      <c r="AF469" s="161"/>
      <c r="AG469" s="161"/>
      <c r="AH469" s="161"/>
      <c r="AI469" s="161"/>
      <c r="AJ469" s="161"/>
      <c r="AK469" s="161"/>
      <c r="AL469" s="161"/>
      <c r="AM469" s="161"/>
      <c r="AN469" s="161"/>
      <c r="AO469" s="161"/>
      <c r="AP469" s="161"/>
      <c r="AQ469" s="161"/>
      <c r="AR469" s="161"/>
      <c r="AS469" s="161"/>
      <c r="AT469" s="161"/>
      <c r="AU469" s="161"/>
      <c r="AV469" s="161"/>
      <c r="AW469" s="161"/>
      <c r="AX469" s="161"/>
      <c r="AY469" s="161"/>
      <c r="AZ469" s="161"/>
      <c r="BA469" s="161"/>
      <c r="BB469" s="161"/>
      <c r="BC469" s="161"/>
      <c r="BD469" s="161"/>
      <c r="BE469" s="161"/>
      <c r="BF469" s="161"/>
      <c r="BG469" s="161"/>
      <c r="BH469" s="161"/>
      <c r="BI469" s="161"/>
      <c r="BJ469" s="161"/>
      <c r="BK469" s="161"/>
      <c r="BL469" s="161"/>
      <c r="BM469" s="161"/>
      <c r="BN469" s="161"/>
      <c r="BO469" s="161"/>
      <c r="BP469" s="161"/>
      <c r="BQ469" s="161"/>
      <c r="BR469" s="161"/>
      <c r="BS469" s="161"/>
      <c r="BT469" s="161"/>
      <c r="BU469" s="161"/>
      <c r="BV469" s="161"/>
    </row>
    <row r="470" spans="1:74">
      <c r="A470" s="161"/>
      <c r="B470" s="161"/>
      <c r="C470" s="161"/>
      <c r="D470" s="161"/>
      <c r="E470" s="161"/>
      <c r="F470" s="161"/>
      <c r="G470" s="161"/>
      <c r="H470" s="161"/>
      <c r="I470" s="161"/>
      <c r="J470" s="161"/>
      <c r="K470" s="161"/>
      <c r="L470" s="161"/>
      <c r="M470" s="161"/>
      <c r="N470" s="161"/>
      <c r="O470" s="161"/>
      <c r="P470" s="161"/>
      <c r="Q470" s="161"/>
      <c r="R470" s="161"/>
      <c r="S470" s="161"/>
      <c r="T470" s="161"/>
      <c r="U470" s="161"/>
      <c r="V470" s="161"/>
      <c r="W470" s="161"/>
      <c r="X470" s="161"/>
      <c r="Y470" s="161"/>
      <c r="Z470" s="161"/>
      <c r="AA470" s="161"/>
      <c r="AB470" s="161"/>
      <c r="AC470" s="161"/>
      <c r="AD470" s="161"/>
      <c r="AE470" s="161"/>
      <c r="AF470" s="161"/>
      <c r="AG470" s="161"/>
      <c r="AH470" s="161"/>
      <c r="AI470" s="161"/>
      <c r="AJ470" s="161"/>
      <c r="AK470" s="161"/>
      <c r="AL470" s="161"/>
      <c r="AM470" s="161"/>
      <c r="AN470" s="161"/>
      <c r="AO470" s="161"/>
      <c r="AP470" s="161"/>
      <c r="AQ470" s="161"/>
      <c r="AR470" s="161"/>
      <c r="AS470" s="161"/>
      <c r="AT470" s="161"/>
      <c r="AU470" s="161"/>
      <c r="AV470" s="161"/>
      <c r="AW470" s="161"/>
      <c r="AX470" s="161"/>
      <c r="AY470" s="161"/>
      <c r="AZ470" s="161"/>
      <c r="BA470" s="161"/>
      <c r="BB470" s="161"/>
      <c r="BC470" s="161"/>
      <c r="BD470" s="161"/>
      <c r="BE470" s="161"/>
      <c r="BF470" s="161"/>
      <c r="BG470" s="161"/>
      <c r="BH470" s="161"/>
      <c r="BI470" s="161"/>
      <c r="BJ470" s="161"/>
      <c r="BK470" s="161"/>
      <c r="BL470" s="161"/>
      <c r="BM470" s="161"/>
      <c r="BN470" s="161"/>
      <c r="BO470" s="161"/>
      <c r="BP470" s="161"/>
      <c r="BQ470" s="161"/>
      <c r="BR470" s="161"/>
      <c r="BS470" s="161"/>
      <c r="BT470" s="161"/>
      <c r="BU470" s="161"/>
      <c r="BV470" s="161"/>
    </row>
    <row r="471" spans="1:74">
      <c r="A471" s="161"/>
      <c r="B471" s="161"/>
      <c r="C471" s="161"/>
      <c r="D471" s="161"/>
      <c r="E471" s="161"/>
      <c r="F471" s="161"/>
      <c r="G471" s="161"/>
      <c r="H471" s="161"/>
      <c r="I471" s="161"/>
      <c r="J471" s="161"/>
      <c r="K471" s="161"/>
      <c r="L471" s="161"/>
      <c r="M471" s="161"/>
      <c r="N471" s="161"/>
      <c r="O471" s="161"/>
      <c r="P471" s="161"/>
      <c r="Q471" s="161"/>
      <c r="R471" s="161"/>
      <c r="S471" s="161"/>
      <c r="T471" s="161"/>
      <c r="U471" s="161"/>
      <c r="V471" s="161"/>
      <c r="W471" s="161"/>
      <c r="X471" s="161"/>
      <c r="Y471" s="161"/>
      <c r="Z471" s="161"/>
      <c r="AA471" s="161"/>
      <c r="AB471" s="161"/>
      <c r="AC471" s="161"/>
      <c r="AD471" s="161"/>
      <c r="AE471" s="161"/>
      <c r="AF471" s="161"/>
      <c r="AG471" s="161"/>
      <c r="AH471" s="161"/>
      <c r="AI471" s="161"/>
      <c r="AJ471" s="161"/>
      <c r="AK471" s="161"/>
      <c r="AL471" s="161"/>
      <c r="AM471" s="161"/>
      <c r="AN471" s="161"/>
      <c r="AO471" s="161"/>
      <c r="AP471" s="161"/>
      <c r="AQ471" s="161"/>
      <c r="AR471" s="161"/>
      <c r="AS471" s="161"/>
      <c r="AT471" s="161"/>
      <c r="AU471" s="161"/>
      <c r="AV471" s="161"/>
      <c r="AW471" s="161"/>
      <c r="AX471" s="161"/>
      <c r="AY471" s="161"/>
      <c r="AZ471" s="161"/>
      <c r="BA471" s="161"/>
      <c r="BB471" s="161"/>
      <c r="BC471" s="161"/>
      <c r="BD471" s="161"/>
      <c r="BE471" s="161"/>
      <c r="BF471" s="161"/>
      <c r="BG471" s="161"/>
      <c r="BH471" s="161"/>
      <c r="BI471" s="161"/>
      <c r="BJ471" s="161"/>
      <c r="BK471" s="161"/>
      <c r="BL471" s="161"/>
      <c r="BM471" s="161"/>
      <c r="BN471" s="161"/>
      <c r="BO471" s="161"/>
      <c r="BP471" s="161"/>
      <c r="BQ471" s="161"/>
      <c r="BR471" s="161"/>
      <c r="BS471" s="161"/>
      <c r="BT471" s="161"/>
      <c r="BU471" s="161"/>
      <c r="BV471" s="161"/>
    </row>
    <row r="472" spans="1:74">
      <c r="A472" s="161"/>
      <c r="B472" s="161"/>
      <c r="C472" s="161"/>
      <c r="D472" s="161"/>
      <c r="E472" s="161"/>
      <c r="F472" s="161"/>
      <c r="G472" s="161"/>
      <c r="H472" s="161"/>
      <c r="I472" s="161"/>
      <c r="J472" s="161"/>
      <c r="K472" s="161"/>
      <c r="L472" s="161"/>
      <c r="M472" s="161"/>
      <c r="N472" s="161"/>
      <c r="O472" s="161"/>
      <c r="P472" s="161"/>
      <c r="Q472" s="161"/>
      <c r="R472" s="161"/>
      <c r="S472" s="161"/>
      <c r="T472" s="161"/>
      <c r="U472" s="161"/>
      <c r="V472" s="161"/>
      <c r="W472" s="161"/>
      <c r="X472" s="161"/>
      <c r="Y472" s="161"/>
      <c r="Z472" s="161"/>
      <c r="AA472" s="161"/>
      <c r="AB472" s="161"/>
      <c r="AC472" s="161"/>
      <c r="AD472" s="161"/>
      <c r="AE472" s="161"/>
      <c r="AF472" s="161"/>
      <c r="AG472" s="161"/>
      <c r="AH472" s="161"/>
      <c r="AI472" s="161"/>
      <c r="AJ472" s="161"/>
      <c r="AK472" s="161"/>
      <c r="AL472" s="161"/>
      <c r="AM472" s="161"/>
      <c r="AN472" s="161"/>
      <c r="AO472" s="161"/>
      <c r="AP472" s="161"/>
      <c r="AQ472" s="161"/>
      <c r="AR472" s="161"/>
      <c r="AS472" s="161"/>
      <c r="AT472" s="161"/>
      <c r="AU472" s="161"/>
      <c r="AV472" s="161"/>
      <c r="AW472" s="161"/>
      <c r="AX472" s="161"/>
      <c r="AY472" s="161"/>
      <c r="AZ472" s="161"/>
      <c r="BA472" s="161"/>
      <c r="BB472" s="161"/>
      <c r="BC472" s="161"/>
      <c r="BD472" s="161"/>
      <c r="BE472" s="161"/>
      <c r="BF472" s="161"/>
      <c r="BG472" s="161"/>
      <c r="BH472" s="161"/>
      <c r="BI472" s="161"/>
      <c r="BJ472" s="161"/>
      <c r="BK472" s="161"/>
      <c r="BL472" s="161"/>
      <c r="BM472" s="161"/>
      <c r="BN472" s="161"/>
      <c r="BO472" s="161"/>
      <c r="BP472" s="161"/>
      <c r="BQ472" s="161"/>
      <c r="BR472" s="161"/>
      <c r="BS472" s="161"/>
      <c r="BT472" s="161"/>
      <c r="BU472" s="161"/>
      <c r="BV472" s="161"/>
    </row>
    <row r="473" spans="1:74">
      <c r="A473" s="161"/>
      <c r="B473" s="161"/>
      <c r="C473" s="161"/>
      <c r="D473" s="161"/>
      <c r="E473" s="161"/>
      <c r="F473" s="161"/>
      <c r="G473" s="161"/>
      <c r="H473" s="161"/>
      <c r="I473" s="161"/>
      <c r="J473" s="161"/>
      <c r="K473" s="161"/>
      <c r="L473" s="161"/>
      <c r="M473" s="161"/>
      <c r="N473" s="161"/>
      <c r="O473" s="161"/>
      <c r="P473" s="161"/>
      <c r="Q473" s="161"/>
      <c r="R473" s="161"/>
      <c r="S473" s="161"/>
      <c r="T473" s="161"/>
      <c r="U473" s="161"/>
      <c r="V473" s="161"/>
      <c r="W473" s="161"/>
      <c r="X473" s="161"/>
      <c r="Y473" s="161"/>
      <c r="Z473" s="161"/>
      <c r="AA473" s="161"/>
      <c r="AB473" s="161"/>
      <c r="AC473" s="161"/>
      <c r="AD473" s="161"/>
      <c r="AE473" s="161"/>
      <c r="AF473" s="161"/>
      <c r="AG473" s="161"/>
      <c r="AH473" s="161"/>
      <c r="AI473" s="161"/>
      <c r="AJ473" s="161"/>
      <c r="AK473" s="161"/>
      <c r="AL473" s="161"/>
      <c r="AM473" s="161"/>
      <c r="AN473" s="161"/>
      <c r="AO473" s="161"/>
      <c r="AP473" s="161"/>
      <c r="AQ473" s="161"/>
      <c r="AR473" s="161"/>
      <c r="AS473" s="161"/>
      <c r="AT473" s="161"/>
      <c r="AU473" s="161"/>
      <c r="AV473" s="161"/>
      <c r="AW473" s="161"/>
      <c r="AX473" s="161"/>
      <c r="AY473" s="161"/>
      <c r="AZ473" s="161"/>
      <c r="BA473" s="161"/>
      <c r="BB473" s="161"/>
      <c r="BC473" s="161"/>
      <c r="BD473" s="161"/>
      <c r="BE473" s="161"/>
      <c r="BF473" s="161"/>
      <c r="BG473" s="161"/>
      <c r="BH473" s="161"/>
      <c r="BI473" s="161"/>
      <c r="BJ473" s="161"/>
      <c r="BK473" s="161"/>
      <c r="BL473" s="161"/>
      <c r="BM473" s="161"/>
      <c r="BN473" s="161"/>
      <c r="BO473" s="161"/>
      <c r="BP473" s="161"/>
      <c r="BQ473" s="161"/>
      <c r="BR473" s="161"/>
      <c r="BS473" s="161"/>
      <c r="BT473" s="161"/>
      <c r="BU473" s="161"/>
      <c r="BV473" s="161"/>
    </row>
    <row r="474" spans="1:74">
      <c r="A474" s="161"/>
      <c r="B474" s="161"/>
      <c r="C474" s="161"/>
      <c r="D474" s="161"/>
      <c r="E474" s="161"/>
      <c r="F474" s="161"/>
      <c r="G474" s="161"/>
      <c r="H474" s="161"/>
      <c r="I474" s="161"/>
      <c r="J474" s="161"/>
      <c r="K474" s="161"/>
      <c r="L474" s="161"/>
      <c r="M474" s="161"/>
      <c r="N474" s="161"/>
      <c r="O474" s="161"/>
      <c r="P474" s="161"/>
      <c r="Q474" s="161"/>
      <c r="R474" s="161"/>
      <c r="S474" s="161"/>
      <c r="T474" s="161"/>
      <c r="U474" s="161"/>
      <c r="V474" s="161"/>
      <c r="W474" s="161"/>
      <c r="X474" s="161"/>
      <c r="Y474" s="161"/>
      <c r="Z474" s="161"/>
      <c r="AA474" s="161"/>
      <c r="AB474" s="161"/>
      <c r="AC474" s="161"/>
      <c r="AD474" s="161"/>
      <c r="AE474" s="161"/>
      <c r="AF474" s="161"/>
      <c r="AG474" s="161"/>
      <c r="AH474" s="161"/>
      <c r="AI474" s="161"/>
      <c r="AJ474" s="161"/>
      <c r="AK474" s="161"/>
      <c r="AL474" s="161"/>
      <c r="AM474" s="161"/>
      <c r="AN474" s="161"/>
      <c r="AO474" s="161"/>
      <c r="AP474" s="161"/>
      <c r="AQ474" s="161"/>
      <c r="AR474" s="161"/>
      <c r="AS474" s="161"/>
      <c r="AT474" s="161"/>
      <c r="AU474" s="161"/>
      <c r="AV474" s="161"/>
      <c r="AW474" s="161"/>
      <c r="AX474" s="161"/>
      <c r="AY474" s="161"/>
      <c r="AZ474" s="161"/>
      <c r="BA474" s="161"/>
      <c r="BB474" s="161"/>
      <c r="BC474" s="161"/>
      <c r="BD474" s="161"/>
      <c r="BE474" s="161"/>
      <c r="BF474" s="161"/>
      <c r="BG474" s="161"/>
      <c r="BH474" s="161"/>
      <c r="BI474" s="161"/>
      <c r="BJ474" s="161"/>
      <c r="BK474" s="161"/>
      <c r="BL474" s="161"/>
      <c r="BM474" s="161"/>
      <c r="BN474" s="161"/>
      <c r="BO474" s="161"/>
      <c r="BP474" s="161"/>
      <c r="BQ474" s="161"/>
      <c r="BR474" s="161"/>
      <c r="BS474" s="161"/>
      <c r="BT474" s="161"/>
      <c r="BU474" s="161"/>
      <c r="BV474" s="161"/>
    </row>
    <row r="475" spans="1:74">
      <c r="A475" s="161"/>
      <c r="B475" s="161"/>
      <c r="C475" s="161"/>
      <c r="D475" s="161"/>
      <c r="E475" s="161"/>
      <c r="F475" s="161"/>
      <c r="G475" s="161"/>
      <c r="H475" s="161"/>
      <c r="I475" s="161"/>
      <c r="J475" s="161"/>
      <c r="K475" s="161"/>
      <c r="L475" s="161"/>
      <c r="M475" s="161"/>
      <c r="N475" s="161"/>
      <c r="O475" s="161"/>
      <c r="P475" s="161"/>
      <c r="Q475" s="161"/>
      <c r="R475" s="161"/>
      <c r="S475" s="161"/>
      <c r="T475" s="161"/>
      <c r="U475" s="161"/>
      <c r="V475" s="161"/>
      <c r="W475" s="161"/>
      <c r="X475" s="161"/>
      <c r="Y475" s="161"/>
      <c r="Z475" s="161"/>
      <c r="AA475" s="161"/>
      <c r="AB475" s="161"/>
      <c r="AC475" s="161"/>
      <c r="AD475" s="161"/>
      <c r="AE475" s="161"/>
      <c r="AF475" s="161"/>
      <c r="AG475" s="161"/>
      <c r="AH475" s="161"/>
      <c r="AI475" s="161"/>
      <c r="AJ475" s="161"/>
      <c r="AK475" s="161"/>
      <c r="AL475" s="161"/>
      <c r="AM475" s="161"/>
      <c r="AN475" s="161"/>
      <c r="AO475" s="161"/>
      <c r="AP475" s="161"/>
      <c r="AQ475" s="161"/>
      <c r="AR475" s="161"/>
      <c r="AS475" s="161"/>
      <c r="AT475" s="161"/>
      <c r="AU475" s="161"/>
      <c r="AV475" s="161"/>
      <c r="AW475" s="161"/>
      <c r="AX475" s="161"/>
      <c r="AY475" s="161"/>
      <c r="AZ475" s="161"/>
      <c r="BA475" s="161"/>
      <c r="BB475" s="161"/>
      <c r="BC475" s="161"/>
      <c r="BD475" s="161"/>
      <c r="BE475" s="161"/>
      <c r="BF475" s="161"/>
      <c r="BG475" s="161"/>
      <c r="BH475" s="161"/>
      <c r="BI475" s="161"/>
      <c r="BJ475" s="161"/>
      <c r="BK475" s="161"/>
      <c r="BL475" s="161"/>
      <c r="BM475" s="161"/>
      <c r="BN475" s="161"/>
      <c r="BO475" s="161"/>
      <c r="BP475" s="161"/>
      <c r="BQ475" s="161"/>
      <c r="BR475" s="161"/>
      <c r="BS475" s="161"/>
      <c r="BT475" s="161"/>
      <c r="BU475" s="161"/>
      <c r="BV475" s="161"/>
    </row>
    <row r="476" spans="1:74">
      <c r="A476" s="161"/>
      <c r="B476" s="161"/>
      <c r="C476" s="161"/>
      <c r="D476" s="161"/>
      <c r="E476" s="161"/>
      <c r="F476" s="161"/>
      <c r="G476" s="161"/>
      <c r="H476" s="161"/>
      <c r="I476" s="161"/>
      <c r="J476" s="161"/>
      <c r="K476" s="161"/>
      <c r="L476" s="161"/>
      <c r="M476" s="161"/>
      <c r="N476" s="161"/>
      <c r="O476" s="161"/>
      <c r="P476" s="161"/>
      <c r="Q476" s="161"/>
      <c r="R476" s="161"/>
      <c r="S476" s="161"/>
      <c r="T476" s="161"/>
      <c r="U476" s="161"/>
      <c r="V476" s="161"/>
      <c r="W476" s="161"/>
      <c r="X476" s="161"/>
      <c r="Y476" s="161"/>
      <c r="Z476" s="161"/>
      <c r="AA476" s="161"/>
      <c r="AB476" s="161"/>
      <c r="AC476" s="161"/>
      <c r="AD476" s="161"/>
      <c r="AE476" s="161"/>
      <c r="AF476" s="161"/>
      <c r="AG476" s="161"/>
      <c r="AH476" s="161"/>
      <c r="AI476" s="161"/>
      <c r="AJ476" s="161"/>
      <c r="AK476" s="161"/>
      <c r="AL476" s="161"/>
      <c r="AM476" s="161"/>
      <c r="AN476" s="161"/>
      <c r="AO476" s="161"/>
      <c r="AP476" s="161"/>
      <c r="AQ476" s="161"/>
      <c r="AR476" s="161"/>
      <c r="AS476" s="161"/>
      <c r="AT476" s="161"/>
      <c r="AU476" s="161"/>
      <c r="AV476" s="161"/>
      <c r="AW476" s="161"/>
      <c r="AX476" s="161"/>
      <c r="AY476" s="161"/>
      <c r="AZ476" s="161"/>
      <c r="BA476" s="161"/>
      <c r="BB476" s="161"/>
      <c r="BC476" s="161"/>
      <c r="BD476" s="161"/>
      <c r="BE476" s="161"/>
      <c r="BF476" s="161"/>
      <c r="BG476" s="161"/>
      <c r="BH476" s="161"/>
      <c r="BI476" s="161"/>
      <c r="BJ476" s="161"/>
      <c r="BK476" s="161"/>
      <c r="BL476" s="161"/>
      <c r="BM476" s="161"/>
      <c r="BN476" s="161"/>
      <c r="BO476" s="161"/>
      <c r="BP476" s="161"/>
      <c r="BQ476" s="161"/>
      <c r="BR476" s="161"/>
      <c r="BS476" s="161"/>
      <c r="BT476" s="161"/>
      <c r="BU476" s="161"/>
      <c r="BV476" s="161"/>
    </row>
    <row r="477" spans="1:74">
      <c r="A477" s="161"/>
      <c r="B477" s="161"/>
      <c r="C477" s="161"/>
      <c r="D477" s="161"/>
      <c r="E477" s="161"/>
      <c r="F477" s="161"/>
      <c r="G477" s="161"/>
      <c r="H477" s="161"/>
      <c r="I477" s="161"/>
      <c r="J477" s="161"/>
      <c r="K477" s="161"/>
      <c r="L477" s="161"/>
      <c r="M477" s="161"/>
      <c r="N477" s="161"/>
      <c r="O477" s="161"/>
      <c r="P477" s="161"/>
      <c r="Q477" s="161"/>
      <c r="R477" s="161"/>
      <c r="S477" s="161"/>
      <c r="T477" s="161"/>
      <c r="U477" s="161"/>
      <c r="V477" s="161"/>
      <c r="W477" s="161"/>
      <c r="X477" s="161"/>
      <c r="Y477" s="161"/>
      <c r="Z477" s="161"/>
      <c r="AA477" s="161"/>
      <c r="AB477" s="161"/>
      <c r="AC477" s="161"/>
      <c r="AD477" s="161"/>
      <c r="AE477" s="161"/>
      <c r="AF477" s="161"/>
      <c r="AG477" s="161"/>
      <c r="AH477" s="161"/>
      <c r="AI477" s="161"/>
      <c r="AJ477" s="161"/>
      <c r="AK477" s="161"/>
      <c r="AL477" s="161"/>
      <c r="AM477" s="161"/>
      <c r="AN477" s="161"/>
      <c r="AO477" s="161"/>
      <c r="AP477" s="161"/>
      <c r="AQ477" s="161"/>
      <c r="AR477" s="161"/>
      <c r="AS477" s="161"/>
      <c r="AT477" s="161"/>
      <c r="AU477" s="161"/>
      <c r="AV477" s="161"/>
      <c r="AW477" s="161"/>
      <c r="AX477" s="161"/>
      <c r="AY477" s="161"/>
      <c r="AZ477" s="161"/>
      <c r="BA477" s="161"/>
      <c r="BB477" s="161"/>
      <c r="BC477" s="161"/>
      <c r="BD477" s="161"/>
      <c r="BE477" s="161"/>
      <c r="BF477" s="161"/>
      <c r="BG477" s="161"/>
      <c r="BH477" s="161"/>
      <c r="BI477" s="161"/>
      <c r="BJ477" s="161"/>
      <c r="BK477" s="161"/>
      <c r="BL477" s="161"/>
      <c r="BM477" s="161"/>
      <c r="BN477" s="161"/>
      <c r="BO477" s="161"/>
      <c r="BP477" s="161"/>
      <c r="BQ477" s="161"/>
      <c r="BR477" s="161"/>
      <c r="BS477" s="161"/>
      <c r="BT477" s="161"/>
      <c r="BU477" s="161"/>
      <c r="BV477" s="161"/>
    </row>
    <row r="478" spans="1:74">
      <c r="A478" s="161"/>
      <c r="B478" s="161"/>
      <c r="C478" s="161"/>
      <c r="D478" s="161"/>
      <c r="E478" s="161"/>
      <c r="F478" s="161"/>
      <c r="G478" s="161"/>
      <c r="H478" s="161"/>
      <c r="I478" s="161"/>
      <c r="J478" s="161"/>
      <c r="K478" s="161"/>
      <c r="L478" s="161"/>
      <c r="M478" s="161"/>
      <c r="N478" s="161"/>
      <c r="O478" s="161"/>
      <c r="P478" s="161"/>
      <c r="Q478" s="161"/>
      <c r="R478" s="161"/>
      <c r="S478" s="161"/>
      <c r="T478" s="161"/>
      <c r="U478" s="161"/>
      <c r="V478" s="161"/>
      <c r="W478" s="161"/>
      <c r="X478" s="161"/>
      <c r="Y478" s="161"/>
      <c r="Z478" s="161"/>
      <c r="AA478" s="161"/>
      <c r="AB478" s="161"/>
      <c r="AC478" s="161"/>
      <c r="AD478" s="161"/>
      <c r="AE478" s="161"/>
      <c r="AF478" s="161"/>
      <c r="AG478" s="161"/>
      <c r="AH478" s="161"/>
      <c r="AI478" s="161"/>
      <c r="AJ478" s="161"/>
      <c r="AK478" s="161"/>
      <c r="AL478" s="161"/>
      <c r="AM478" s="161"/>
      <c r="AN478" s="161"/>
      <c r="AO478" s="161"/>
      <c r="AP478" s="161"/>
      <c r="AQ478" s="161"/>
      <c r="AR478" s="161"/>
      <c r="AS478" s="161"/>
      <c r="AT478" s="161"/>
      <c r="AU478" s="161"/>
      <c r="AV478" s="161"/>
      <c r="AW478" s="161"/>
      <c r="AX478" s="161"/>
      <c r="AY478" s="161"/>
      <c r="AZ478" s="161"/>
      <c r="BA478" s="161"/>
      <c r="BB478" s="161"/>
      <c r="BC478" s="161"/>
      <c r="BD478" s="161"/>
      <c r="BE478" s="161"/>
      <c r="BF478" s="161"/>
      <c r="BG478" s="161"/>
      <c r="BH478" s="161"/>
      <c r="BI478" s="161"/>
      <c r="BJ478" s="161"/>
      <c r="BK478" s="161"/>
      <c r="BL478" s="161"/>
      <c r="BM478" s="161"/>
      <c r="BN478" s="161"/>
      <c r="BO478" s="161"/>
      <c r="BP478" s="161"/>
      <c r="BQ478" s="161"/>
      <c r="BR478" s="161"/>
      <c r="BS478" s="161"/>
      <c r="BT478" s="161"/>
      <c r="BU478" s="161"/>
      <c r="BV478" s="161"/>
    </row>
    <row r="479" spans="1:74">
      <c r="A479" s="161"/>
      <c r="B479" s="161"/>
      <c r="C479" s="161"/>
      <c r="D479" s="161"/>
      <c r="E479" s="161"/>
      <c r="F479" s="161"/>
      <c r="G479" s="161"/>
      <c r="H479" s="161"/>
      <c r="I479" s="161"/>
      <c r="J479" s="161"/>
      <c r="K479" s="161"/>
      <c r="L479" s="161"/>
      <c r="M479" s="161"/>
      <c r="N479" s="161"/>
      <c r="O479" s="161"/>
      <c r="P479" s="161"/>
      <c r="Q479" s="161"/>
      <c r="R479" s="161"/>
      <c r="S479" s="161"/>
      <c r="T479" s="161"/>
      <c r="U479" s="161"/>
      <c r="V479" s="161"/>
      <c r="W479" s="161"/>
      <c r="X479" s="161"/>
      <c r="Y479" s="161"/>
      <c r="Z479" s="161"/>
      <c r="AA479" s="161"/>
      <c r="AB479" s="161"/>
      <c r="AC479" s="161"/>
      <c r="AD479" s="161"/>
      <c r="AE479" s="161"/>
      <c r="AF479" s="161"/>
      <c r="AG479" s="161"/>
      <c r="AH479" s="161"/>
      <c r="AI479" s="161"/>
      <c r="AJ479" s="161"/>
      <c r="AK479" s="161"/>
      <c r="AL479" s="161"/>
      <c r="AM479" s="161"/>
      <c r="AN479" s="161"/>
      <c r="AO479" s="161"/>
      <c r="AP479" s="161"/>
      <c r="AQ479" s="161"/>
      <c r="AR479" s="161"/>
      <c r="AS479" s="161"/>
      <c r="AT479" s="161"/>
      <c r="AU479" s="161"/>
      <c r="AV479" s="161"/>
      <c r="AW479" s="161"/>
      <c r="AX479" s="161"/>
      <c r="AY479" s="161"/>
      <c r="AZ479" s="161"/>
      <c r="BA479" s="161"/>
      <c r="BB479" s="161"/>
      <c r="BC479" s="161"/>
      <c r="BD479" s="161"/>
      <c r="BE479" s="161"/>
      <c r="BF479" s="161"/>
      <c r="BG479" s="161"/>
      <c r="BH479" s="161"/>
      <c r="BI479" s="161"/>
      <c r="BJ479" s="161"/>
      <c r="BK479" s="161"/>
      <c r="BL479" s="161"/>
      <c r="BM479" s="161"/>
      <c r="BN479" s="161"/>
      <c r="BO479" s="161"/>
      <c r="BP479" s="161"/>
      <c r="BQ479" s="161"/>
      <c r="BR479" s="161"/>
      <c r="BS479" s="161"/>
      <c r="BT479" s="161"/>
      <c r="BU479" s="161"/>
      <c r="BV479" s="161"/>
    </row>
    <row r="480" spans="1:74">
      <c r="A480" s="161"/>
      <c r="B480" s="161"/>
      <c r="C480" s="161"/>
      <c r="D480" s="161"/>
      <c r="E480" s="161"/>
      <c r="F480" s="161"/>
      <c r="G480" s="161"/>
      <c r="H480" s="161"/>
      <c r="I480" s="161"/>
      <c r="J480" s="161"/>
      <c r="K480" s="161"/>
      <c r="L480" s="161"/>
      <c r="M480" s="161"/>
      <c r="N480" s="161"/>
      <c r="O480" s="161"/>
      <c r="P480" s="161"/>
      <c r="Q480" s="161"/>
      <c r="R480" s="161"/>
      <c r="S480" s="161"/>
      <c r="T480" s="161"/>
      <c r="U480" s="161"/>
      <c r="V480" s="161"/>
      <c r="W480" s="161"/>
      <c r="X480" s="161"/>
      <c r="Y480" s="161"/>
      <c r="Z480" s="161"/>
      <c r="AA480" s="161"/>
      <c r="AB480" s="161"/>
      <c r="AC480" s="161"/>
      <c r="AD480" s="161"/>
      <c r="AE480" s="161"/>
      <c r="AF480" s="161"/>
      <c r="AG480" s="161"/>
      <c r="AH480" s="161"/>
      <c r="AI480" s="161"/>
      <c r="AJ480" s="161"/>
      <c r="AK480" s="161"/>
      <c r="AL480" s="161"/>
      <c r="AM480" s="161"/>
      <c r="AN480" s="161"/>
      <c r="AO480" s="161"/>
      <c r="AP480" s="161"/>
      <c r="AQ480" s="161"/>
      <c r="AR480" s="161"/>
      <c r="AS480" s="161"/>
      <c r="AT480" s="161"/>
      <c r="AU480" s="161"/>
      <c r="AV480" s="161"/>
      <c r="AW480" s="161"/>
      <c r="AX480" s="161"/>
      <c r="AY480" s="161"/>
      <c r="AZ480" s="161"/>
      <c r="BA480" s="161"/>
      <c r="BB480" s="161"/>
      <c r="BC480" s="161"/>
      <c r="BD480" s="161"/>
      <c r="BE480" s="161"/>
      <c r="BF480" s="161"/>
      <c r="BG480" s="161"/>
      <c r="BH480" s="161"/>
      <c r="BI480" s="161"/>
      <c r="BJ480" s="161"/>
      <c r="BK480" s="161"/>
      <c r="BL480" s="161"/>
      <c r="BM480" s="161"/>
      <c r="BN480" s="161"/>
      <c r="BO480" s="161"/>
      <c r="BP480" s="161"/>
      <c r="BQ480" s="161"/>
      <c r="BR480" s="161"/>
      <c r="BS480" s="161"/>
      <c r="BT480" s="161"/>
      <c r="BU480" s="161"/>
      <c r="BV480" s="161"/>
    </row>
    <row r="481" spans="1:74">
      <c r="A481" s="161"/>
      <c r="B481" s="161"/>
      <c r="C481" s="161"/>
      <c r="D481" s="161"/>
      <c r="E481" s="161"/>
      <c r="F481" s="161"/>
      <c r="G481" s="161"/>
      <c r="H481" s="161"/>
      <c r="I481" s="161"/>
      <c r="J481" s="161"/>
      <c r="K481" s="161"/>
      <c r="L481" s="161"/>
      <c r="M481" s="161"/>
      <c r="N481" s="161"/>
      <c r="O481" s="161"/>
      <c r="P481" s="161"/>
      <c r="Q481" s="161"/>
      <c r="R481" s="161"/>
      <c r="S481" s="161"/>
      <c r="T481" s="161"/>
      <c r="U481" s="161"/>
      <c r="V481" s="161"/>
      <c r="W481" s="161"/>
      <c r="X481" s="161"/>
      <c r="Y481" s="161"/>
      <c r="Z481" s="161"/>
      <c r="AA481" s="161"/>
      <c r="AB481" s="161"/>
      <c r="AC481" s="161"/>
      <c r="AD481" s="161"/>
      <c r="AE481" s="161"/>
      <c r="AF481" s="161"/>
      <c r="AG481" s="161"/>
      <c r="AH481" s="161"/>
      <c r="AI481" s="161"/>
      <c r="AJ481" s="161"/>
      <c r="AK481" s="161"/>
      <c r="AL481" s="161"/>
      <c r="AM481" s="161"/>
      <c r="AN481" s="161"/>
      <c r="AO481" s="161"/>
      <c r="AP481" s="161"/>
      <c r="AQ481" s="161"/>
      <c r="AR481" s="161"/>
      <c r="AS481" s="161"/>
      <c r="AT481" s="161"/>
      <c r="AU481" s="161"/>
      <c r="AV481" s="161"/>
      <c r="AW481" s="161"/>
      <c r="AX481" s="161"/>
      <c r="AY481" s="161"/>
      <c r="AZ481" s="161"/>
      <c r="BA481" s="161"/>
      <c r="BB481" s="161"/>
      <c r="BC481" s="161"/>
      <c r="BD481" s="161"/>
      <c r="BE481" s="161"/>
      <c r="BF481" s="161"/>
      <c r="BG481" s="161"/>
      <c r="BH481" s="161"/>
      <c r="BI481" s="161"/>
      <c r="BJ481" s="161"/>
      <c r="BK481" s="161"/>
      <c r="BL481" s="161"/>
      <c r="BM481" s="161"/>
      <c r="BN481" s="161"/>
      <c r="BO481" s="161"/>
      <c r="BP481" s="161"/>
      <c r="BQ481" s="161"/>
      <c r="BR481" s="161"/>
      <c r="BS481" s="161"/>
      <c r="BT481" s="161"/>
      <c r="BU481" s="161"/>
      <c r="BV481" s="161"/>
    </row>
    <row r="482" spans="1:74">
      <c r="A482" s="161"/>
      <c r="B482" s="161"/>
      <c r="C482" s="161"/>
      <c r="D482" s="161"/>
      <c r="E482" s="161"/>
      <c r="F482" s="161"/>
      <c r="G482" s="161"/>
      <c r="H482" s="161"/>
      <c r="I482" s="161"/>
      <c r="J482" s="161"/>
      <c r="K482" s="161"/>
      <c r="L482" s="161"/>
      <c r="M482" s="161"/>
      <c r="N482" s="161"/>
      <c r="O482" s="161"/>
      <c r="P482" s="161"/>
      <c r="Q482" s="161"/>
      <c r="R482" s="161"/>
      <c r="S482" s="161"/>
      <c r="T482" s="161"/>
      <c r="U482" s="161"/>
      <c r="V482" s="161"/>
      <c r="W482" s="161"/>
      <c r="X482" s="161"/>
      <c r="Y482" s="161"/>
      <c r="Z482" s="161"/>
      <c r="AA482" s="161"/>
      <c r="AB482" s="161"/>
      <c r="AC482" s="161"/>
      <c r="AD482" s="161"/>
      <c r="AE482" s="161"/>
      <c r="AF482" s="161"/>
      <c r="AG482" s="161"/>
      <c r="AH482" s="161"/>
      <c r="AI482" s="161"/>
      <c r="AJ482" s="161"/>
      <c r="AK482" s="161"/>
      <c r="AL482" s="161"/>
      <c r="AM482" s="161"/>
      <c r="AN482" s="161"/>
      <c r="AO482" s="161"/>
      <c r="AP482" s="161"/>
      <c r="AQ482" s="161"/>
      <c r="AR482" s="161"/>
      <c r="AS482" s="161"/>
      <c r="AT482" s="161"/>
      <c r="AU482" s="161"/>
      <c r="AV482" s="161"/>
      <c r="AW482" s="161"/>
      <c r="AX482" s="161"/>
      <c r="AY482" s="161"/>
      <c r="AZ482" s="161"/>
      <c r="BA482" s="161"/>
      <c r="BB482" s="161"/>
      <c r="BC482" s="161"/>
      <c r="BD482" s="161"/>
      <c r="BE482" s="161"/>
      <c r="BF482" s="161"/>
      <c r="BG482" s="161"/>
      <c r="BH482" s="161"/>
      <c r="BI482" s="161"/>
      <c r="BJ482" s="161"/>
      <c r="BK482" s="161"/>
      <c r="BL482" s="161"/>
      <c r="BM482" s="161"/>
      <c r="BN482" s="161"/>
      <c r="BO482" s="161"/>
      <c r="BP482" s="161"/>
      <c r="BQ482" s="161"/>
      <c r="BR482" s="161"/>
      <c r="BS482" s="161"/>
      <c r="BT482" s="161"/>
      <c r="BU482" s="161"/>
      <c r="BV482" s="161"/>
    </row>
    <row r="483" spans="1:74">
      <c r="A483" s="161"/>
      <c r="B483" s="161"/>
      <c r="C483" s="161"/>
      <c r="D483" s="161"/>
      <c r="E483" s="161"/>
      <c r="F483" s="161"/>
      <c r="G483" s="161"/>
      <c r="H483" s="161"/>
      <c r="I483" s="161"/>
      <c r="J483" s="161"/>
      <c r="K483" s="161"/>
      <c r="L483" s="161"/>
      <c r="M483" s="161"/>
      <c r="N483" s="161"/>
      <c r="O483" s="161"/>
      <c r="P483" s="161"/>
      <c r="Q483" s="161"/>
      <c r="R483" s="161"/>
      <c r="S483" s="161"/>
      <c r="T483" s="161"/>
      <c r="U483" s="161"/>
      <c r="V483" s="161"/>
      <c r="W483" s="161"/>
      <c r="X483" s="161"/>
      <c r="Y483" s="161"/>
      <c r="Z483" s="161"/>
      <c r="AA483" s="161"/>
      <c r="AB483" s="161"/>
      <c r="AC483" s="161"/>
      <c r="AD483" s="161"/>
      <c r="AE483" s="161"/>
      <c r="AF483" s="161"/>
      <c r="AG483" s="161"/>
      <c r="AH483" s="161"/>
      <c r="AI483" s="161"/>
      <c r="AJ483" s="161"/>
      <c r="AK483" s="161"/>
      <c r="AL483" s="161"/>
      <c r="AM483" s="161"/>
      <c r="AN483" s="161"/>
      <c r="AO483" s="161"/>
      <c r="AP483" s="161"/>
      <c r="AQ483" s="161"/>
      <c r="AR483" s="161"/>
      <c r="AS483" s="161"/>
      <c r="AT483" s="161"/>
      <c r="AU483" s="161"/>
      <c r="AV483" s="161"/>
      <c r="AW483" s="161"/>
      <c r="AX483" s="161"/>
      <c r="AY483" s="161"/>
      <c r="AZ483" s="161"/>
      <c r="BA483" s="161"/>
      <c r="BB483" s="161"/>
      <c r="BC483" s="161"/>
      <c r="BD483" s="161"/>
      <c r="BE483" s="161"/>
      <c r="BF483" s="161"/>
      <c r="BG483" s="161"/>
      <c r="BH483" s="161"/>
      <c r="BI483" s="161"/>
      <c r="BJ483" s="161"/>
      <c r="BK483" s="161"/>
      <c r="BL483" s="161"/>
      <c r="BM483" s="161"/>
      <c r="BN483" s="161"/>
      <c r="BO483" s="161"/>
      <c r="BP483" s="161"/>
      <c r="BQ483" s="161"/>
      <c r="BR483" s="161"/>
      <c r="BS483" s="161"/>
      <c r="BT483" s="161"/>
      <c r="BU483" s="161"/>
      <c r="BV483" s="161"/>
    </row>
    <row r="484" spans="1:74">
      <c r="A484" s="161"/>
      <c r="B484" s="161"/>
      <c r="C484" s="161"/>
      <c r="D484" s="161"/>
      <c r="E484" s="161"/>
      <c r="F484" s="161"/>
      <c r="G484" s="161"/>
      <c r="H484" s="161"/>
      <c r="I484" s="161"/>
      <c r="J484" s="161"/>
      <c r="K484" s="161"/>
      <c r="L484" s="161"/>
      <c r="M484" s="161"/>
      <c r="N484" s="161"/>
      <c r="O484" s="161"/>
      <c r="P484" s="161"/>
      <c r="Q484" s="161"/>
      <c r="R484" s="161"/>
      <c r="S484" s="161"/>
      <c r="T484" s="161"/>
      <c r="U484" s="161"/>
      <c r="V484" s="161"/>
      <c r="W484" s="161"/>
      <c r="X484" s="161"/>
      <c r="Y484" s="161"/>
      <c r="Z484" s="161"/>
      <c r="AA484" s="161"/>
      <c r="AB484" s="161"/>
      <c r="AC484" s="161"/>
      <c r="AD484" s="161"/>
      <c r="AE484" s="161"/>
      <c r="AF484" s="161"/>
      <c r="AG484" s="161"/>
      <c r="AH484" s="161"/>
      <c r="AI484" s="161"/>
      <c r="AJ484" s="161"/>
      <c r="AK484" s="161"/>
      <c r="AL484" s="161"/>
      <c r="AM484" s="161"/>
      <c r="AN484" s="161"/>
      <c r="AO484" s="161"/>
      <c r="AP484" s="161"/>
      <c r="AQ484" s="161"/>
      <c r="AR484" s="161"/>
      <c r="AS484" s="161"/>
      <c r="AT484" s="161"/>
      <c r="AU484" s="161"/>
      <c r="AV484" s="161"/>
      <c r="AW484" s="161"/>
      <c r="AX484" s="161"/>
      <c r="AY484" s="161"/>
      <c r="AZ484" s="161"/>
      <c r="BA484" s="161"/>
      <c r="BB484" s="161"/>
      <c r="BC484" s="161"/>
      <c r="BD484" s="161"/>
      <c r="BE484" s="161"/>
      <c r="BF484" s="161"/>
      <c r="BG484" s="161"/>
      <c r="BH484" s="161"/>
      <c r="BI484" s="161"/>
      <c r="BJ484" s="161"/>
      <c r="BK484" s="161"/>
      <c r="BL484" s="161"/>
      <c r="BM484" s="161"/>
      <c r="BN484" s="161"/>
      <c r="BO484" s="161"/>
      <c r="BP484" s="161"/>
      <c r="BQ484" s="161"/>
      <c r="BR484" s="161"/>
      <c r="BS484" s="161"/>
      <c r="BT484" s="161"/>
      <c r="BU484" s="161"/>
      <c r="BV484" s="161"/>
    </row>
    <row r="485" spans="1:74">
      <c r="A485" s="161"/>
      <c r="B485" s="161"/>
      <c r="C485" s="161"/>
      <c r="D485" s="161"/>
      <c r="E485" s="161"/>
      <c r="F485" s="161"/>
      <c r="G485" s="161"/>
      <c r="H485" s="161"/>
      <c r="I485" s="161"/>
      <c r="J485" s="161"/>
      <c r="K485" s="161"/>
      <c r="L485" s="161"/>
      <c r="M485" s="161"/>
      <c r="N485" s="161"/>
      <c r="O485" s="161"/>
      <c r="P485" s="161"/>
      <c r="Q485" s="161"/>
      <c r="R485" s="161"/>
      <c r="S485" s="161"/>
      <c r="T485" s="161"/>
      <c r="U485" s="161"/>
      <c r="V485" s="161"/>
      <c r="W485" s="161"/>
      <c r="X485" s="161"/>
      <c r="Y485" s="161"/>
      <c r="Z485" s="161"/>
      <c r="AA485" s="161"/>
      <c r="AB485" s="161"/>
      <c r="AC485" s="161"/>
      <c r="AD485" s="161"/>
      <c r="AE485" s="161"/>
      <c r="AF485" s="161"/>
      <c r="AG485" s="161"/>
      <c r="AH485" s="161"/>
      <c r="AI485" s="161"/>
      <c r="AJ485" s="161"/>
      <c r="AK485" s="161"/>
      <c r="AL485" s="161"/>
      <c r="AM485" s="161"/>
      <c r="AN485" s="161"/>
      <c r="AO485" s="161"/>
      <c r="AP485" s="161"/>
      <c r="AQ485" s="161"/>
      <c r="AR485" s="161"/>
      <c r="AS485" s="161"/>
      <c r="AT485" s="161"/>
      <c r="AU485" s="161"/>
      <c r="AV485" s="161"/>
      <c r="AW485" s="161"/>
      <c r="AX485" s="161"/>
      <c r="AY485" s="161"/>
      <c r="AZ485" s="161"/>
      <c r="BA485" s="161"/>
      <c r="BB485" s="161"/>
      <c r="BC485" s="161"/>
      <c r="BD485" s="161"/>
      <c r="BE485" s="161"/>
      <c r="BF485" s="161"/>
      <c r="BG485" s="161"/>
      <c r="BH485" s="161"/>
      <c r="BI485" s="161"/>
      <c r="BJ485" s="161"/>
      <c r="BK485" s="161"/>
      <c r="BL485" s="161"/>
      <c r="BM485" s="161"/>
      <c r="BN485" s="161"/>
      <c r="BO485" s="161"/>
      <c r="BP485" s="161"/>
      <c r="BQ485" s="161"/>
      <c r="BR485" s="161"/>
      <c r="BS485" s="161"/>
      <c r="BT485" s="161"/>
      <c r="BU485" s="161"/>
      <c r="BV485" s="161"/>
    </row>
    <row r="486" spans="1:74">
      <c r="A486" s="161"/>
      <c r="B486" s="161"/>
      <c r="C486" s="161"/>
      <c r="D486" s="161"/>
      <c r="E486" s="161"/>
      <c r="F486" s="161"/>
      <c r="G486" s="161"/>
      <c r="H486" s="161"/>
      <c r="I486" s="161"/>
      <c r="J486" s="161"/>
      <c r="K486" s="161"/>
      <c r="L486" s="161"/>
      <c r="M486" s="161"/>
      <c r="N486" s="161"/>
      <c r="O486" s="161"/>
      <c r="P486" s="161"/>
      <c r="Q486" s="161"/>
      <c r="R486" s="161"/>
      <c r="S486" s="161"/>
      <c r="T486" s="161"/>
      <c r="U486" s="161"/>
      <c r="V486" s="161"/>
      <c r="W486" s="161"/>
      <c r="X486" s="161"/>
      <c r="Y486" s="161"/>
      <c r="Z486" s="161"/>
      <c r="AA486" s="161"/>
      <c r="AB486" s="161"/>
      <c r="AC486" s="161"/>
      <c r="AD486" s="161"/>
      <c r="AE486" s="161"/>
      <c r="AF486" s="161"/>
      <c r="AG486" s="161"/>
      <c r="AH486" s="161"/>
      <c r="AI486" s="161"/>
      <c r="AJ486" s="161"/>
      <c r="AK486" s="161"/>
      <c r="AL486" s="161"/>
      <c r="AM486" s="161"/>
      <c r="AN486" s="161"/>
      <c r="AO486" s="161"/>
      <c r="AP486" s="161"/>
      <c r="AQ486" s="161"/>
      <c r="AR486" s="161"/>
      <c r="AS486" s="161"/>
      <c r="AT486" s="161"/>
      <c r="AU486" s="161"/>
      <c r="AV486" s="161"/>
      <c r="AW486" s="161"/>
      <c r="AX486" s="161"/>
      <c r="AY486" s="161"/>
      <c r="AZ486" s="161"/>
      <c r="BA486" s="161"/>
      <c r="BB486" s="161"/>
      <c r="BC486" s="161"/>
      <c r="BD486" s="161"/>
      <c r="BE486" s="161"/>
      <c r="BF486" s="161"/>
      <c r="BG486" s="161"/>
      <c r="BH486" s="161"/>
      <c r="BI486" s="161"/>
      <c r="BJ486" s="161"/>
      <c r="BK486" s="161"/>
      <c r="BL486" s="161"/>
      <c r="BM486" s="161"/>
      <c r="BN486" s="161"/>
      <c r="BO486" s="161"/>
      <c r="BP486" s="161"/>
      <c r="BQ486" s="161"/>
      <c r="BR486" s="161"/>
      <c r="BS486" s="161"/>
      <c r="BT486" s="161"/>
      <c r="BU486" s="161"/>
      <c r="BV486" s="161"/>
    </row>
    <row r="487" spans="1:74">
      <c r="A487" s="161"/>
      <c r="B487" s="161"/>
      <c r="C487" s="161"/>
      <c r="D487" s="161"/>
      <c r="E487" s="161"/>
      <c r="F487" s="161"/>
      <c r="G487" s="161"/>
      <c r="H487" s="161"/>
      <c r="I487" s="161"/>
      <c r="J487" s="161"/>
      <c r="K487" s="161"/>
      <c r="L487" s="161"/>
      <c r="M487" s="161"/>
      <c r="N487" s="161"/>
      <c r="O487" s="161"/>
      <c r="P487" s="161"/>
      <c r="Q487" s="161"/>
      <c r="R487" s="161"/>
      <c r="S487" s="161"/>
      <c r="T487" s="161"/>
      <c r="U487" s="161"/>
      <c r="V487" s="161"/>
      <c r="W487" s="161"/>
      <c r="X487" s="161"/>
      <c r="Y487" s="161"/>
      <c r="Z487" s="161"/>
      <c r="AA487" s="161"/>
      <c r="AB487" s="161"/>
      <c r="AC487" s="161"/>
      <c r="AD487" s="161"/>
      <c r="AE487" s="161"/>
      <c r="AF487" s="161"/>
      <c r="AG487" s="161"/>
      <c r="AH487" s="161"/>
      <c r="AI487" s="161"/>
      <c r="AJ487" s="161"/>
      <c r="AK487" s="161"/>
      <c r="AL487" s="161"/>
      <c r="AM487" s="161"/>
      <c r="AN487" s="161"/>
      <c r="AO487" s="161"/>
      <c r="AP487" s="161"/>
      <c r="AQ487" s="161"/>
      <c r="AR487" s="161"/>
      <c r="AS487" s="161"/>
      <c r="AT487" s="161"/>
      <c r="AU487" s="161"/>
      <c r="AV487" s="161"/>
      <c r="AW487" s="161"/>
      <c r="AX487" s="161"/>
      <c r="AY487" s="161"/>
      <c r="AZ487" s="161"/>
      <c r="BA487" s="161"/>
      <c r="BB487" s="161"/>
      <c r="BC487" s="161"/>
      <c r="BD487" s="161"/>
      <c r="BE487" s="161"/>
      <c r="BF487" s="161"/>
      <c r="BG487" s="161"/>
      <c r="BH487" s="161"/>
      <c r="BI487" s="161"/>
      <c r="BJ487" s="161"/>
      <c r="BK487" s="161"/>
      <c r="BL487" s="161"/>
      <c r="BM487" s="161"/>
      <c r="BN487" s="161"/>
      <c r="BO487" s="161"/>
      <c r="BP487" s="161"/>
      <c r="BQ487" s="161"/>
      <c r="BR487" s="161"/>
      <c r="BS487" s="161"/>
      <c r="BT487" s="161"/>
      <c r="BU487" s="161"/>
      <c r="BV487" s="161"/>
    </row>
    <row r="488" spans="1:74">
      <c r="A488" s="161"/>
      <c r="B488" s="161"/>
      <c r="C488" s="161"/>
      <c r="D488" s="161"/>
      <c r="E488" s="161"/>
      <c r="F488" s="161"/>
      <c r="G488" s="161"/>
      <c r="H488" s="161"/>
      <c r="I488" s="161"/>
      <c r="J488" s="161"/>
      <c r="K488" s="161"/>
      <c r="L488" s="161"/>
      <c r="M488" s="161"/>
      <c r="N488" s="161"/>
      <c r="O488" s="161"/>
      <c r="P488" s="161"/>
      <c r="Q488" s="161"/>
      <c r="R488" s="161"/>
      <c r="S488" s="161"/>
      <c r="T488" s="161"/>
      <c r="U488" s="161"/>
      <c r="V488" s="161"/>
      <c r="W488" s="161"/>
      <c r="X488" s="161"/>
      <c r="Y488" s="161"/>
      <c r="Z488" s="161"/>
      <c r="AA488" s="161"/>
      <c r="AB488" s="161"/>
      <c r="AC488" s="161"/>
      <c r="AD488" s="161"/>
      <c r="AE488" s="161"/>
      <c r="AF488" s="161"/>
      <c r="AG488" s="161"/>
      <c r="AH488" s="161"/>
      <c r="AI488" s="161"/>
      <c r="AJ488" s="161"/>
      <c r="AK488" s="161"/>
      <c r="AL488" s="161"/>
      <c r="AM488" s="161"/>
      <c r="AN488" s="161"/>
      <c r="AO488" s="161"/>
      <c r="AP488" s="161"/>
      <c r="AQ488" s="161"/>
      <c r="AR488" s="161"/>
      <c r="AS488" s="161"/>
      <c r="AT488" s="161"/>
      <c r="AU488" s="161"/>
      <c r="AV488" s="161"/>
      <c r="AW488" s="161"/>
      <c r="AX488" s="161"/>
      <c r="AY488" s="161"/>
      <c r="AZ488" s="161"/>
      <c r="BA488" s="161"/>
      <c r="BB488" s="161"/>
      <c r="BC488" s="161"/>
      <c r="BD488" s="161"/>
      <c r="BE488" s="161"/>
      <c r="BF488" s="161"/>
      <c r="BG488" s="161"/>
      <c r="BH488" s="161"/>
      <c r="BI488" s="161"/>
      <c r="BJ488" s="161"/>
      <c r="BK488" s="161"/>
      <c r="BL488" s="161"/>
      <c r="BM488" s="161"/>
      <c r="BN488" s="161"/>
      <c r="BO488" s="161"/>
      <c r="BP488" s="161"/>
      <c r="BQ488" s="161"/>
      <c r="BR488" s="161"/>
      <c r="BS488" s="161"/>
      <c r="BT488" s="161"/>
      <c r="BU488" s="161"/>
      <c r="BV488" s="161"/>
    </row>
    <row r="489" spans="1:74">
      <c r="A489" s="161"/>
      <c r="B489" s="161"/>
      <c r="C489" s="161"/>
      <c r="D489" s="161"/>
      <c r="E489" s="161"/>
      <c r="F489" s="161"/>
      <c r="G489" s="161"/>
      <c r="H489" s="161"/>
      <c r="I489" s="161"/>
      <c r="J489" s="161"/>
      <c r="K489" s="161"/>
      <c r="L489" s="161"/>
      <c r="M489" s="161"/>
      <c r="N489" s="161"/>
      <c r="O489" s="161"/>
      <c r="P489" s="161"/>
      <c r="Q489" s="161"/>
      <c r="R489" s="161"/>
      <c r="S489" s="161"/>
      <c r="T489" s="161"/>
      <c r="U489" s="161"/>
      <c r="V489" s="161"/>
      <c r="W489" s="161"/>
      <c r="X489" s="161"/>
      <c r="Y489" s="161"/>
      <c r="Z489" s="161"/>
      <c r="AA489" s="161"/>
      <c r="AB489" s="161"/>
      <c r="AC489" s="161"/>
      <c r="AD489" s="161"/>
      <c r="AE489" s="161"/>
      <c r="AF489" s="161"/>
      <c r="AG489" s="161"/>
      <c r="AH489" s="161"/>
      <c r="AI489" s="161"/>
      <c r="AJ489" s="161"/>
      <c r="AK489" s="161"/>
      <c r="AL489" s="161"/>
      <c r="AM489" s="161"/>
      <c r="AN489" s="161"/>
      <c r="AO489" s="161"/>
      <c r="AP489" s="161"/>
      <c r="AQ489" s="161"/>
      <c r="AR489" s="161"/>
      <c r="AS489" s="161"/>
      <c r="AT489" s="161"/>
      <c r="AU489" s="161"/>
      <c r="AV489" s="161"/>
      <c r="AW489" s="161"/>
      <c r="AX489" s="161"/>
      <c r="AY489" s="161"/>
      <c r="AZ489" s="161"/>
      <c r="BA489" s="161"/>
      <c r="BB489" s="161"/>
      <c r="BC489" s="161"/>
      <c r="BD489" s="161"/>
      <c r="BE489" s="161"/>
      <c r="BF489" s="161"/>
      <c r="BG489" s="161"/>
      <c r="BH489" s="161"/>
      <c r="BI489" s="161"/>
      <c r="BJ489" s="161"/>
      <c r="BK489" s="161"/>
      <c r="BL489" s="161"/>
      <c r="BM489" s="161"/>
      <c r="BN489" s="161"/>
      <c r="BO489" s="161"/>
      <c r="BP489" s="161"/>
      <c r="BQ489" s="161"/>
      <c r="BR489" s="161"/>
      <c r="BS489" s="161"/>
      <c r="BT489" s="161"/>
      <c r="BU489" s="161"/>
      <c r="BV489" s="161"/>
    </row>
    <row r="490" spans="1:74">
      <c r="A490" s="161"/>
      <c r="B490" s="161"/>
      <c r="C490" s="161"/>
      <c r="D490" s="161"/>
      <c r="E490" s="161"/>
      <c r="F490" s="161"/>
      <c r="G490" s="161"/>
      <c r="H490" s="161"/>
      <c r="I490" s="161"/>
      <c r="J490" s="161"/>
      <c r="K490" s="161"/>
      <c r="L490" s="161"/>
      <c r="M490" s="161"/>
      <c r="N490" s="161"/>
      <c r="O490" s="161"/>
      <c r="P490" s="161"/>
      <c r="Q490" s="161"/>
      <c r="R490" s="161"/>
      <c r="S490" s="161"/>
      <c r="T490" s="161"/>
      <c r="U490" s="161"/>
      <c r="V490" s="161"/>
      <c r="W490" s="161"/>
      <c r="X490" s="161"/>
      <c r="Y490" s="161"/>
      <c r="Z490" s="161"/>
      <c r="AA490" s="161"/>
      <c r="AB490" s="161"/>
      <c r="AC490" s="161"/>
      <c r="AD490" s="161"/>
      <c r="AE490" s="161"/>
      <c r="AF490" s="161"/>
      <c r="AG490" s="161"/>
      <c r="AH490" s="161"/>
      <c r="AI490" s="161"/>
      <c r="AJ490" s="161"/>
      <c r="AK490" s="161"/>
      <c r="AL490" s="161"/>
      <c r="AM490" s="161"/>
      <c r="AN490" s="161"/>
      <c r="AO490" s="161"/>
      <c r="AP490" s="161"/>
      <c r="AQ490" s="161"/>
      <c r="AR490" s="161"/>
      <c r="AS490" s="161"/>
      <c r="AT490" s="161"/>
      <c r="AU490" s="161"/>
      <c r="AV490" s="161"/>
      <c r="AW490" s="161"/>
      <c r="AX490" s="161"/>
      <c r="AY490" s="161"/>
      <c r="AZ490" s="161"/>
      <c r="BA490" s="161"/>
      <c r="BB490" s="161"/>
      <c r="BC490" s="161"/>
      <c r="BD490" s="161"/>
      <c r="BE490" s="161"/>
      <c r="BF490" s="161"/>
      <c r="BG490" s="161"/>
      <c r="BH490" s="161"/>
      <c r="BI490" s="161"/>
      <c r="BJ490" s="161"/>
      <c r="BK490" s="161"/>
      <c r="BL490" s="161"/>
      <c r="BM490" s="161"/>
      <c r="BN490" s="161"/>
      <c r="BO490" s="161"/>
      <c r="BP490" s="161"/>
      <c r="BQ490" s="161"/>
      <c r="BR490" s="161"/>
      <c r="BS490" s="161"/>
      <c r="BT490" s="161"/>
      <c r="BU490" s="161"/>
      <c r="BV490" s="161"/>
    </row>
    <row r="491" spans="1:74">
      <c r="A491" s="161"/>
      <c r="B491" s="161"/>
      <c r="C491" s="161"/>
      <c r="D491" s="161"/>
      <c r="E491" s="161"/>
      <c r="F491" s="161"/>
      <c r="G491" s="161"/>
      <c r="H491" s="161"/>
      <c r="I491" s="161"/>
      <c r="J491" s="161"/>
      <c r="K491" s="161"/>
      <c r="L491" s="161"/>
      <c r="M491" s="161"/>
      <c r="N491" s="161"/>
      <c r="O491" s="161"/>
      <c r="P491" s="161"/>
      <c r="Q491" s="161"/>
      <c r="R491" s="161"/>
      <c r="S491" s="161"/>
      <c r="T491" s="161"/>
      <c r="U491" s="161"/>
      <c r="V491" s="161"/>
      <c r="W491" s="161"/>
      <c r="X491" s="161"/>
      <c r="Y491" s="161"/>
      <c r="Z491" s="161"/>
      <c r="AA491" s="161"/>
      <c r="AB491" s="161"/>
      <c r="AC491" s="161"/>
      <c r="AD491" s="161"/>
      <c r="AE491" s="161"/>
      <c r="AF491" s="161"/>
      <c r="AG491" s="161"/>
      <c r="AH491" s="161"/>
      <c r="AI491" s="161"/>
      <c r="AJ491" s="161"/>
      <c r="AK491" s="161"/>
      <c r="AL491" s="161"/>
      <c r="AM491" s="161"/>
      <c r="AN491" s="161"/>
      <c r="AO491" s="161"/>
      <c r="AP491" s="161"/>
      <c r="AQ491" s="161"/>
      <c r="AR491" s="161"/>
      <c r="AS491" s="161"/>
      <c r="AT491" s="161"/>
      <c r="AU491" s="161"/>
      <c r="AV491" s="161"/>
      <c r="AW491" s="161"/>
      <c r="AX491" s="161"/>
      <c r="AY491" s="161"/>
      <c r="AZ491" s="161"/>
      <c r="BA491" s="161"/>
      <c r="BB491" s="161"/>
      <c r="BC491" s="161"/>
      <c r="BD491" s="161"/>
      <c r="BE491" s="161"/>
      <c r="BF491" s="161"/>
      <c r="BG491" s="161"/>
      <c r="BH491" s="161"/>
      <c r="BI491" s="161"/>
      <c r="BJ491" s="161"/>
      <c r="BK491" s="161"/>
      <c r="BL491" s="161"/>
      <c r="BM491" s="161"/>
      <c r="BN491" s="161"/>
      <c r="BO491" s="161"/>
      <c r="BP491" s="161"/>
      <c r="BQ491" s="161"/>
      <c r="BR491" s="161"/>
      <c r="BS491" s="161"/>
      <c r="BT491" s="161"/>
      <c r="BU491" s="161"/>
      <c r="BV491" s="161"/>
    </row>
    <row r="492" spans="1:74">
      <c r="A492" s="161"/>
      <c r="B492" s="161"/>
      <c r="C492" s="161"/>
      <c r="D492" s="161"/>
      <c r="E492" s="161"/>
      <c r="F492" s="161"/>
      <c r="G492" s="161"/>
      <c r="H492" s="161"/>
      <c r="I492" s="161"/>
      <c r="J492" s="161"/>
      <c r="K492" s="161"/>
      <c r="L492" s="161"/>
      <c r="M492" s="161"/>
      <c r="N492" s="161"/>
      <c r="O492" s="161"/>
      <c r="P492" s="161"/>
      <c r="Q492" s="161"/>
      <c r="R492" s="161"/>
      <c r="S492" s="161"/>
      <c r="T492" s="161"/>
      <c r="U492" s="161"/>
      <c r="V492" s="161"/>
      <c r="W492" s="161"/>
      <c r="X492" s="161"/>
      <c r="Y492" s="161"/>
      <c r="Z492" s="161"/>
      <c r="AA492" s="161"/>
      <c r="AB492" s="161"/>
      <c r="AC492" s="161"/>
      <c r="AD492" s="161"/>
      <c r="AE492" s="161"/>
      <c r="AF492" s="161"/>
      <c r="AG492" s="161"/>
      <c r="AH492" s="161"/>
      <c r="AI492" s="161"/>
      <c r="AJ492" s="161"/>
      <c r="AK492" s="161"/>
      <c r="AL492" s="161"/>
      <c r="AM492" s="161"/>
      <c r="AN492" s="161"/>
      <c r="AO492" s="161"/>
      <c r="AP492" s="161"/>
      <c r="AQ492" s="161"/>
      <c r="AR492" s="161"/>
      <c r="AS492" s="161"/>
      <c r="AT492" s="161"/>
      <c r="AU492" s="161"/>
      <c r="AV492" s="161"/>
      <c r="AW492" s="161"/>
      <c r="AX492" s="161"/>
      <c r="AY492" s="161"/>
      <c r="AZ492" s="161"/>
      <c r="BA492" s="161"/>
      <c r="BB492" s="161"/>
      <c r="BC492" s="161"/>
      <c r="BD492" s="161"/>
      <c r="BE492" s="161"/>
      <c r="BF492" s="161"/>
      <c r="BG492" s="161"/>
      <c r="BH492" s="161"/>
      <c r="BI492" s="161"/>
      <c r="BJ492" s="161"/>
      <c r="BK492" s="161"/>
      <c r="BL492" s="161"/>
      <c r="BM492" s="161"/>
      <c r="BN492" s="161"/>
      <c r="BO492" s="161"/>
      <c r="BP492" s="161"/>
      <c r="BQ492" s="161"/>
      <c r="BR492" s="161"/>
      <c r="BS492" s="161"/>
      <c r="BT492" s="161"/>
      <c r="BU492" s="161"/>
      <c r="BV492" s="161"/>
    </row>
    <row r="493" spans="1:74">
      <c r="A493" s="161"/>
      <c r="B493" s="161"/>
      <c r="C493" s="161"/>
      <c r="D493" s="161"/>
      <c r="E493" s="161"/>
      <c r="F493" s="161"/>
      <c r="G493" s="161"/>
      <c r="H493" s="161"/>
      <c r="I493" s="161"/>
      <c r="J493" s="161"/>
      <c r="K493" s="161"/>
      <c r="L493" s="161"/>
      <c r="M493" s="161"/>
      <c r="N493" s="161"/>
      <c r="O493" s="161"/>
      <c r="P493" s="161"/>
      <c r="Q493" s="161"/>
      <c r="R493" s="161"/>
      <c r="S493" s="161"/>
      <c r="T493" s="161"/>
      <c r="U493" s="161"/>
      <c r="V493" s="161"/>
      <c r="W493" s="161"/>
      <c r="X493" s="161"/>
      <c r="Y493" s="161"/>
      <c r="Z493" s="161"/>
      <c r="AA493" s="161"/>
      <c r="AB493" s="161"/>
      <c r="AC493" s="161"/>
      <c r="AD493" s="161"/>
      <c r="AE493" s="161"/>
      <c r="AF493" s="161"/>
      <c r="AG493" s="161"/>
      <c r="AH493" s="161"/>
      <c r="AI493" s="161"/>
      <c r="AJ493" s="161"/>
      <c r="AK493" s="161"/>
      <c r="AL493" s="161"/>
      <c r="AM493" s="161"/>
      <c r="AN493" s="161"/>
      <c r="AO493" s="161"/>
      <c r="AP493" s="161"/>
      <c r="AQ493" s="161"/>
      <c r="AR493" s="161"/>
      <c r="AS493" s="161"/>
      <c r="AT493" s="161"/>
      <c r="AU493" s="161"/>
      <c r="AV493" s="161"/>
      <c r="AW493" s="161"/>
      <c r="AX493" s="161"/>
      <c r="AY493" s="161"/>
      <c r="AZ493" s="161"/>
      <c r="BA493" s="161"/>
      <c r="BB493" s="161"/>
      <c r="BC493" s="161"/>
      <c r="BD493" s="161"/>
      <c r="BE493" s="161"/>
      <c r="BF493" s="161"/>
      <c r="BG493" s="161"/>
      <c r="BH493" s="161"/>
      <c r="BI493" s="161"/>
      <c r="BJ493" s="161"/>
      <c r="BK493" s="161"/>
      <c r="BL493" s="161"/>
      <c r="BM493" s="161"/>
      <c r="BN493" s="161"/>
      <c r="BO493" s="161"/>
      <c r="BP493" s="161"/>
      <c r="BQ493" s="161"/>
      <c r="BR493" s="161"/>
      <c r="BS493" s="161"/>
      <c r="BT493" s="161"/>
      <c r="BU493" s="161"/>
      <c r="BV493" s="161"/>
    </row>
    <row r="494" spans="1:74">
      <c r="A494" s="161"/>
      <c r="B494" s="161"/>
      <c r="C494" s="161"/>
      <c r="D494" s="161"/>
      <c r="E494" s="161"/>
      <c r="F494" s="161"/>
      <c r="G494" s="161"/>
      <c r="H494" s="161"/>
      <c r="I494" s="161"/>
      <c r="J494" s="161"/>
      <c r="K494" s="161"/>
      <c r="L494" s="161"/>
      <c r="M494" s="161"/>
      <c r="N494" s="161"/>
      <c r="O494" s="161"/>
      <c r="P494" s="161"/>
      <c r="Q494" s="161"/>
      <c r="R494" s="161"/>
      <c r="S494" s="161"/>
      <c r="T494" s="161"/>
      <c r="U494" s="161"/>
      <c r="V494" s="161"/>
      <c r="W494" s="161"/>
      <c r="X494" s="161"/>
      <c r="Y494" s="161"/>
      <c r="Z494" s="161"/>
      <c r="AA494" s="161"/>
      <c r="AB494" s="161"/>
      <c r="AC494" s="161"/>
      <c r="AD494" s="161"/>
      <c r="AE494" s="161"/>
      <c r="AF494" s="161"/>
      <c r="AG494" s="161"/>
      <c r="AH494" s="161"/>
      <c r="AI494" s="161"/>
      <c r="AJ494" s="161"/>
      <c r="AK494" s="161"/>
      <c r="AL494" s="161"/>
      <c r="AM494" s="161"/>
      <c r="AN494" s="161"/>
      <c r="AO494" s="161"/>
      <c r="AP494" s="161"/>
      <c r="AQ494" s="161"/>
      <c r="AR494" s="161"/>
      <c r="AS494" s="161"/>
      <c r="AT494" s="161"/>
      <c r="AU494" s="161"/>
      <c r="AV494" s="161"/>
      <c r="AW494" s="161"/>
      <c r="AX494" s="161"/>
      <c r="AY494" s="161"/>
      <c r="AZ494" s="161"/>
      <c r="BA494" s="161"/>
      <c r="BB494" s="161"/>
      <c r="BC494" s="161"/>
      <c r="BD494" s="161"/>
      <c r="BE494" s="161"/>
      <c r="BF494" s="161"/>
      <c r="BG494" s="161"/>
      <c r="BH494" s="161"/>
      <c r="BI494" s="161"/>
      <c r="BJ494" s="161"/>
      <c r="BK494" s="161"/>
      <c r="BL494" s="161"/>
      <c r="BM494" s="161"/>
      <c r="BN494" s="161"/>
      <c r="BO494" s="161"/>
      <c r="BP494" s="161"/>
      <c r="BQ494" s="161"/>
      <c r="BR494" s="161"/>
      <c r="BS494" s="161"/>
      <c r="BT494" s="161"/>
      <c r="BU494" s="161"/>
      <c r="BV494" s="161"/>
    </row>
    <row r="503" spans="2:23">
      <c r="B503" s="161" t="s">
        <v>3298</v>
      </c>
      <c r="C503" s="393">
        <v>4123</v>
      </c>
      <c r="D503" s="393">
        <v>4174</v>
      </c>
      <c r="E503" s="393">
        <v>4323</v>
      </c>
      <c r="F503" s="393">
        <v>4471.3999999999996</v>
      </c>
      <c r="G503" s="393">
        <v>4483</v>
      </c>
      <c r="H503" s="393">
        <v>4475</v>
      </c>
      <c r="I503" s="393">
        <v>4583</v>
      </c>
      <c r="J503" s="393">
        <v>4846.1000000000013</v>
      </c>
      <c r="K503" s="393">
        <v>4674.5</v>
      </c>
      <c r="L503" s="393">
        <v>4697.7</v>
      </c>
      <c r="M503" s="393">
        <v>4596.7</v>
      </c>
      <c r="N503" s="393">
        <v>4896.2</v>
      </c>
      <c r="O503" s="393">
        <v>4741.7</v>
      </c>
      <c r="P503" s="393">
        <v>4630</v>
      </c>
      <c r="Q503" s="393">
        <v>4261</v>
      </c>
      <c r="R503" s="393">
        <v>4569.3999999999996</v>
      </c>
      <c r="S503" s="476">
        <v>4329.1720999999998</v>
      </c>
      <c r="T503" s="476">
        <f>P503*(1-7.7%)</f>
        <v>4273.49</v>
      </c>
      <c r="U503" s="476">
        <f>Q503*(1-4.7%)</f>
        <v>4060.7329999999997</v>
      </c>
      <c r="V503" s="476">
        <f>R503*(1-4.4%)</f>
        <v>4368.3463999999994</v>
      </c>
      <c r="W503" s="476">
        <f>S503*(1-3.1%)</f>
        <v>4194.9677648999996</v>
      </c>
    </row>
  </sheetData>
  <phoneticPr fontId="122" type="noConversion"/>
  <pageMargins left="0.7" right="0.7" top="0.75" bottom="0.75" header="0.3" footer="0.3"/>
  <pageSetup orientation="portrait" r:id="rId1"/>
  <ignoredErrors>
    <ignoredError sqref="C352:E352 C361:I361 C359:D359 G359:I359 C351:D351 H351:I351 C354:I354 C353:D353 G353:I353 C358:E358 C357:D357 G357:I357 C355:E356 G355:I356 G358:I358 G352:I352 C360:D360 G360:I360 H362:I363" formulaRange="1"/>
  </ignoredError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AI1242"/>
  <sheetViews>
    <sheetView showGridLines="0" topLeftCell="A1009" zoomScale="72" zoomScaleNormal="72" workbookViewId="0">
      <selection activeCell="G1041" sqref="G1041"/>
    </sheetView>
  </sheetViews>
  <sheetFormatPr defaultRowHeight="15" outlineLevelRow="1"/>
  <cols>
    <col min="3" max="3" width="34.5703125" customWidth="1"/>
    <col min="4" max="5" width="9.7109375" style="90" customWidth="1"/>
    <col min="6" max="6" width="9.7109375" customWidth="1"/>
    <col min="7" max="7" width="10.7109375" customWidth="1"/>
    <col min="8" max="11" width="9.7109375" customWidth="1"/>
    <col min="12" max="18" width="8.7109375" customWidth="1"/>
    <col min="19" max="19" width="23" bestFit="1" customWidth="1"/>
    <col min="20" max="26" width="12.7109375" customWidth="1"/>
  </cols>
  <sheetData>
    <row r="3" spans="3:15">
      <c r="C3" s="919" t="s">
        <v>36</v>
      </c>
      <c r="D3" s="920" t="s">
        <v>762</v>
      </c>
      <c r="E3" s="920" t="s">
        <v>40</v>
      </c>
      <c r="F3" s="921"/>
      <c r="G3" s="919"/>
      <c r="H3" s="919" t="s">
        <v>763</v>
      </c>
      <c r="I3" s="919" t="s">
        <v>764</v>
      </c>
    </row>
    <row r="4" spans="3:15">
      <c r="C4" t="s">
        <v>765</v>
      </c>
      <c r="D4" s="90">
        <v>10</v>
      </c>
      <c r="E4" s="90" t="s">
        <v>766</v>
      </c>
      <c r="H4">
        <v>530</v>
      </c>
      <c r="I4" t="e">
        <f>#REF!-H4</f>
        <v>#REF!</v>
      </c>
    </row>
    <row r="5" spans="3:15">
      <c r="C5" t="s">
        <v>767</v>
      </c>
      <c r="D5" s="90">
        <v>10</v>
      </c>
      <c r="E5" s="90" t="s">
        <v>766</v>
      </c>
      <c r="H5">
        <v>459</v>
      </c>
      <c r="I5" t="e">
        <f>#REF!-H5</f>
        <v>#REF!</v>
      </c>
    </row>
    <row r="6" spans="3:15">
      <c r="C6" t="s">
        <v>768</v>
      </c>
      <c r="D6" s="90">
        <v>10</v>
      </c>
      <c r="E6" s="90" t="s">
        <v>769</v>
      </c>
      <c r="H6">
        <v>359</v>
      </c>
      <c r="I6" t="e">
        <f>#REF!-H6</f>
        <v>#REF!</v>
      </c>
    </row>
    <row r="8" spans="3:15">
      <c r="C8" s="11" t="s">
        <v>770</v>
      </c>
    </row>
    <row r="9" spans="3:15">
      <c r="C9" t="s">
        <v>765</v>
      </c>
    </row>
    <row r="10" spans="3:15">
      <c r="C10" t="s">
        <v>768</v>
      </c>
    </row>
    <row r="11" spans="3:15">
      <c r="D11" s="90">
        <v>10</v>
      </c>
    </row>
    <row r="12" spans="3:15">
      <c r="D12" s="90">
        <v>20</v>
      </c>
    </row>
    <row r="16" spans="3:15">
      <c r="D16" s="90">
        <f>Fixed!D2</f>
        <v>2009</v>
      </c>
      <c r="E16" s="90">
        <f>Fixed!E2</f>
        <v>2010</v>
      </c>
      <c r="G16">
        <f>Fixed!G2</f>
        <v>2012</v>
      </c>
      <c r="H16">
        <f>Fixed!H2</f>
        <v>2013</v>
      </c>
      <c r="I16">
        <f>Fixed!I2</f>
        <v>2014</v>
      </c>
      <c r="J16">
        <f>Fixed!J2</f>
        <v>2015</v>
      </c>
      <c r="K16">
        <f>Fixed!K2</f>
        <v>2016</v>
      </c>
      <c r="L16">
        <f>Fixed!L2</f>
        <v>2017</v>
      </c>
      <c r="M16">
        <f>Fixed!M2</f>
        <v>2018</v>
      </c>
      <c r="N16">
        <f>Fixed!N2</f>
        <v>2019</v>
      </c>
      <c r="O16">
        <f>Fixed!O2</f>
        <v>2020</v>
      </c>
    </row>
    <row r="17" spans="3:15">
      <c r="C17" t="s">
        <v>320</v>
      </c>
      <c r="D17" s="90">
        <f>Fixed!D5</f>
        <v>4599</v>
      </c>
      <c r="E17" s="90">
        <f>Fixed!E5</f>
        <v>5214</v>
      </c>
      <c r="G17">
        <f>Fixed!G5</f>
        <v>6210</v>
      </c>
      <c r="H17">
        <f>Fixed!H5</f>
        <v>6573</v>
      </c>
      <c r="I17">
        <f>Fixed!I5</f>
        <v>7174</v>
      </c>
      <c r="J17">
        <f>Fixed!J5</f>
        <v>7487</v>
      </c>
      <c r="K17">
        <f>Fixed!K5</f>
        <v>7868</v>
      </c>
      <c r="L17">
        <f>Fixed!L5</f>
        <v>8135</v>
      </c>
      <c r="M17">
        <f>Fixed!M5</f>
        <v>8428</v>
      </c>
      <c r="N17">
        <f>Fixed!N5</f>
        <v>8836.6749999999993</v>
      </c>
      <c r="O17">
        <f>Fixed!O5</f>
        <v>8955</v>
      </c>
    </row>
    <row r="18" spans="3:15">
      <c r="C18" t="s">
        <v>771</v>
      </c>
      <c r="D18" s="91">
        <f>Fixed!D9</f>
        <v>0.16469113697403759</v>
      </c>
      <c r="E18" s="91">
        <f>Fixed!E9</f>
        <v>0.18214847161572054</v>
      </c>
      <c r="F18" s="15"/>
      <c r="G18" s="15">
        <f>Fixed!G9</f>
        <v>0.21068702290076335</v>
      </c>
      <c r="H18" s="15">
        <f>Fixed!H9</f>
        <v>0.221873417721519</v>
      </c>
      <c r="I18" s="15">
        <f>Fixed!I9</f>
        <v>0.23913333333333334</v>
      </c>
      <c r="J18" s="15">
        <f>Fixed!J9</f>
        <v>0.24853112033195021</v>
      </c>
      <c r="K18" s="15">
        <f>Fixed!K9</f>
        <v>0.26009917355371903</v>
      </c>
      <c r="L18" s="15">
        <f>Fixed!L9</f>
        <v>0.26781893004115226</v>
      </c>
      <c r="M18" s="15">
        <f>Fixed!M9</f>
        <v>0.27632786885245902</v>
      </c>
      <c r="N18" s="15">
        <f>Fixed!N9</f>
        <v>0.28854448979591835</v>
      </c>
      <c r="O18" s="15">
        <f>Fixed!O9</f>
        <v>0.29121951219512193</v>
      </c>
    </row>
    <row r="38" spans="3:15">
      <c r="D38" s="90">
        <f>D16</f>
        <v>2009</v>
      </c>
      <c r="E38" s="90">
        <f>E16</f>
        <v>2010</v>
      </c>
      <c r="G38">
        <f t="shared" ref="G38:O38" si="0">G16</f>
        <v>2012</v>
      </c>
      <c r="H38">
        <f t="shared" si="0"/>
        <v>2013</v>
      </c>
      <c r="I38">
        <f t="shared" si="0"/>
        <v>2014</v>
      </c>
      <c r="J38">
        <f t="shared" si="0"/>
        <v>2015</v>
      </c>
      <c r="K38">
        <f t="shared" si="0"/>
        <v>2016</v>
      </c>
      <c r="L38">
        <f t="shared" si="0"/>
        <v>2017</v>
      </c>
      <c r="M38">
        <f t="shared" si="0"/>
        <v>2018</v>
      </c>
      <c r="N38">
        <f t="shared" si="0"/>
        <v>2019</v>
      </c>
      <c r="O38">
        <f t="shared" si="0"/>
        <v>2020</v>
      </c>
    </row>
    <row r="39" spans="3:15">
      <c r="C39" t="s">
        <v>338</v>
      </c>
      <c r="G39">
        <f>Fixed!G46</f>
        <v>2193</v>
      </c>
      <c r="H39">
        <f>Fixed!H46</f>
        <v>2250</v>
      </c>
      <c r="I39" s="17">
        <f>Fixed!I46</f>
        <v>2560</v>
      </c>
      <c r="J39" s="17">
        <f>Fixed!J46</f>
        <v>3050</v>
      </c>
      <c r="K39" s="17">
        <f>Fixed!K46</f>
        <v>3303</v>
      </c>
      <c r="L39" s="17">
        <f>Fixed!L46</f>
        <v>3405</v>
      </c>
      <c r="M39" s="17">
        <f>Fixed!M46</f>
        <v>3593</v>
      </c>
      <c r="N39" s="17">
        <f>Fixed!N46</f>
        <v>3628</v>
      </c>
      <c r="O39" s="17">
        <f>Fixed!O46</f>
        <v>3933</v>
      </c>
    </row>
    <row r="40" spans="3:15">
      <c r="C40" t="s">
        <v>772</v>
      </c>
      <c r="F40" s="16"/>
      <c r="G40" s="16">
        <f>Fixed!G51</f>
        <v>1.5918832649338805</v>
      </c>
      <c r="H40" s="16">
        <f>Fixed!H51</f>
        <v>1.6319999999999999</v>
      </c>
      <c r="I40" s="16">
        <f>Fixed!I51</f>
        <v>1.74140625</v>
      </c>
      <c r="J40" s="16">
        <f>Fixed!J51</f>
        <v>1.8232786885245902</v>
      </c>
      <c r="K40" s="16">
        <f>Fixed!K51</f>
        <v>1.9300635785649409</v>
      </c>
      <c r="L40" s="16">
        <f>Fixed!L51</f>
        <v>2.094566813509545</v>
      </c>
      <c r="M40" s="16">
        <f>Fixed!M51</f>
        <v>2.2145839131644864</v>
      </c>
      <c r="N40" s="16">
        <f>Fixed!N51</f>
        <v>2.3299239250275634</v>
      </c>
      <c r="O40" s="16">
        <f>Fixed!O51</f>
        <v>2.4281718789727944</v>
      </c>
    </row>
    <row r="59" spans="4:12">
      <c r="G59" t="str">
        <f>Quarts!U4</f>
        <v>2Q13</v>
      </c>
      <c r="H59" t="str">
        <f>Quarts!V4</f>
        <v>3Q13</v>
      </c>
      <c r="I59" t="s">
        <v>393</v>
      </c>
      <c r="J59" t="str">
        <f>Quarts!X4</f>
        <v>1Q14</v>
      </c>
      <c r="K59" t="str">
        <f>Quarts!Y4</f>
        <v>2Q14</v>
      </c>
      <c r="L59" t="str">
        <f>Quarts!Z4</f>
        <v>3Q14</v>
      </c>
    </row>
    <row r="60" spans="4:12">
      <c r="E60" s="90" t="s">
        <v>773</v>
      </c>
      <c r="F60" s="17"/>
      <c r="G60" s="17">
        <f>Quarts!U81</f>
        <v>123.69999999999999</v>
      </c>
      <c r="H60" s="17">
        <f>Quarts!V81</f>
        <v>141.80000000000001</v>
      </c>
      <c r="I60" s="17"/>
      <c r="J60" s="17">
        <f>Quarts!X81</f>
        <v>265.60000000000002</v>
      </c>
      <c r="K60" s="17">
        <f>Quarts!Y81</f>
        <v>307.57500000000005</v>
      </c>
      <c r="L60" s="17">
        <f>Quarts!Z81</f>
        <v>330.20000000000005</v>
      </c>
    </row>
    <row r="61" spans="4:12">
      <c r="E61" s="90" t="s">
        <v>363</v>
      </c>
      <c r="F61" s="18"/>
      <c r="G61" s="18">
        <f>Quarts!U130</f>
        <v>0.13742926434923203</v>
      </c>
      <c r="H61" s="18">
        <f>Quarts!V130</f>
        <v>0.26093088857545838</v>
      </c>
      <c r="I61" s="18"/>
      <c r="J61" s="18">
        <f>Quarts!X130</f>
        <v>0.18072289156626503</v>
      </c>
      <c r="K61" s="18">
        <f>Quarts!Y130</f>
        <v>0.17556693489392827</v>
      </c>
      <c r="L61" s="18">
        <f>Quarts!Z130</f>
        <v>0.19685039370078738</v>
      </c>
    </row>
    <row r="64" spans="4:12">
      <c r="D64" s="90">
        <v>2014</v>
      </c>
    </row>
    <row r="65" spans="3:6">
      <c r="C65" t="s">
        <v>774</v>
      </c>
      <c r="D65" s="90">
        <v>429</v>
      </c>
    </row>
    <row r="66" spans="3:6">
      <c r="C66" t="s">
        <v>775</v>
      </c>
      <c r="D66" s="90">
        <v>91</v>
      </c>
      <c r="F66" s="15"/>
    </row>
    <row r="67" spans="3:6">
      <c r="C67" t="s">
        <v>776</v>
      </c>
      <c r="D67" s="90">
        <v>256</v>
      </c>
    </row>
    <row r="68" spans="3:6">
      <c r="C68" t="s">
        <v>777</v>
      </c>
      <c r="D68" s="90">
        <v>148</v>
      </c>
    </row>
    <row r="69" spans="3:6">
      <c r="C69" t="s">
        <v>778</v>
      </c>
      <c r="D69" s="90">
        <v>1053</v>
      </c>
      <c r="F69" s="15"/>
    </row>
    <row r="70" spans="3:6">
      <c r="C70" t="s">
        <v>779</v>
      </c>
      <c r="D70" s="90">
        <v>365</v>
      </c>
    </row>
    <row r="71" spans="3:6">
      <c r="C71" t="s">
        <v>349</v>
      </c>
      <c r="D71" s="90">
        <v>79</v>
      </c>
    </row>
    <row r="72" spans="3:6">
      <c r="C72" s="919" t="s">
        <v>209</v>
      </c>
      <c r="D72" s="920">
        <v>83</v>
      </c>
    </row>
    <row r="73" spans="3:6">
      <c r="D73" s="90">
        <f>SUM(D65:D72)</f>
        <v>2504</v>
      </c>
    </row>
    <row r="86" spans="3:6">
      <c r="C86" s="45" t="s">
        <v>780</v>
      </c>
    </row>
    <row r="87" spans="3:6" ht="15.75">
      <c r="C87" s="922" t="s">
        <v>781</v>
      </c>
      <c r="D87" s="923">
        <v>2016</v>
      </c>
      <c r="E87" s="923">
        <f>D87+1</f>
        <v>2017</v>
      </c>
      <c r="F87" s="10"/>
    </row>
    <row r="88" spans="3:6" ht="15.75">
      <c r="C88" s="5" t="s">
        <v>43</v>
      </c>
      <c r="D88" s="94">
        <f>Master!P8</f>
        <v>16957</v>
      </c>
      <c r="E88" s="94">
        <f>Master!Q8</f>
        <v>17287</v>
      </c>
      <c r="F88" s="4"/>
    </row>
    <row r="89" spans="3:6" ht="15.75">
      <c r="C89" s="6" t="s">
        <v>782</v>
      </c>
      <c r="D89" s="94"/>
      <c r="E89" s="94"/>
      <c r="F89" s="4"/>
    </row>
    <row r="90" spans="3:6" ht="15.75">
      <c r="C90" s="6" t="s">
        <v>783</v>
      </c>
      <c r="D90" s="94">
        <f>Fixed!K85</f>
        <v>14658.871117549999</v>
      </c>
      <c r="E90" s="94">
        <f>Fixed!L85</f>
        <v>15340.138999999999</v>
      </c>
      <c r="F90" s="4"/>
    </row>
    <row r="91" spans="3:6" ht="15.75">
      <c r="C91" s="6" t="s">
        <v>784</v>
      </c>
      <c r="D91" s="94">
        <f>D88-D90</f>
        <v>2298.1288824500007</v>
      </c>
      <c r="E91" s="94">
        <f>E88-E90</f>
        <v>1946.8610000000008</v>
      </c>
      <c r="F91" s="4"/>
    </row>
    <row r="92" spans="3:6" ht="15.75">
      <c r="C92" s="6"/>
      <c r="D92" s="94"/>
      <c r="E92" s="94"/>
      <c r="F92" s="4"/>
    </row>
    <row r="93" spans="3:6" ht="15.75">
      <c r="C93" s="5" t="s">
        <v>295</v>
      </c>
      <c r="D93" s="94">
        <f>Master!P13</f>
        <v>6915</v>
      </c>
      <c r="E93" s="94">
        <f>Master!Q13</f>
        <v>7715</v>
      </c>
      <c r="F93" s="4"/>
    </row>
    <row r="94" spans="3:6" ht="15.75">
      <c r="C94" s="5" t="s">
        <v>45</v>
      </c>
      <c r="D94" s="95">
        <f>D93/D88</f>
        <v>0.40779619036386155</v>
      </c>
      <c r="E94" s="95">
        <f>E93/E88</f>
        <v>0.44628911899114942</v>
      </c>
      <c r="F94" s="7"/>
    </row>
    <row r="95" spans="3:6" ht="15.75">
      <c r="C95" s="5" t="s">
        <v>147</v>
      </c>
      <c r="D95" s="94">
        <f>Master!P45</f>
        <v>4874</v>
      </c>
      <c r="E95" s="94">
        <f>Master!Q45</f>
        <v>4692</v>
      </c>
      <c r="F95" s="4"/>
    </row>
    <row r="96" spans="3:6" ht="15.75">
      <c r="C96" s="5" t="s">
        <v>92</v>
      </c>
      <c r="D96" s="94">
        <f>D93-D95</f>
        <v>2041</v>
      </c>
      <c r="E96" s="94">
        <f>E93-E95</f>
        <v>3023</v>
      </c>
      <c r="F96" s="4"/>
    </row>
    <row r="97" spans="3:6" ht="15.75">
      <c r="C97" s="5"/>
      <c r="D97" s="96"/>
      <c r="E97" s="96"/>
      <c r="F97" s="5"/>
    </row>
    <row r="98" spans="3:6" ht="15.75" outlineLevel="1">
      <c r="C98" s="5" t="s">
        <v>785</v>
      </c>
      <c r="D98" s="96"/>
      <c r="E98" s="96"/>
      <c r="F98" s="5"/>
    </row>
    <row r="99" spans="3:6" ht="15.75" outlineLevel="1">
      <c r="C99" s="5" t="str">
        <f>C88</f>
        <v>Revenue</v>
      </c>
      <c r="D99" s="94">
        <v>17075.518170006409</v>
      </c>
      <c r="E99" s="94">
        <v>17950.308366356345</v>
      </c>
      <c r="F99" s="4"/>
    </row>
    <row r="100" spans="3:6" ht="15.75" outlineLevel="1">
      <c r="C100" s="6" t="str">
        <f>C89</f>
        <v xml:space="preserve"> - of which</v>
      </c>
      <c r="D100" s="94"/>
      <c r="E100" s="94"/>
      <c r="F100" s="4"/>
    </row>
    <row r="101" spans="3:6" ht="15.75" outlineLevel="1">
      <c r="C101" s="6" t="str">
        <f>C90</f>
        <v xml:space="preserve"> Core business</v>
      </c>
      <c r="D101" s="94">
        <v>13773.069506406411</v>
      </c>
      <c r="E101" s="94">
        <v>15373.365232895296</v>
      </c>
      <c r="F101" s="4"/>
    </row>
    <row r="102" spans="3:6" ht="15.75" outlineLevel="1">
      <c r="C102" s="6" t="str">
        <f>C91</f>
        <v xml:space="preserve"> Corporate/other</v>
      </c>
      <c r="D102" s="94">
        <f>D99-D101</f>
        <v>3302.4486635999983</v>
      </c>
      <c r="E102" s="94">
        <f>E99-E101</f>
        <v>2576.943133461049</v>
      </c>
      <c r="F102" s="4"/>
    </row>
    <row r="103" spans="3:6" ht="15.75" outlineLevel="1">
      <c r="C103" s="6"/>
      <c r="D103" s="94"/>
      <c r="E103" s="94"/>
      <c r="F103" s="4"/>
    </row>
    <row r="104" spans="3:6" ht="15.75" outlineLevel="1">
      <c r="C104" s="5" t="str">
        <f>C93</f>
        <v>EBITDA</v>
      </c>
      <c r="D104" s="94">
        <v>6745.6500101369174</v>
      </c>
      <c r="E104" s="94">
        <v>7411.644204970702</v>
      </c>
      <c r="F104" s="4"/>
    </row>
    <row r="105" spans="3:6" ht="15.75" outlineLevel="1">
      <c r="C105" s="5" t="str">
        <f>C94</f>
        <v>% margin</v>
      </c>
      <c r="D105" s="95">
        <f>D104/D99</f>
        <v>0.39504804146944289</v>
      </c>
      <c r="E105" s="95">
        <f>E104/E99</f>
        <v>0.41289787638757758</v>
      </c>
      <c r="F105" s="7"/>
    </row>
    <row r="106" spans="3:6" ht="15.75" outlineLevel="1">
      <c r="C106" s="5" t="str">
        <f>C95</f>
        <v>Capex</v>
      </c>
      <c r="D106" s="94">
        <v>4439.6347242016664</v>
      </c>
      <c r="E106" s="94">
        <v>4814.8804915137407</v>
      </c>
      <c r="F106" s="4"/>
    </row>
    <row r="107" spans="3:6" ht="15.75" outlineLevel="1">
      <c r="C107" s="5" t="str">
        <f>C96</f>
        <v>OpFCF</v>
      </c>
      <c r="D107" s="94">
        <f>D104-D106</f>
        <v>2306.0152859352511</v>
      </c>
      <c r="E107" s="94">
        <f>E104-E106</f>
        <v>2596.7637134569613</v>
      </c>
      <c r="F107" s="4"/>
    </row>
    <row r="108" spans="3:6" ht="15.75" outlineLevel="1">
      <c r="C108" s="5"/>
      <c r="D108" s="96"/>
      <c r="E108" s="96"/>
      <c r="F108" s="5"/>
    </row>
    <row r="109" spans="3:6" ht="15.75">
      <c r="C109" s="922" t="s">
        <v>225</v>
      </c>
      <c r="D109" s="923">
        <f>D87</f>
        <v>2016</v>
      </c>
      <c r="E109" s="923">
        <f>E87</f>
        <v>2017</v>
      </c>
      <c r="F109" s="10"/>
    </row>
    <row r="110" spans="3:6" ht="15.75">
      <c r="C110" s="5" t="str">
        <f>C99</f>
        <v>Revenue</v>
      </c>
      <c r="D110" s="95">
        <f>D88/D99-1</f>
        <v>-6.9408242154893607E-3</v>
      </c>
      <c r="E110" s="95">
        <f>E88/E99-1</f>
        <v>-3.6952477518411908E-2</v>
      </c>
      <c r="F110" s="7"/>
    </row>
    <row r="111" spans="3:6" ht="15.75">
      <c r="C111" s="5" t="str">
        <f>C100</f>
        <v xml:space="preserve"> - of which</v>
      </c>
      <c r="D111" s="95"/>
      <c r="E111" s="95"/>
      <c r="F111" s="7"/>
    </row>
    <row r="112" spans="3:6" ht="15.75">
      <c r="C112" s="5" t="str">
        <f>C101</f>
        <v xml:space="preserve"> Core business</v>
      </c>
      <c r="D112" s="95">
        <f>D90/D101-1</f>
        <v>6.4314030415047796E-2</v>
      </c>
      <c r="E112" s="95">
        <f>E90/E101-1</f>
        <v>-2.1612855996031577E-3</v>
      </c>
      <c r="F112" s="7"/>
    </row>
    <row r="113" spans="3:6" ht="15.75">
      <c r="C113" s="5" t="str">
        <f>C102</f>
        <v xml:space="preserve"> Corporate/other</v>
      </c>
      <c r="D113" s="95">
        <f>D91/D102-1</f>
        <v>-0.30411366941740403</v>
      </c>
      <c r="E113" s="95">
        <f>E91/E102-1</f>
        <v>-0.24450758159137009</v>
      </c>
      <c r="F113" s="7"/>
    </row>
    <row r="114" spans="3:6" ht="15.75">
      <c r="C114" s="5"/>
      <c r="D114" s="95"/>
      <c r="E114" s="95"/>
      <c r="F114" s="7"/>
    </row>
    <row r="115" spans="3:6" ht="15.75">
      <c r="C115" s="5" t="str">
        <f>C104</f>
        <v>EBITDA</v>
      </c>
      <c r="D115" s="95">
        <f>D93/D104-1</f>
        <v>2.5105066169841983E-2</v>
      </c>
      <c r="E115" s="95">
        <f>E93/E104-1</f>
        <v>4.092962190843541E-2</v>
      </c>
      <c r="F115" s="7"/>
    </row>
    <row r="116" spans="3:6" ht="15.75">
      <c r="C116" s="5" t="str">
        <f>C106</f>
        <v>Capex</v>
      </c>
      <c r="D116" s="95">
        <f>D95/D106-1</f>
        <v>9.7838066143254743E-2</v>
      </c>
      <c r="E116" s="95">
        <f>E95/E106-1</f>
        <v>-2.5520984732709029E-2</v>
      </c>
      <c r="F116" s="7"/>
    </row>
    <row r="117" spans="3:6" ht="15.75">
      <c r="C117" s="5" t="str">
        <f>C107</f>
        <v>OpFCF</v>
      </c>
      <c r="D117" s="95">
        <f>D96/D107-1</f>
        <v>-0.11492347321009577</v>
      </c>
      <c r="E117" s="95">
        <f>E96/E107-1</f>
        <v>0.16414134421787963</v>
      </c>
      <c r="F117" s="7"/>
    </row>
    <row r="120" spans="3:6" ht="15.75">
      <c r="C120" s="924" t="s">
        <v>11</v>
      </c>
      <c r="D120" s="925" t="s">
        <v>786</v>
      </c>
      <c r="E120" s="925" t="s">
        <v>787</v>
      </c>
    </row>
    <row r="121" spans="3:6" ht="15.75">
      <c r="C121" s="5" t="s">
        <v>788</v>
      </c>
      <c r="D121" s="94">
        <f>SUM(Quarts!AB72:AE72)</f>
        <v>14557.303</v>
      </c>
      <c r="E121" s="94">
        <f>Fixed!K127</f>
        <v>16957</v>
      </c>
    </row>
    <row r="122" spans="3:6" ht="15.75">
      <c r="C122" s="5" t="s">
        <v>328</v>
      </c>
      <c r="D122" s="97"/>
      <c r="E122" s="98">
        <f>E121/D121-1</f>
        <v>0.16484488919410412</v>
      </c>
    </row>
    <row r="123" spans="3:6" ht="15.75">
      <c r="C123" s="5" t="s">
        <v>789</v>
      </c>
      <c r="D123" s="94">
        <f>SUM(Quarts!AB89:AE89)</f>
        <v>11887.35</v>
      </c>
      <c r="E123" s="94">
        <f>Fixed!K85</f>
        <v>14658.871117549999</v>
      </c>
    </row>
    <row r="124" spans="3:6" ht="15.75">
      <c r="C124" s="5" t="s">
        <v>328</v>
      </c>
      <c r="D124" s="97"/>
      <c r="E124" s="98">
        <f>E123/D123-1</f>
        <v>0.2331487772758436</v>
      </c>
    </row>
    <row r="125" spans="3:6" ht="15.75">
      <c r="C125" s="5"/>
      <c r="D125" s="96"/>
      <c r="E125" s="96"/>
    </row>
    <row r="126" spans="3:6" ht="15.75">
      <c r="C126" s="5" t="s">
        <v>523</v>
      </c>
      <c r="D126" s="94">
        <f>SUM(Quarts!AB111:AE111)</f>
        <v>5467.4480000000003</v>
      </c>
      <c r="E126" s="94">
        <f>Fixed!K140</f>
        <v>6448</v>
      </c>
    </row>
    <row r="127" spans="3:6" ht="15.75">
      <c r="C127" s="5" t="s">
        <v>45</v>
      </c>
      <c r="D127" s="95">
        <f>D126/D123</f>
        <v>0.45993833781288512</v>
      </c>
      <c r="E127" s="95">
        <f>E126/E123</f>
        <v>0.43987016109857729</v>
      </c>
    </row>
    <row r="128" spans="3:6" ht="15.75">
      <c r="C128" s="5" t="s">
        <v>790</v>
      </c>
      <c r="D128" s="94">
        <f>SUM(Quarts!AB133:AE133)</f>
        <v>5843.2610000000004</v>
      </c>
      <c r="E128" s="94">
        <f>Fixed!K132</f>
        <v>6915</v>
      </c>
    </row>
    <row r="129" spans="3:5" ht="15.75">
      <c r="C129" s="5" t="s">
        <v>45</v>
      </c>
      <c r="D129" s="95">
        <f>D128/D121</f>
        <v>0.40139722309826215</v>
      </c>
      <c r="E129" s="95">
        <f>E128/E121</f>
        <v>0.40779619036386155</v>
      </c>
    </row>
    <row r="130" spans="3:5" ht="15.75">
      <c r="C130" s="5"/>
      <c r="D130" s="96"/>
      <c r="E130" s="96"/>
    </row>
    <row r="131" spans="3:5" ht="15.75">
      <c r="C131" s="5" t="s">
        <v>147</v>
      </c>
      <c r="D131" s="94">
        <f>SUM(Quarts!AB156:AE156)</f>
        <v>3765</v>
      </c>
      <c r="E131" s="94">
        <f>Master!P45</f>
        <v>4874</v>
      </c>
    </row>
    <row r="132" spans="3:5" ht="15.75">
      <c r="C132" s="5" t="s">
        <v>148</v>
      </c>
      <c r="D132" s="95">
        <f>D131/D121</f>
        <v>0.25863307234863492</v>
      </c>
      <c r="E132" s="95">
        <f>E131/E121</f>
        <v>0.28743291855870734</v>
      </c>
    </row>
    <row r="135" spans="3:5">
      <c r="D135" s="92">
        <v>330</v>
      </c>
    </row>
    <row r="136" spans="3:5">
      <c r="C136" t="s">
        <v>791</v>
      </c>
      <c r="D136" s="99">
        <v>330</v>
      </c>
    </row>
    <row r="137" spans="3:5">
      <c r="C137" t="s">
        <v>792</v>
      </c>
      <c r="D137" s="99">
        <f t="shared" ref="D137:D143" si="1">E137*D$136</f>
        <v>122.1</v>
      </c>
      <c r="E137" s="91">
        <v>0.37</v>
      </c>
    </row>
    <row r="138" spans="3:5">
      <c r="C138" t="s">
        <v>778</v>
      </c>
      <c r="D138" s="99">
        <f t="shared" si="1"/>
        <v>85.8</v>
      </c>
      <c r="E138" s="91">
        <v>0.26</v>
      </c>
    </row>
    <row r="139" spans="3:5">
      <c r="C139" t="s">
        <v>793</v>
      </c>
      <c r="D139" s="99">
        <f t="shared" si="1"/>
        <v>46.2</v>
      </c>
      <c r="E139" s="91">
        <v>0.14000000000000001</v>
      </c>
    </row>
    <row r="140" spans="3:5">
      <c r="C140" t="s">
        <v>794</v>
      </c>
      <c r="D140" s="99">
        <f t="shared" si="1"/>
        <v>33</v>
      </c>
      <c r="E140" s="91">
        <v>0.1</v>
      </c>
    </row>
    <row r="141" spans="3:5">
      <c r="C141" t="s">
        <v>455</v>
      </c>
      <c r="D141" s="99">
        <f t="shared" si="1"/>
        <v>23.1</v>
      </c>
      <c r="E141" s="91">
        <v>7.0000000000000007E-2</v>
      </c>
    </row>
    <row r="142" spans="3:5">
      <c r="C142" t="s">
        <v>795</v>
      </c>
      <c r="D142" s="99">
        <f t="shared" si="1"/>
        <v>13.200000000000001</v>
      </c>
      <c r="E142" s="91">
        <v>0.04</v>
      </c>
    </row>
    <row r="143" spans="3:5">
      <c r="C143" t="s">
        <v>796</v>
      </c>
      <c r="D143" s="99">
        <f t="shared" si="1"/>
        <v>6.6000000000000005</v>
      </c>
      <c r="E143" s="91">
        <v>0.02</v>
      </c>
    </row>
    <row r="145" spans="3:21">
      <c r="C145" s="45">
        <v>43313</v>
      </c>
    </row>
    <row r="146" spans="3:21" ht="15.75">
      <c r="C146" s="922" t="s">
        <v>781</v>
      </c>
      <c r="D146" s="923">
        <v>2018</v>
      </c>
      <c r="E146" s="923">
        <f>D146+1</f>
        <v>2019</v>
      </c>
      <c r="F146" s="922"/>
      <c r="G146" s="922" t="e">
        <f>#REF!+1</f>
        <v>#REF!</v>
      </c>
      <c r="H146" s="922" t="e">
        <f>G146+1</f>
        <v>#REF!</v>
      </c>
    </row>
    <row r="147" spans="3:21" ht="15.75">
      <c r="C147" s="5" t="s">
        <v>43</v>
      </c>
      <c r="D147" s="94">
        <f>Master!R8</f>
        <v>19436</v>
      </c>
      <c r="E147" s="94">
        <f>Master!S8</f>
        <v>21604</v>
      </c>
      <c r="F147" s="4"/>
      <c r="G147" s="4">
        <f>Master!U8</f>
        <v>24634</v>
      </c>
      <c r="H147" s="4">
        <f>Master!V8</f>
        <v>27155.555</v>
      </c>
    </row>
    <row r="148" spans="3:21" ht="15.75">
      <c r="C148" s="6" t="s">
        <v>782</v>
      </c>
      <c r="D148" s="94"/>
      <c r="E148" s="94"/>
      <c r="F148" s="4"/>
      <c r="G148" s="4"/>
      <c r="H148" s="4"/>
    </row>
    <row r="149" spans="3:21" ht="15.75">
      <c r="C149" s="6" t="s">
        <v>783</v>
      </c>
      <c r="D149" s="94">
        <f>Fixed!M85</f>
        <v>17536.565000000002</v>
      </c>
      <c r="E149" s="94">
        <f>Fixed!N85</f>
        <v>19183.939999999999</v>
      </c>
      <c r="F149" s="4"/>
      <c r="G149" s="4">
        <f>Fixed!P85</f>
        <v>22540.514000000003</v>
      </c>
      <c r="H149" s="4">
        <f>Fixed!Q85</f>
        <v>24567.962</v>
      </c>
    </row>
    <row r="150" spans="3:21" ht="15.75">
      <c r="C150" s="6" t="s">
        <v>784</v>
      </c>
      <c r="D150" s="94">
        <f>D147-D149</f>
        <v>1899.4349999999977</v>
      </c>
      <c r="E150" s="94">
        <f>E147-E149</f>
        <v>2420.0600000000013</v>
      </c>
      <c r="F150" s="4"/>
      <c r="G150" s="4">
        <f>G147-G149</f>
        <v>2093.4859999999971</v>
      </c>
      <c r="H150" s="4">
        <f>H147-H149</f>
        <v>2587.5930000000008</v>
      </c>
    </row>
    <row r="151" spans="3:21" ht="15.75">
      <c r="C151" s="6"/>
      <c r="D151" s="94"/>
      <c r="E151" s="94"/>
      <c r="F151" s="4"/>
      <c r="G151" s="4"/>
      <c r="H151" s="4"/>
    </row>
    <row r="152" spans="3:21" ht="15.75">
      <c r="C152" s="5" t="s">
        <v>295</v>
      </c>
      <c r="D152" s="94">
        <f>Master!R18</f>
        <v>9347</v>
      </c>
      <c r="E152" s="94">
        <f>Master!S18</f>
        <v>10161</v>
      </c>
      <c r="F152" s="4"/>
      <c r="G152" s="4">
        <f>Master!U18</f>
        <v>12116</v>
      </c>
      <c r="H152" s="4">
        <f>Master!V18</f>
        <v>12769.018</v>
      </c>
    </row>
    <row r="153" spans="3:21" ht="15.75">
      <c r="C153" s="5" t="s">
        <v>45</v>
      </c>
      <c r="D153" s="95">
        <f>D152/D147</f>
        <v>0.48091171022844209</v>
      </c>
      <c r="E153" s="95">
        <f>E152/E147</f>
        <v>0.47032956859840769</v>
      </c>
      <c r="F153" s="7"/>
      <c r="G153" s="7">
        <f>G152/G147</f>
        <v>0.49184054558739954</v>
      </c>
      <c r="H153" s="7">
        <f>H152/H147</f>
        <v>0.47021753007810002</v>
      </c>
    </row>
    <row r="154" spans="3:21" ht="15.75">
      <c r="C154" s="5" t="s">
        <v>147</v>
      </c>
      <c r="D154" s="94">
        <f>Master!R45</f>
        <v>5753.1229999999996</v>
      </c>
      <c r="E154" s="94">
        <f>Master!S45</f>
        <v>6535</v>
      </c>
      <c r="F154" s="4"/>
      <c r="G154" s="4">
        <f>Master!U45</f>
        <v>9466.5730000000003</v>
      </c>
      <c r="H154" s="4">
        <f>Master!V45</f>
        <v>11836</v>
      </c>
    </row>
    <row r="155" spans="3:21" ht="15.75">
      <c r="C155" s="5" t="s">
        <v>92</v>
      </c>
      <c r="D155" s="94">
        <f>D152-D154</f>
        <v>3593.8770000000004</v>
      </c>
      <c r="E155" s="94">
        <f>E152-E154</f>
        <v>3626</v>
      </c>
      <c r="F155" s="4"/>
      <c r="G155" s="4">
        <f>G152-G154</f>
        <v>2649.4269999999997</v>
      </c>
      <c r="H155" s="4">
        <f>H152-H154</f>
        <v>933.01800000000003</v>
      </c>
    </row>
    <row r="156" spans="3:21" ht="15.75">
      <c r="C156" s="5"/>
      <c r="D156" s="96"/>
      <c r="E156" s="96"/>
      <c r="F156" s="5"/>
      <c r="G156" s="5"/>
      <c r="H156" s="5"/>
    </row>
    <row r="157" spans="3:21" ht="15.75" outlineLevel="1">
      <c r="C157" s="5" t="s">
        <v>785</v>
      </c>
      <c r="D157" s="96"/>
      <c r="E157" s="96"/>
      <c r="F157" s="5"/>
      <c r="G157" s="5"/>
      <c r="H157" s="5"/>
    </row>
    <row r="158" spans="3:21" ht="15.75" outlineLevel="1">
      <c r="C158" s="5" t="str">
        <f>C147</f>
        <v>Revenue</v>
      </c>
      <c r="D158" s="94">
        <v>19602.280903980194</v>
      </c>
      <c r="E158" s="94">
        <v>22331.95744428394</v>
      </c>
      <c r="F158" s="4"/>
      <c r="G158" s="4">
        <v>26535.935622624689</v>
      </c>
      <c r="H158" s="4">
        <v>28260.142744319604</v>
      </c>
    </row>
    <row r="159" spans="3:21" ht="15.75" outlineLevel="1">
      <c r="C159" s="6" t="str">
        <f>C148</f>
        <v xml:space="preserve"> - of which</v>
      </c>
      <c r="D159" s="94"/>
      <c r="E159" s="94"/>
      <c r="F159" s="4"/>
      <c r="G159" s="4"/>
      <c r="H159" s="4"/>
    </row>
    <row r="160" spans="3:21" ht="15.75" outlineLevel="1">
      <c r="C160" s="6" t="str">
        <f>C149</f>
        <v xml:space="preserve"> Core business</v>
      </c>
      <c r="D160" s="94">
        <v>15938.086629712194</v>
      </c>
      <c r="E160" s="94">
        <v>17558.039760107575</v>
      </c>
      <c r="F160" s="4"/>
      <c r="G160" s="4">
        <v>20263.39665105004</v>
      </c>
      <c r="H160" s="4">
        <v>21461.516310875144</v>
      </c>
      <c r="U160" s="88" t="s">
        <v>797</v>
      </c>
    </row>
    <row r="161" spans="3:8" ht="15.75" outlineLevel="1">
      <c r="C161" s="6" t="str">
        <f>C150</f>
        <v xml:space="preserve"> Corporate/other</v>
      </c>
      <c r="D161" s="94">
        <v>3664.1942742680003</v>
      </c>
      <c r="E161" s="94">
        <v>4773.9176841763656</v>
      </c>
      <c r="F161" s="4"/>
      <c r="G161" s="4">
        <v>6272.5389715746496</v>
      </c>
      <c r="H161" s="4">
        <v>6798.6264334444604</v>
      </c>
    </row>
    <row r="162" spans="3:8" ht="15.75" outlineLevel="1">
      <c r="C162" s="6"/>
      <c r="D162" s="94"/>
      <c r="E162" s="94"/>
      <c r="F162" s="4"/>
      <c r="G162" s="4"/>
      <c r="H162" s="4"/>
    </row>
    <row r="163" spans="3:8" ht="15.75">
      <c r="C163" s="5" t="str">
        <f>C152</f>
        <v>EBITDA</v>
      </c>
      <c r="D163" s="94">
        <v>8696.3468431647598</v>
      </c>
      <c r="E163" s="94">
        <v>9701.9783952535254</v>
      </c>
      <c r="F163" s="4"/>
      <c r="G163" s="4">
        <v>11454.065478300106</v>
      </c>
      <c r="H163" s="4">
        <v>12149.323411985866</v>
      </c>
    </row>
    <row r="164" spans="3:8" ht="15.75">
      <c r="C164" s="5" t="str">
        <f>C153</f>
        <v>% margin</v>
      </c>
      <c r="D164" s="95">
        <v>0.44363953795800304</v>
      </c>
      <c r="E164" s="95">
        <v>0.43444370783255415</v>
      </c>
      <c r="F164" s="7"/>
      <c r="G164" s="7">
        <v>0.43164355088856582</v>
      </c>
      <c r="H164" s="7">
        <v>0.42991019266623931</v>
      </c>
    </row>
    <row r="165" spans="3:8" ht="15.75">
      <c r="C165" s="5" t="str">
        <f>C154</f>
        <v>Capex</v>
      </c>
      <c r="D165" s="94">
        <v>5292.6158440746531</v>
      </c>
      <c r="E165" s="94">
        <v>5268.0075179540981</v>
      </c>
      <c r="F165" s="4"/>
      <c r="G165" s="4">
        <v>5116.0222188659645</v>
      </c>
      <c r="H165" s="4">
        <v>5310.0801342733903</v>
      </c>
    </row>
    <row r="166" spans="3:8" ht="15.75">
      <c r="C166" s="5" t="str">
        <f>C155</f>
        <v>OpFCF</v>
      </c>
      <c r="D166" s="94">
        <v>3403.7309990901067</v>
      </c>
      <c r="E166" s="94">
        <v>4433.9708772994272</v>
      </c>
      <c r="F166" s="4"/>
      <c r="G166" s="4">
        <v>6338.0432594341419</v>
      </c>
      <c r="H166" s="4">
        <v>6839.2432777124759</v>
      </c>
    </row>
    <row r="167" spans="3:8" ht="15.75">
      <c r="C167" s="5"/>
      <c r="D167" s="96"/>
      <c r="E167" s="96"/>
      <c r="F167" s="5"/>
      <c r="G167" s="5"/>
      <c r="H167" s="5"/>
    </row>
    <row r="168" spans="3:8" ht="15.75">
      <c r="C168" s="922" t="s">
        <v>225</v>
      </c>
      <c r="D168" s="923">
        <f>D146</f>
        <v>2018</v>
      </c>
      <c r="E168" s="923">
        <f>E146</f>
        <v>2019</v>
      </c>
      <c r="F168" s="922"/>
      <c r="G168" s="922" t="e">
        <f>G146</f>
        <v>#REF!</v>
      </c>
      <c r="H168" s="922" t="e">
        <f>H146</f>
        <v>#REF!</v>
      </c>
    </row>
    <row r="169" spans="3:8" ht="15.75">
      <c r="C169" s="5" t="str">
        <f>C158</f>
        <v>Revenue</v>
      </c>
      <c r="D169" s="95">
        <f>D147/D158-1</f>
        <v>-8.4827324327564346E-3</v>
      </c>
      <c r="E169" s="95">
        <f>E147/E158-1</f>
        <v>-3.2597117655275953E-2</v>
      </c>
      <c r="F169" s="7"/>
      <c r="G169" s="7">
        <f>G147/G158-1</f>
        <v>-7.1673961290556032E-2</v>
      </c>
      <c r="H169" s="7">
        <f>H147/H158-1</f>
        <v>-3.9086417726663103E-2</v>
      </c>
    </row>
    <row r="170" spans="3:8" ht="15.75">
      <c r="C170" s="5" t="str">
        <f>C159</f>
        <v xml:space="preserve"> - of which</v>
      </c>
      <c r="D170" s="95"/>
      <c r="E170" s="95"/>
      <c r="F170" s="7"/>
      <c r="G170" s="7"/>
      <c r="H170" s="7"/>
    </row>
    <row r="171" spans="3:8" ht="15.75">
      <c r="C171" s="5" t="str">
        <f>C160</f>
        <v xml:space="preserve"> Core business</v>
      </c>
      <c r="D171" s="95">
        <f>D149/D160-1</f>
        <v>0.10029299045896045</v>
      </c>
      <c r="E171" s="95">
        <f>E149/E160-1</f>
        <v>9.2601467026320439E-2</v>
      </c>
      <c r="F171" s="7"/>
      <c r="G171" s="7">
        <f>G149/G160-1</f>
        <v>0.11237589571795525</v>
      </c>
      <c r="H171" s="7">
        <f>H149/H160-1</f>
        <v>0.14474493060635862</v>
      </c>
    </row>
    <row r="172" spans="3:8" ht="15.75">
      <c r="C172" s="5" t="str">
        <f>C161</f>
        <v xml:space="preserve"> Corporate/other</v>
      </c>
      <c r="D172" s="95">
        <f>D150/D161-1</f>
        <v>-0.48162273672581135</v>
      </c>
      <c r="E172" s="95">
        <f>E150/E161-1</f>
        <v>-0.4930662487077363</v>
      </c>
      <c r="F172" s="7"/>
      <c r="G172" s="7">
        <f>G150/G161-1</f>
        <v>-0.6662458360980974</v>
      </c>
      <c r="H172" s="7">
        <f>H150/H161-1</f>
        <v>-0.61939473725591643</v>
      </c>
    </row>
    <row r="173" spans="3:8" ht="15.75">
      <c r="C173" s="5"/>
      <c r="D173" s="95"/>
      <c r="E173" s="95"/>
      <c r="F173" s="7"/>
      <c r="G173" s="7"/>
      <c r="H173" s="7"/>
    </row>
    <row r="174" spans="3:8" ht="15.75">
      <c r="C174" s="5" t="str">
        <f>C163</f>
        <v>EBITDA</v>
      </c>
      <c r="D174" s="95">
        <f>D152/D163-1</f>
        <v>7.4819135962435501E-2</v>
      </c>
      <c r="E174" s="95">
        <f>E152/E163-1</f>
        <v>4.7312165214781432E-2</v>
      </c>
      <c r="F174" s="7"/>
      <c r="G174" s="7">
        <f>G152/G163-1</f>
        <v>5.779035600537985E-2</v>
      </c>
      <c r="H174" s="7">
        <f>H152/H163-1</f>
        <v>5.1006510156999862E-2</v>
      </c>
    </row>
    <row r="175" spans="3:8" ht="15.75">
      <c r="C175" s="5" t="str">
        <f>C165</f>
        <v>Capex</v>
      </c>
      <c r="D175" s="95">
        <f>D154/D165-1</f>
        <v>8.7009367294417883E-2</v>
      </c>
      <c r="E175" s="95">
        <f>E154/E165-1</f>
        <v>0.24050696164115482</v>
      </c>
      <c r="F175" s="7"/>
      <c r="G175" s="7">
        <f>G154/G165-1</f>
        <v>0.85037761663560452</v>
      </c>
      <c r="H175" s="7">
        <f>H154/H165-1</f>
        <v>1.2289682454330024</v>
      </c>
    </row>
    <row r="176" spans="3:8" ht="15.75">
      <c r="C176" s="5" t="str">
        <f>C166</f>
        <v>OpFCF</v>
      </c>
      <c r="D176" s="95">
        <f>D155/D166-1</f>
        <v>5.5863991884412822E-2</v>
      </c>
      <c r="E176" s="95">
        <f>E155/E166-1</f>
        <v>-0.18222286516043451</v>
      </c>
      <c r="F176" s="7"/>
      <c r="G176" s="7">
        <f>G155/G166-1</f>
        <v>-0.58198029083245173</v>
      </c>
      <c r="H176" s="7">
        <f>H155/H166-1</f>
        <v>-0.86357876710710213</v>
      </c>
    </row>
    <row r="178" spans="3:15" ht="15.75">
      <c r="C178" s="10" t="s">
        <v>43</v>
      </c>
    </row>
    <row r="179" spans="3:15" ht="15.75">
      <c r="C179" s="922" t="s">
        <v>11</v>
      </c>
      <c r="D179" s="923">
        <v>2014</v>
      </c>
      <c r="E179" s="923">
        <f>D179+1</f>
        <v>2015</v>
      </c>
      <c r="F179" s="922"/>
      <c r="G179" s="922" t="e">
        <f>#REF!+1</f>
        <v>#REF!</v>
      </c>
      <c r="H179" s="922" t="e">
        <f t="shared" ref="H179:O179" si="2">G179+1</f>
        <v>#REF!</v>
      </c>
      <c r="I179" s="922" t="e">
        <f t="shared" si="2"/>
        <v>#REF!</v>
      </c>
      <c r="J179" s="922" t="e">
        <f t="shared" si="2"/>
        <v>#REF!</v>
      </c>
      <c r="K179" s="922" t="e">
        <f t="shared" si="2"/>
        <v>#REF!</v>
      </c>
      <c r="L179" s="922" t="e">
        <f t="shared" si="2"/>
        <v>#REF!</v>
      </c>
      <c r="M179" s="922" t="e">
        <f t="shared" si="2"/>
        <v>#REF!</v>
      </c>
      <c r="N179" s="922" t="e">
        <f t="shared" si="2"/>
        <v>#REF!</v>
      </c>
      <c r="O179" s="922" t="e">
        <f t="shared" si="2"/>
        <v>#REF!</v>
      </c>
    </row>
    <row r="180" spans="3:15" ht="15.75">
      <c r="C180" s="5" t="str">
        <f>C185</f>
        <v>MEGA</v>
      </c>
      <c r="D180" s="94">
        <f>Master!N8</f>
        <v>11475</v>
      </c>
      <c r="E180" s="94">
        <f>Master!O8</f>
        <v>14557</v>
      </c>
      <c r="F180" s="4"/>
      <c r="G180" s="4">
        <f>Master!Q8</f>
        <v>17287</v>
      </c>
      <c r="H180" s="4">
        <f>Master!R8</f>
        <v>19436</v>
      </c>
      <c r="I180" s="4">
        <f>Master!S8</f>
        <v>21604</v>
      </c>
      <c r="J180" s="4">
        <f>Master!T8</f>
        <v>22383</v>
      </c>
      <c r="K180" s="4">
        <f>Master!U8</f>
        <v>24634</v>
      </c>
      <c r="L180" s="4">
        <f>Master!V8</f>
        <v>27155.555</v>
      </c>
      <c r="M180" s="4">
        <f>Master!W8</f>
        <v>29870.54</v>
      </c>
      <c r="N180" s="4">
        <f>Master!X8</f>
        <v>32840.847999999998</v>
      </c>
      <c r="O180" s="4">
        <f>Master!Y8</f>
        <v>35429.71</v>
      </c>
    </row>
    <row r="181" spans="3:15" ht="15.75">
      <c r="C181" s="926" t="str">
        <f>C186</f>
        <v>TV</v>
      </c>
      <c r="D181" s="927">
        <v>20937.2</v>
      </c>
      <c r="E181" s="927">
        <v>28488.3</v>
      </c>
      <c r="F181" s="928"/>
      <c r="G181" s="928">
        <v>33048</v>
      </c>
      <c r="H181" s="928">
        <v>36233</v>
      </c>
      <c r="I181" s="928">
        <v>41486.785000000003</v>
      </c>
      <c r="J181" s="928">
        <v>45220.59565000001</v>
      </c>
      <c r="K181" s="928">
        <v>48838.243302000017</v>
      </c>
      <c r="L181" s="928">
        <v>52745.302766160021</v>
      </c>
      <c r="M181" s="928">
        <v>56964.926987452825</v>
      </c>
      <c r="N181" s="928">
        <v>61522.121146449055</v>
      </c>
      <c r="O181" s="928">
        <v>66443.890838164982</v>
      </c>
    </row>
    <row r="182" spans="3:15" ht="15.75">
      <c r="C182" s="5" t="str">
        <f>C187</f>
        <v>Total</v>
      </c>
      <c r="D182" s="94">
        <f>D180+D181</f>
        <v>32412.2</v>
      </c>
      <c r="E182" s="94">
        <f>E180+E181</f>
        <v>43045.3</v>
      </c>
      <c r="F182" s="4"/>
      <c r="G182" s="4">
        <f t="shared" ref="G182:O182" si="3">G180+G181</f>
        <v>50335</v>
      </c>
      <c r="H182" s="4">
        <f t="shared" si="3"/>
        <v>55669</v>
      </c>
      <c r="I182" s="4">
        <f t="shared" si="3"/>
        <v>63090.785000000003</v>
      </c>
      <c r="J182" s="4">
        <f t="shared" si="3"/>
        <v>67603.595650000003</v>
      </c>
      <c r="K182" s="4">
        <f t="shared" si="3"/>
        <v>73472.243302000017</v>
      </c>
      <c r="L182" s="4">
        <f t="shared" si="3"/>
        <v>79900.857766160014</v>
      </c>
      <c r="M182" s="4">
        <f t="shared" si="3"/>
        <v>86835.466987452819</v>
      </c>
      <c r="N182" s="4">
        <f t="shared" si="3"/>
        <v>94362.969146449061</v>
      </c>
      <c r="O182" s="4">
        <f t="shared" si="3"/>
        <v>101873.60083816497</v>
      </c>
    </row>
    <row r="183" spans="3:15" ht="15.75">
      <c r="C183" s="5"/>
      <c r="D183" s="94"/>
      <c r="E183" s="94"/>
      <c r="F183" s="4"/>
      <c r="G183" s="4"/>
      <c r="H183" s="4"/>
      <c r="I183" s="4"/>
      <c r="J183" s="4"/>
      <c r="K183" s="4"/>
      <c r="L183" s="4"/>
      <c r="M183" s="4"/>
      <c r="N183" s="4"/>
      <c r="O183" s="4"/>
    </row>
    <row r="184" spans="3:15" ht="15.75">
      <c r="C184" s="922" t="s">
        <v>147</v>
      </c>
      <c r="D184" s="923">
        <v>2014</v>
      </c>
      <c r="E184" s="923">
        <f>D184+1</f>
        <v>2015</v>
      </c>
      <c r="F184" s="922"/>
      <c r="G184" s="922" t="e">
        <f>#REF!+1</f>
        <v>#REF!</v>
      </c>
      <c r="H184" s="922" t="e">
        <f t="shared" ref="H184:O184" si="4">G184+1</f>
        <v>#REF!</v>
      </c>
      <c r="I184" s="922" t="e">
        <f t="shared" si="4"/>
        <v>#REF!</v>
      </c>
      <c r="J184" s="922" t="e">
        <f t="shared" si="4"/>
        <v>#REF!</v>
      </c>
      <c r="K184" s="922" t="e">
        <f t="shared" si="4"/>
        <v>#REF!</v>
      </c>
      <c r="L184" s="922" t="e">
        <f t="shared" si="4"/>
        <v>#REF!</v>
      </c>
      <c r="M184" s="922" t="e">
        <f t="shared" si="4"/>
        <v>#REF!</v>
      </c>
      <c r="N184" s="922" t="e">
        <f t="shared" si="4"/>
        <v>#REF!</v>
      </c>
      <c r="O184" s="922" t="e">
        <f t="shared" si="4"/>
        <v>#REF!</v>
      </c>
    </row>
    <row r="185" spans="3:15" ht="15.75">
      <c r="C185" s="5" t="s">
        <v>122</v>
      </c>
      <c r="D185" s="94">
        <f>Master!N45</f>
        <v>2336</v>
      </c>
      <c r="E185" s="94">
        <f>Master!O45</f>
        <v>3765</v>
      </c>
      <c r="F185" s="4"/>
      <c r="G185" s="4">
        <f>Master!Q45</f>
        <v>4692</v>
      </c>
      <c r="H185" s="4">
        <f>Master!R45</f>
        <v>5753.1229999999996</v>
      </c>
      <c r="I185" s="4">
        <f>Master!S45</f>
        <v>6535</v>
      </c>
      <c r="J185" s="4">
        <f>Master!T45</f>
        <v>8081</v>
      </c>
      <c r="K185" s="4">
        <f>Master!U45</f>
        <v>9466.5730000000003</v>
      </c>
      <c r="L185" s="4">
        <f>Master!V45</f>
        <v>11836</v>
      </c>
      <c r="M185" s="4">
        <f>Master!W45</f>
        <v>12949</v>
      </c>
      <c r="N185" s="4">
        <f>Master!X45</f>
        <v>10340</v>
      </c>
      <c r="O185" s="4">
        <f>Master!Y45</f>
        <v>9187.3919999999998</v>
      </c>
    </row>
    <row r="186" spans="3:15" ht="15.75">
      <c r="C186" s="926" t="s">
        <v>36</v>
      </c>
      <c r="D186" s="927">
        <v>9355.5990000000002</v>
      </c>
      <c r="E186" s="927">
        <v>17095.164000000001</v>
      </c>
      <c r="F186" s="928"/>
      <c r="G186" s="928">
        <v>10578.33</v>
      </c>
      <c r="H186" s="928">
        <v>12801.25</v>
      </c>
      <c r="I186" s="928">
        <v>12446.0355</v>
      </c>
      <c r="J186" s="928">
        <v>11305.148912500003</v>
      </c>
      <c r="K186" s="928">
        <v>11721.178392480004</v>
      </c>
      <c r="L186" s="928">
        <v>12131.419636216806</v>
      </c>
      <c r="M186" s="928">
        <v>13101.933207114151</v>
      </c>
      <c r="N186" s="928">
        <v>14150.087863683284</v>
      </c>
      <c r="O186" s="928">
        <v>15282.094892777946</v>
      </c>
    </row>
    <row r="187" spans="3:15" ht="15.75">
      <c r="C187" s="5" t="s">
        <v>39</v>
      </c>
      <c r="D187" s="94">
        <f>D185+D186</f>
        <v>11691.599</v>
      </c>
      <c r="E187" s="94">
        <f>E185+E186</f>
        <v>20860.164000000001</v>
      </c>
      <c r="F187" s="4"/>
      <c r="G187" s="4">
        <f t="shared" ref="G187:O187" si="5">G185+G186</f>
        <v>15270.33</v>
      </c>
      <c r="H187" s="4">
        <f t="shared" si="5"/>
        <v>18554.373</v>
      </c>
      <c r="I187" s="4">
        <f t="shared" si="5"/>
        <v>18981.035499999998</v>
      </c>
      <c r="J187" s="4">
        <f t="shared" si="5"/>
        <v>19386.148912500001</v>
      </c>
      <c r="K187" s="4">
        <f t="shared" si="5"/>
        <v>21187.751392480004</v>
      </c>
      <c r="L187" s="4">
        <f t="shared" si="5"/>
        <v>23967.419636216808</v>
      </c>
      <c r="M187" s="4">
        <f t="shared" si="5"/>
        <v>26050.933207114151</v>
      </c>
      <c r="N187" s="4">
        <f t="shared" si="5"/>
        <v>24490.087863683286</v>
      </c>
      <c r="O187" s="4">
        <f t="shared" si="5"/>
        <v>24469.486892777946</v>
      </c>
    </row>
    <row r="188" spans="3:15" ht="15.75">
      <c r="C188" s="5"/>
      <c r="D188" s="94"/>
      <c r="E188" s="94"/>
      <c r="F188" s="4"/>
      <c r="G188" s="4"/>
      <c r="H188" s="4"/>
      <c r="I188" s="4"/>
      <c r="J188" s="4"/>
      <c r="K188" s="4"/>
      <c r="L188" s="4"/>
      <c r="M188" s="4"/>
      <c r="N188" s="4"/>
      <c r="O188" s="4"/>
    </row>
    <row r="189" spans="3:15" ht="15.75">
      <c r="C189" s="10" t="s">
        <v>798</v>
      </c>
      <c r="D189" s="100">
        <f>D184</f>
        <v>2014</v>
      </c>
      <c r="E189" s="100">
        <f>E184</f>
        <v>2015</v>
      </c>
      <c r="F189" s="10"/>
      <c r="G189" s="10" t="e">
        <f t="shared" ref="G189:O189" si="6">G184</f>
        <v>#REF!</v>
      </c>
      <c r="H189" s="10" t="e">
        <f t="shared" si="6"/>
        <v>#REF!</v>
      </c>
      <c r="I189" s="10" t="e">
        <f t="shared" si="6"/>
        <v>#REF!</v>
      </c>
      <c r="J189" s="10" t="e">
        <f t="shared" si="6"/>
        <v>#REF!</v>
      </c>
      <c r="K189" s="10" t="e">
        <f t="shared" si="6"/>
        <v>#REF!</v>
      </c>
      <c r="L189" s="10" t="e">
        <f t="shared" si="6"/>
        <v>#REF!</v>
      </c>
      <c r="M189" s="10" t="e">
        <f t="shared" si="6"/>
        <v>#REF!</v>
      </c>
      <c r="N189" s="10" t="e">
        <f t="shared" si="6"/>
        <v>#REF!</v>
      </c>
      <c r="O189" s="10" t="e">
        <f t="shared" si="6"/>
        <v>#REF!</v>
      </c>
    </row>
    <row r="190" spans="3:15" ht="15.75">
      <c r="C190" s="5" t="str">
        <f>C180</f>
        <v>MEGA</v>
      </c>
      <c r="D190" s="95">
        <f t="shared" ref="D190:E192" si="7">D185/D180</f>
        <v>0.20357298474945534</v>
      </c>
      <c r="E190" s="95">
        <f t="shared" si="7"/>
        <v>0.25863845572576766</v>
      </c>
      <c r="F190" s="7"/>
      <c r="G190" s="7">
        <f t="shared" ref="G190:O190" si="8">G185/G180</f>
        <v>0.27141782842598483</v>
      </c>
      <c r="H190" s="7">
        <f t="shared" si="8"/>
        <v>0.29600344721136035</v>
      </c>
      <c r="I190" s="7">
        <f t="shared" si="8"/>
        <v>0.30249027957785596</v>
      </c>
      <c r="J190" s="7">
        <f t="shared" si="8"/>
        <v>0.36103292677478444</v>
      </c>
      <c r="K190" s="7">
        <f t="shared" si="8"/>
        <v>0.38428890963708695</v>
      </c>
      <c r="L190" s="7">
        <f t="shared" si="8"/>
        <v>0.4358592560527671</v>
      </c>
      <c r="M190" s="7">
        <f t="shared" si="8"/>
        <v>0.43350404780094365</v>
      </c>
      <c r="N190" s="7">
        <f t="shared" si="8"/>
        <v>0.31485179676237351</v>
      </c>
      <c r="O190" s="7">
        <f t="shared" si="8"/>
        <v>0.25931321481321751</v>
      </c>
    </row>
    <row r="191" spans="3:15" ht="15.75">
      <c r="C191" s="926" t="str">
        <f>C181</f>
        <v>TV</v>
      </c>
      <c r="D191" s="929">
        <f t="shared" si="7"/>
        <v>0.44684098160212443</v>
      </c>
      <c r="E191" s="929">
        <f t="shared" si="7"/>
        <v>0.60007666305114737</v>
      </c>
      <c r="F191" s="930"/>
      <c r="G191" s="930">
        <f t="shared" ref="G191:O191" si="9">G186/G181</f>
        <v>0.32008986928104577</v>
      </c>
      <c r="H191" s="930">
        <f t="shared" si="9"/>
        <v>0.35330361824855794</v>
      </c>
      <c r="I191" s="930">
        <f t="shared" si="9"/>
        <v>0.3</v>
      </c>
      <c r="J191" s="930">
        <f t="shared" si="9"/>
        <v>0.25</v>
      </c>
      <c r="K191" s="930">
        <f t="shared" si="9"/>
        <v>0.24</v>
      </c>
      <c r="L191" s="930">
        <f t="shared" si="9"/>
        <v>0.23</v>
      </c>
      <c r="M191" s="930">
        <f t="shared" si="9"/>
        <v>0.23</v>
      </c>
      <c r="N191" s="930">
        <f t="shared" si="9"/>
        <v>0.23</v>
      </c>
      <c r="O191" s="930">
        <f t="shared" si="9"/>
        <v>0.23</v>
      </c>
    </row>
    <row r="192" spans="3:15" ht="15.75">
      <c r="C192" s="5" t="str">
        <f>C182</f>
        <v>Total</v>
      </c>
      <c r="D192" s="95">
        <f t="shared" si="7"/>
        <v>0.36071599582873115</v>
      </c>
      <c r="E192" s="95">
        <f t="shared" si="7"/>
        <v>0.48460956248417364</v>
      </c>
      <c r="F192" s="7"/>
      <c r="G192" s="7">
        <f t="shared" ref="G192:O192" si="10">G187/G182</f>
        <v>0.3033739942386014</v>
      </c>
      <c r="H192" s="7">
        <f t="shared" si="10"/>
        <v>0.33329811924051089</v>
      </c>
      <c r="I192" s="7">
        <f t="shared" si="10"/>
        <v>0.3008527394293794</v>
      </c>
      <c r="J192" s="7">
        <f t="shared" si="10"/>
        <v>0.28676209787518897</v>
      </c>
      <c r="K192" s="7">
        <f t="shared" si="10"/>
        <v>0.28837762997639743</v>
      </c>
      <c r="L192" s="7">
        <f t="shared" si="10"/>
        <v>0.29996448481642712</v>
      </c>
      <c r="M192" s="7">
        <f t="shared" si="10"/>
        <v>0.3000033754741982</v>
      </c>
      <c r="N192" s="7">
        <f t="shared" si="10"/>
        <v>0.25953070452536586</v>
      </c>
      <c r="O192" s="7">
        <f t="shared" si="10"/>
        <v>0.24019458124043189</v>
      </c>
    </row>
    <row r="193" spans="3:15" ht="15.75">
      <c r="C193" s="5"/>
      <c r="D193" s="96"/>
      <c r="E193" s="96"/>
      <c r="F193" s="5"/>
      <c r="G193" s="5"/>
      <c r="H193" s="5"/>
      <c r="I193" s="5"/>
      <c r="J193" s="5"/>
    </row>
    <row r="194" spans="3:15" ht="15.75">
      <c r="C194" s="5" t="s">
        <v>497</v>
      </c>
      <c r="D194" s="101">
        <f>Fixed!I116</f>
        <v>13.3</v>
      </c>
      <c r="E194" s="101">
        <f>Fixed!J116</f>
        <v>16.5</v>
      </c>
      <c r="F194" s="8"/>
      <c r="G194" s="8">
        <f>Fixed!L116</f>
        <v>18.5</v>
      </c>
      <c r="H194" s="8">
        <f>Fixed!M116</f>
        <v>19.2</v>
      </c>
      <c r="I194" s="8">
        <f>Fixed!N116</f>
        <v>19.25</v>
      </c>
      <c r="J194" s="8">
        <f>Fixed!O116</f>
        <v>20</v>
      </c>
      <c r="K194" s="8">
        <f>Fixed!P116</f>
        <v>20.285299999999999</v>
      </c>
      <c r="L194" s="8">
        <f>Fixed!Q116</f>
        <v>20.100000000000001</v>
      </c>
      <c r="M194" s="8">
        <f>Fixed!R116</f>
        <v>17.73</v>
      </c>
      <c r="N194" s="8">
        <f>Fixed!S116</f>
        <v>18.3</v>
      </c>
      <c r="O194" s="8">
        <f>Fixed!T116</f>
        <v>19.2</v>
      </c>
    </row>
    <row r="195" spans="3:15" ht="15.75">
      <c r="C195" s="5"/>
      <c r="D195" s="96"/>
      <c r="E195" s="96"/>
      <c r="F195" s="5"/>
      <c r="G195" s="5"/>
      <c r="H195" s="5"/>
      <c r="I195" s="5"/>
      <c r="J195" s="5"/>
    </row>
    <row r="196" spans="3:15" ht="15.75">
      <c r="C196" s="922" t="s">
        <v>799</v>
      </c>
      <c r="D196" s="923">
        <f>D189</f>
        <v>2014</v>
      </c>
      <c r="E196" s="923">
        <f>E189</f>
        <v>2015</v>
      </c>
      <c r="F196" s="922"/>
      <c r="G196" s="922" t="e">
        <f t="shared" ref="G196:O196" si="11">G189</f>
        <v>#REF!</v>
      </c>
      <c r="H196" s="922" t="e">
        <f t="shared" si="11"/>
        <v>#REF!</v>
      </c>
      <c r="I196" s="922" t="e">
        <f t="shared" si="11"/>
        <v>#REF!</v>
      </c>
      <c r="J196" s="922" t="e">
        <f t="shared" si="11"/>
        <v>#REF!</v>
      </c>
      <c r="K196" s="922" t="e">
        <f t="shared" si="11"/>
        <v>#REF!</v>
      </c>
      <c r="L196" s="922" t="e">
        <f t="shared" si="11"/>
        <v>#REF!</v>
      </c>
      <c r="M196" s="922" t="e">
        <f t="shared" si="11"/>
        <v>#REF!</v>
      </c>
      <c r="N196" s="922" t="e">
        <f t="shared" si="11"/>
        <v>#REF!</v>
      </c>
      <c r="O196" s="922" t="e">
        <f t="shared" si="11"/>
        <v>#REF!</v>
      </c>
    </row>
    <row r="197" spans="3:15" ht="15.75">
      <c r="C197" s="5" t="str">
        <f>C190</f>
        <v>MEGA</v>
      </c>
      <c r="D197" s="94">
        <f t="shared" ref="D197:E199" si="12">D185/D$194</f>
        <v>175.6390977443609</v>
      </c>
      <c r="E197" s="94">
        <f t="shared" si="12"/>
        <v>228.18181818181819</v>
      </c>
      <c r="F197" s="4"/>
      <c r="G197" s="4">
        <f t="shared" ref="G197:O197" si="13">G185/G$194</f>
        <v>253.62162162162161</v>
      </c>
      <c r="H197" s="4">
        <f t="shared" si="13"/>
        <v>299.64182291666668</v>
      </c>
      <c r="I197" s="4">
        <f t="shared" si="13"/>
        <v>339.48051948051949</v>
      </c>
      <c r="J197" s="4">
        <f t="shared" si="13"/>
        <v>404.05</v>
      </c>
      <c r="K197" s="4">
        <f t="shared" si="13"/>
        <v>466.67157991254754</v>
      </c>
      <c r="L197" s="4">
        <f t="shared" si="13"/>
        <v>588.85572139303474</v>
      </c>
      <c r="M197" s="4">
        <f t="shared" si="13"/>
        <v>730.34404963338977</v>
      </c>
      <c r="N197" s="4">
        <f t="shared" si="13"/>
        <v>565.0273224043716</v>
      </c>
      <c r="O197" s="4">
        <f t="shared" si="13"/>
        <v>478.51</v>
      </c>
    </row>
    <row r="198" spans="3:15" ht="15.75">
      <c r="C198" s="926" t="str">
        <f>C191</f>
        <v>TV</v>
      </c>
      <c r="D198" s="927">
        <f t="shared" si="12"/>
        <v>703.42849624060148</v>
      </c>
      <c r="E198" s="927">
        <f t="shared" si="12"/>
        <v>1036.0705454545455</v>
      </c>
      <c r="F198" s="928"/>
      <c r="G198" s="928">
        <f t="shared" ref="G198:O198" si="14">G186/G$194</f>
        <v>571.80162162162162</v>
      </c>
      <c r="H198" s="928">
        <f t="shared" si="14"/>
        <v>666.73177083333337</v>
      </c>
      <c r="I198" s="928">
        <f t="shared" si="14"/>
        <v>646.5472987012987</v>
      </c>
      <c r="J198" s="928">
        <f t="shared" si="14"/>
        <v>565.25744562500017</v>
      </c>
      <c r="K198" s="928">
        <f t="shared" si="14"/>
        <v>577.81636911852445</v>
      </c>
      <c r="L198" s="928">
        <f t="shared" si="14"/>
        <v>603.55321573217941</v>
      </c>
      <c r="M198" s="928">
        <f t="shared" si="14"/>
        <v>738.96972403351106</v>
      </c>
      <c r="N198" s="928">
        <f t="shared" si="14"/>
        <v>773.22884501001545</v>
      </c>
      <c r="O198" s="928">
        <f t="shared" si="14"/>
        <v>795.94244233218478</v>
      </c>
    </row>
    <row r="199" spans="3:15" ht="15.75">
      <c r="C199" s="5" t="str">
        <f>C192</f>
        <v>Total</v>
      </c>
      <c r="D199" s="94">
        <f t="shared" si="12"/>
        <v>879.0675939849624</v>
      </c>
      <c r="E199" s="94">
        <f t="shared" si="12"/>
        <v>1264.2523636363637</v>
      </c>
      <c r="F199" s="4"/>
      <c r="G199" s="4">
        <f t="shared" ref="G199:O199" si="15">G187/G$194</f>
        <v>825.42324324324329</v>
      </c>
      <c r="H199" s="4">
        <f t="shared" si="15"/>
        <v>966.37359375000005</v>
      </c>
      <c r="I199" s="4">
        <f t="shared" si="15"/>
        <v>986.02781818181813</v>
      </c>
      <c r="J199" s="4">
        <f t="shared" si="15"/>
        <v>969.30744562500001</v>
      </c>
      <c r="K199" s="4">
        <f t="shared" si="15"/>
        <v>1044.487949031072</v>
      </c>
      <c r="L199" s="4">
        <f t="shared" si="15"/>
        <v>1192.4089371252142</v>
      </c>
      <c r="M199" s="4">
        <f t="shared" si="15"/>
        <v>1469.3137736669007</v>
      </c>
      <c r="N199" s="4">
        <f t="shared" si="15"/>
        <v>1338.2561674143872</v>
      </c>
      <c r="O199" s="4">
        <f t="shared" si="15"/>
        <v>1274.4524423321848</v>
      </c>
    </row>
    <row r="201" spans="3:15" ht="15.75">
      <c r="C201" s="922" t="s">
        <v>800</v>
      </c>
      <c r="D201" s="923">
        <f>D196</f>
        <v>2014</v>
      </c>
      <c r="E201" s="923">
        <f>E196</f>
        <v>2015</v>
      </c>
      <c r="F201" s="922"/>
      <c r="G201" s="922" t="e">
        <f t="shared" ref="G201:O201" si="16">G196</f>
        <v>#REF!</v>
      </c>
      <c r="H201" s="922" t="e">
        <f t="shared" si="16"/>
        <v>#REF!</v>
      </c>
      <c r="I201" s="922" t="e">
        <f t="shared" si="16"/>
        <v>#REF!</v>
      </c>
      <c r="J201" s="922" t="e">
        <f t="shared" si="16"/>
        <v>#REF!</v>
      </c>
      <c r="K201" s="922" t="e">
        <f t="shared" si="16"/>
        <v>#REF!</v>
      </c>
      <c r="L201" s="922" t="e">
        <f t="shared" si="16"/>
        <v>#REF!</v>
      </c>
      <c r="M201" s="922" t="e">
        <f t="shared" si="16"/>
        <v>#REF!</v>
      </c>
      <c r="N201" s="922" t="e">
        <f t="shared" si="16"/>
        <v>#REF!</v>
      </c>
      <c r="O201" s="922" t="e">
        <f t="shared" si="16"/>
        <v>#REF!</v>
      </c>
    </row>
    <row r="202" spans="3:15" ht="15.75">
      <c r="C202" s="5" t="str">
        <f>C197</f>
        <v>MEGA</v>
      </c>
      <c r="D202" s="94">
        <f>Fixed!I46</f>
        <v>2560</v>
      </c>
      <c r="E202" s="94">
        <f>Fixed!J46</f>
        <v>3050</v>
      </c>
      <c r="F202" s="4"/>
      <c r="G202" s="4">
        <f>Fixed!L46</f>
        <v>3405</v>
      </c>
      <c r="H202" s="4">
        <f>Fixed!M46</f>
        <v>3593</v>
      </c>
      <c r="I202" s="4">
        <f>Fixed!N46</f>
        <v>3628</v>
      </c>
      <c r="J202" s="4">
        <f>Fixed!O46</f>
        <v>3933</v>
      </c>
      <c r="K202" s="4">
        <f>Fixed!P46</f>
        <v>4153.0469999999996</v>
      </c>
      <c r="L202" s="4">
        <f>Fixed!Q46</f>
        <v>4397.9939999999997</v>
      </c>
      <c r="M202" s="4">
        <f>Fixed!R46</f>
        <v>4945.826</v>
      </c>
      <c r="N202" s="4">
        <f>Fixed!S46</f>
        <v>5520.1790000000001</v>
      </c>
      <c r="O202" s="4">
        <f>Fixed!T46</f>
        <v>5953.912127236581</v>
      </c>
    </row>
    <row r="203" spans="3:15" ht="15.75">
      <c r="C203" s="926" t="str">
        <f>C198</f>
        <v>TV</v>
      </c>
      <c r="D203" s="927">
        <v>4418.2352941176468</v>
      </c>
      <c r="E203" s="927">
        <v>5067.4157303370785</v>
      </c>
      <c r="F203" s="928"/>
      <c r="G203" s="928">
        <v>5117.0603583109059</v>
      </c>
      <c r="H203" s="928">
        <v>5731.6922869103319</v>
      </c>
      <c r="I203" s="928">
        <v>5828.554857614653</v>
      </c>
      <c r="J203" s="928">
        <v>5866.1681214267082</v>
      </c>
      <c r="K203" s="928">
        <v>6018.262105533744</v>
      </c>
      <c r="L203" s="928">
        <v>6171.8513819297887</v>
      </c>
      <c r="M203" s="928">
        <v>6315.9070130693826</v>
      </c>
      <c r="N203" s="928">
        <v>6461.4825073244483</v>
      </c>
      <c r="O203" s="928">
        <v>6608.6179354596597</v>
      </c>
    </row>
    <row r="204" spans="3:15" ht="15.75">
      <c r="C204" s="5" t="str">
        <f>C199</f>
        <v>Total</v>
      </c>
      <c r="D204" s="94">
        <f>D202+D203</f>
        <v>6978.2352941176468</v>
      </c>
      <c r="E204" s="94">
        <f>E202+E203</f>
        <v>8117.4157303370785</v>
      </c>
      <c r="F204" s="4"/>
      <c r="G204" s="4">
        <f t="shared" ref="G204:O204" si="17">G202+G203</f>
        <v>8522.0603583109059</v>
      </c>
      <c r="H204" s="4">
        <f t="shared" si="17"/>
        <v>9324.6922869103328</v>
      </c>
      <c r="I204" s="4">
        <f t="shared" si="17"/>
        <v>9456.5548576146539</v>
      </c>
      <c r="J204" s="4">
        <f t="shared" si="17"/>
        <v>9799.1681214267082</v>
      </c>
      <c r="K204" s="4">
        <f t="shared" si="17"/>
        <v>10171.309105533743</v>
      </c>
      <c r="L204" s="4">
        <f t="shared" si="17"/>
        <v>10569.845381929788</v>
      </c>
      <c r="M204" s="4">
        <f t="shared" si="17"/>
        <v>11261.733013069383</v>
      </c>
      <c r="N204" s="4">
        <f t="shared" si="17"/>
        <v>11981.661507324448</v>
      </c>
      <c r="O204" s="4">
        <f t="shared" si="17"/>
        <v>12562.530062696242</v>
      </c>
    </row>
    <row r="205" spans="3:15" ht="15.75">
      <c r="C205" s="5"/>
      <c r="D205" s="94"/>
      <c r="E205" s="94"/>
      <c r="F205" s="4"/>
      <c r="G205" s="4"/>
      <c r="H205" s="4"/>
      <c r="I205" s="4"/>
      <c r="J205" s="4"/>
      <c r="K205" s="4"/>
      <c r="L205" s="4"/>
      <c r="M205" s="4"/>
      <c r="N205" s="4"/>
      <c r="O205" s="4"/>
    </row>
    <row r="206" spans="3:15" ht="15.75">
      <c r="C206" s="922" t="s">
        <v>801</v>
      </c>
      <c r="D206" s="923">
        <f>D201</f>
        <v>2014</v>
      </c>
      <c r="E206" s="923">
        <f>E201</f>
        <v>2015</v>
      </c>
      <c r="F206" s="922"/>
      <c r="G206" s="922" t="e">
        <f t="shared" ref="G206:O206" si="18">G201</f>
        <v>#REF!</v>
      </c>
      <c r="H206" s="922" t="e">
        <f t="shared" si="18"/>
        <v>#REF!</v>
      </c>
      <c r="I206" s="922" t="e">
        <f t="shared" si="18"/>
        <v>#REF!</v>
      </c>
      <c r="J206" s="922" t="e">
        <f t="shared" si="18"/>
        <v>#REF!</v>
      </c>
      <c r="K206" s="922" t="e">
        <f t="shared" si="18"/>
        <v>#REF!</v>
      </c>
      <c r="L206" s="922" t="e">
        <f t="shared" si="18"/>
        <v>#REF!</v>
      </c>
      <c r="M206" s="922" t="e">
        <f t="shared" si="18"/>
        <v>#REF!</v>
      </c>
      <c r="N206" s="922" t="e">
        <f t="shared" si="18"/>
        <v>#REF!</v>
      </c>
      <c r="O206" s="922" t="e">
        <f t="shared" si="18"/>
        <v>#REF!</v>
      </c>
    </row>
    <row r="207" spans="3:15" ht="15.75">
      <c r="C207" s="5" t="str">
        <f>C202</f>
        <v>MEGA</v>
      </c>
      <c r="D207" s="94">
        <f>D197*1000/D202</f>
        <v>68.609022556390968</v>
      </c>
      <c r="E207" s="94">
        <f>E197*1000/E202</f>
        <v>74.813710879284642</v>
      </c>
      <c r="F207" s="4"/>
      <c r="G207" s="4">
        <f t="shared" ref="G207:O207" si="19">G197*1000/G202</f>
        <v>74.485057744969637</v>
      </c>
      <c r="H207" s="4">
        <f t="shared" si="19"/>
        <v>83.395998585211998</v>
      </c>
      <c r="I207" s="4">
        <f t="shared" si="19"/>
        <v>93.57235928349489</v>
      </c>
      <c r="J207" s="4">
        <f t="shared" si="19"/>
        <v>102.73328248156623</v>
      </c>
      <c r="K207" s="4">
        <f t="shared" si="19"/>
        <v>112.36848027786529</v>
      </c>
      <c r="L207" s="4">
        <f t="shared" si="19"/>
        <v>133.89188830021934</v>
      </c>
      <c r="M207" s="4">
        <f t="shared" si="19"/>
        <v>147.66877153247805</v>
      </c>
      <c r="N207" s="4">
        <f t="shared" si="19"/>
        <v>102.35670299900991</v>
      </c>
      <c r="O207" s="4">
        <f t="shared" si="19"/>
        <v>80.369006087782694</v>
      </c>
    </row>
    <row r="208" spans="3:15" ht="15.75">
      <c r="C208" s="926" t="str">
        <f>C203</f>
        <v>TV</v>
      </c>
      <c r="D208" s="927">
        <f>D198*1000/D203</f>
        <v>159.21028406457498</v>
      </c>
      <c r="E208" s="927">
        <f>E198*1000/E203</f>
        <v>204.45738036686154</v>
      </c>
      <c r="F208" s="928"/>
      <c r="G208" s="928">
        <f t="shared" ref="G208:O208" si="20">G198*1000/G203</f>
        <v>111.74416199584718</v>
      </c>
      <c r="H208" s="928">
        <f t="shared" si="20"/>
        <v>116.3237203706787</v>
      </c>
      <c r="I208" s="928">
        <f t="shared" si="20"/>
        <v>110.92754799358607</v>
      </c>
      <c r="J208" s="928">
        <f t="shared" si="20"/>
        <v>96.358889470001102</v>
      </c>
      <c r="K208" s="928">
        <f t="shared" si="20"/>
        <v>96.010502531491099</v>
      </c>
      <c r="L208" s="928">
        <f t="shared" si="20"/>
        <v>97.791274997205619</v>
      </c>
      <c r="M208" s="928">
        <f t="shared" si="20"/>
        <v>117.00136219617791</v>
      </c>
      <c r="N208" s="928">
        <f t="shared" si="20"/>
        <v>119.6674051401544</v>
      </c>
      <c r="O208" s="928">
        <f t="shared" si="20"/>
        <v>120.44007538420713</v>
      </c>
    </row>
    <row r="209" spans="3:15" ht="15.75">
      <c r="C209" s="5" t="str">
        <f>C204</f>
        <v>Total</v>
      </c>
      <c r="D209" s="94">
        <f>D207+D208</f>
        <v>227.81930662096596</v>
      </c>
      <c r="E209" s="94">
        <f>E207+E208</f>
        <v>279.27109124614617</v>
      </c>
      <c r="F209" s="4"/>
      <c r="G209" s="4">
        <f t="shared" ref="G209:O209" si="21">G207+G208</f>
        <v>186.2292197408168</v>
      </c>
      <c r="H209" s="4">
        <f t="shared" si="21"/>
        <v>199.7197189558907</v>
      </c>
      <c r="I209" s="4">
        <f t="shared" si="21"/>
        <v>204.49990727708098</v>
      </c>
      <c r="J209" s="4">
        <f t="shared" si="21"/>
        <v>199.09217195156734</v>
      </c>
      <c r="K209" s="4">
        <f t="shared" si="21"/>
        <v>208.37898280935639</v>
      </c>
      <c r="L209" s="4">
        <f t="shared" si="21"/>
        <v>231.68316329742495</v>
      </c>
      <c r="M209" s="4">
        <f t="shared" si="21"/>
        <v>264.67013372865597</v>
      </c>
      <c r="N209" s="4">
        <f t="shared" si="21"/>
        <v>222.0241081391643</v>
      </c>
      <c r="O209" s="4">
        <f t="shared" si="21"/>
        <v>200.80908147198983</v>
      </c>
    </row>
    <row r="210" spans="3:15" ht="15.75">
      <c r="C210" s="5"/>
      <c r="D210" s="94"/>
      <c r="E210" s="94"/>
      <c r="F210" s="4"/>
      <c r="G210" s="4"/>
      <c r="H210" s="4"/>
      <c r="I210" s="4"/>
      <c r="J210" s="4"/>
      <c r="K210" s="4"/>
      <c r="L210" s="4"/>
      <c r="M210" s="4"/>
      <c r="N210" s="4"/>
      <c r="O210" s="4"/>
    </row>
    <row r="211" spans="3:15" ht="15.75">
      <c r="C211" s="5"/>
      <c r="D211" s="94"/>
      <c r="E211" s="94"/>
      <c r="F211" s="4"/>
      <c r="G211" s="4"/>
      <c r="H211" s="4"/>
      <c r="I211" s="4"/>
      <c r="J211" s="4"/>
      <c r="K211" s="4"/>
      <c r="L211" s="4"/>
      <c r="M211" s="4"/>
      <c r="N211" s="4"/>
      <c r="O211" s="4"/>
    </row>
    <row r="212" spans="3:15">
      <c r="C212" s="919"/>
      <c r="D212" s="920">
        <v>2016</v>
      </c>
      <c r="E212" s="920">
        <f>D212+1</f>
        <v>2017</v>
      </c>
      <c r="F212" s="919" t="e">
        <f>#REF!+1</f>
        <v>#REF!</v>
      </c>
      <c r="G212" s="919" t="e">
        <f>F212+1</f>
        <v>#REF!</v>
      </c>
    </row>
    <row r="213" spans="3:15">
      <c r="C213" t="s">
        <v>802</v>
      </c>
      <c r="D213" s="93">
        <f>Master!P46</f>
        <v>0.28743291855870734</v>
      </c>
      <c r="E213" s="93">
        <f>Master!Q46</f>
        <v>0.27141782842598483</v>
      </c>
      <c r="F213" s="18">
        <f>Master!S46</f>
        <v>0.30249027957785596</v>
      </c>
      <c r="G213" s="18">
        <f>Master!T46</f>
        <v>0.36103292677478444</v>
      </c>
      <c r="I213" s="18"/>
      <c r="J213" s="18"/>
    </row>
    <row r="214" spans="3:15">
      <c r="C214" t="s">
        <v>803</v>
      </c>
      <c r="D214" s="93">
        <v>0.26600000000000001</v>
      </c>
      <c r="E214" s="93">
        <v>0.28499999999999998</v>
      </c>
      <c r="F214" s="18">
        <v>0.24748710749952918</v>
      </c>
      <c r="G214" s="18">
        <v>0.23003197022730565</v>
      </c>
    </row>
    <row r="216" spans="3:15">
      <c r="C216" s="40" t="s">
        <v>372</v>
      </c>
    </row>
    <row r="217" spans="3:15" ht="15.75">
      <c r="C217" s="5" t="str">
        <f>C180</f>
        <v>MEGA</v>
      </c>
    </row>
    <row r="218" spans="3:15" ht="15.75">
      <c r="C218" s="5" t="str">
        <f>C181</f>
        <v>TV</v>
      </c>
    </row>
    <row r="221" spans="3:15">
      <c r="C221" s="919"/>
      <c r="D221" s="920"/>
      <c r="E221" s="920"/>
    </row>
    <row r="222" spans="3:15" ht="15.75" thickBot="1">
      <c r="C222" t="s">
        <v>105</v>
      </c>
      <c r="D222" s="90">
        <f>D224-D223</f>
        <v>198</v>
      </c>
      <c r="E222" s="92">
        <f>E224-E223</f>
        <v>175</v>
      </c>
    </row>
    <row r="223" spans="3:15" ht="15.75" thickBot="1">
      <c r="C223" s="919" t="s">
        <v>804</v>
      </c>
      <c r="D223" s="931">
        <v>2</v>
      </c>
      <c r="E223" s="102">
        <v>25</v>
      </c>
    </row>
    <row r="224" spans="3:15">
      <c r="C224" t="s">
        <v>30</v>
      </c>
      <c r="D224" s="90">
        <f>D226*D227</f>
        <v>200</v>
      </c>
      <c r="E224" s="90">
        <f>E226*E227</f>
        <v>200</v>
      </c>
    </row>
    <row r="226" spans="3:5">
      <c r="C226" t="s">
        <v>295</v>
      </c>
      <c r="D226" s="103">
        <v>25</v>
      </c>
      <c r="E226" s="103">
        <v>25</v>
      </c>
    </row>
    <row r="227" spans="3:5">
      <c r="C227" t="s">
        <v>805</v>
      </c>
      <c r="D227" s="104">
        <v>8</v>
      </c>
      <c r="E227" s="105">
        <f>D227</f>
        <v>8</v>
      </c>
    </row>
    <row r="228" spans="3:5">
      <c r="D228" s="105"/>
      <c r="E228" s="105"/>
    </row>
    <row r="229" spans="3:5">
      <c r="C229" t="s">
        <v>806</v>
      </c>
      <c r="D229" s="105">
        <f>D223/D226</f>
        <v>0.08</v>
      </c>
      <c r="E229" s="105">
        <f>E223/E226</f>
        <v>1</v>
      </c>
    </row>
    <row r="231" spans="3:5">
      <c r="C231" t="s">
        <v>147</v>
      </c>
      <c r="D231" s="103">
        <v>19</v>
      </c>
      <c r="E231" s="90">
        <f>D231</f>
        <v>19</v>
      </c>
    </row>
    <row r="233" spans="3:5">
      <c r="C233" t="s">
        <v>92</v>
      </c>
      <c r="D233" s="90">
        <f>D226-D231</f>
        <v>6</v>
      </c>
      <c r="E233" s="90">
        <f>E226-E231</f>
        <v>6</v>
      </c>
    </row>
    <row r="234" spans="3:5">
      <c r="C234" t="s">
        <v>807</v>
      </c>
      <c r="D234" s="106">
        <v>7.4999999999999997E-2</v>
      </c>
      <c r="E234" s="93">
        <f>D234</f>
        <v>7.4999999999999997E-2</v>
      </c>
    </row>
    <row r="235" spans="3:5">
      <c r="C235" t="s">
        <v>808</v>
      </c>
      <c r="D235" s="107">
        <v>0.2</v>
      </c>
      <c r="E235" s="91">
        <f>D235</f>
        <v>0.2</v>
      </c>
    </row>
    <row r="236" spans="3:5">
      <c r="C236" t="s">
        <v>809</v>
      </c>
      <c r="D236" s="93">
        <f>D234*(1-D235)</f>
        <v>0.06</v>
      </c>
      <c r="E236" s="93">
        <f>E234*(1-E235)</f>
        <v>0.06</v>
      </c>
    </row>
    <row r="237" spans="3:5">
      <c r="D237" s="93"/>
      <c r="E237" s="93"/>
    </row>
    <row r="238" spans="3:5">
      <c r="C238" t="s">
        <v>810</v>
      </c>
      <c r="D238" s="105">
        <f>D234*D223</f>
        <v>0.15</v>
      </c>
      <c r="E238" s="105">
        <f>E234*E223</f>
        <v>1.875</v>
      </c>
    </row>
    <row r="239" spans="3:5">
      <c r="C239" t="s">
        <v>811</v>
      </c>
      <c r="D239" s="105">
        <f>D233-D238</f>
        <v>5.85</v>
      </c>
      <c r="E239" s="105">
        <f>E233-E238</f>
        <v>4.125</v>
      </c>
    </row>
    <row r="240" spans="3:5">
      <c r="C240" t="s">
        <v>114</v>
      </c>
      <c r="D240" s="105">
        <f>D239*D235</f>
        <v>1.17</v>
      </c>
      <c r="E240" s="105">
        <f>E239*E235</f>
        <v>0.82500000000000007</v>
      </c>
    </row>
    <row r="241" spans="3:27">
      <c r="D241" s="105"/>
      <c r="E241" s="105"/>
    </row>
    <row r="242" spans="3:27">
      <c r="C242" t="s">
        <v>31</v>
      </c>
      <c r="D242" s="105">
        <f>D239-D240</f>
        <v>4.68</v>
      </c>
      <c r="E242" s="90">
        <f>E239-E240</f>
        <v>3.3</v>
      </c>
    </row>
    <row r="243" spans="3:27">
      <c r="C243" t="s">
        <v>29</v>
      </c>
      <c r="D243" s="93">
        <f>D242/D222</f>
        <v>2.3636363636363636E-2</v>
      </c>
      <c r="E243" s="93">
        <f>E242/E222</f>
        <v>1.8857142857142857E-2</v>
      </c>
    </row>
    <row r="245" spans="3:27">
      <c r="C245" t="s">
        <v>23</v>
      </c>
      <c r="D245" s="105">
        <f>D224/(D233-D240)</f>
        <v>41.407867494824018</v>
      </c>
      <c r="E245" s="105">
        <f>E224/(E233-E240)</f>
        <v>38.647342995169083</v>
      </c>
    </row>
    <row r="248" spans="3:27">
      <c r="C248" s="919"/>
      <c r="D248" s="920">
        <v>2011</v>
      </c>
      <c r="E248" s="920">
        <f>D248+1</f>
        <v>2012</v>
      </c>
      <c r="F248" s="919"/>
      <c r="G248" s="919" t="e">
        <f>#REF!+1</f>
        <v>#REF!</v>
      </c>
      <c r="H248" s="919" t="e">
        <f t="shared" ref="H248:V248" si="22">G248+1</f>
        <v>#REF!</v>
      </c>
      <c r="I248" s="919" t="e">
        <f t="shared" si="22"/>
        <v>#REF!</v>
      </c>
      <c r="J248" s="919" t="e">
        <f t="shared" si="22"/>
        <v>#REF!</v>
      </c>
      <c r="K248" s="919" t="e">
        <f t="shared" si="22"/>
        <v>#REF!</v>
      </c>
      <c r="L248" s="919" t="e">
        <f t="shared" si="22"/>
        <v>#REF!</v>
      </c>
      <c r="M248" s="919" t="e">
        <f t="shared" si="22"/>
        <v>#REF!</v>
      </c>
      <c r="N248" s="919" t="e">
        <f t="shared" si="22"/>
        <v>#REF!</v>
      </c>
      <c r="O248" s="919" t="e">
        <f t="shared" si="22"/>
        <v>#REF!</v>
      </c>
      <c r="P248" s="919" t="e">
        <f t="shared" si="22"/>
        <v>#REF!</v>
      </c>
      <c r="Q248" s="919" t="e">
        <f t="shared" si="22"/>
        <v>#REF!</v>
      </c>
      <c r="R248" s="919" t="e">
        <f t="shared" si="22"/>
        <v>#REF!</v>
      </c>
      <c r="S248" s="919" t="e">
        <f t="shared" si="22"/>
        <v>#REF!</v>
      </c>
      <c r="T248" s="919" t="e">
        <f t="shared" si="22"/>
        <v>#REF!</v>
      </c>
      <c r="U248" s="919" t="e">
        <f t="shared" si="22"/>
        <v>#REF!</v>
      </c>
      <c r="V248" s="919" t="e">
        <f t="shared" si="22"/>
        <v>#REF!</v>
      </c>
      <c r="W248" s="921"/>
      <c r="X248" s="921"/>
      <c r="Y248" s="921"/>
      <c r="Z248" s="921"/>
      <c r="AA248" s="921" t="s">
        <v>812</v>
      </c>
    </row>
    <row r="249" spans="3:27">
      <c r="C249" t="s">
        <v>343</v>
      </c>
      <c r="D249" s="92">
        <f>Fixed!F59</f>
        <v>5011.26966705</v>
      </c>
      <c r="E249" s="92">
        <f>Fixed!G59</f>
        <v>5501.5720500000007</v>
      </c>
      <c r="F249" s="17"/>
      <c r="G249" s="17">
        <f>Fixed!I59</f>
        <v>6239.0855217000008</v>
      </c>
      <c r="H249" s="17">
        <f>Fixed!J59</f>
        <v>6880.2556255</v>
      </c>
      <c r="I249" s="17">
        <f>Fixed!K59</f>
        <v>7775.6624948499993</v>
      </c>
      <c r="J249" s="17">
        <f>Fixed!L59</f>
        <v>7490.3016378000002</v>
      </c>
      <c r="K249" s="17">
        <f>Fixed!M59</f>
        <v>8128.7349387000004</v>
      </c>
      <c r="L249" s="17">
        <f>Fixed!N59</f>
        <v>8966.2410969499997</v>
      </c>
      <c r="M249" s="17">
        <f>Fixed!O59</f>
        <v>9245.9353932000013</v>
      </c>
      <c r="N249" s="17">
        <f>Fixed!P59</f>
        <v>9480.2566471499995</v>
      </c>
      <c r="O249" s="17">
        <f>Fixed!Q59</f>
        <v>9876.7625811000016</v>
      </c>
      <c r="P249" s="17">
        <f>Fixed!R59</f>
        <v>10778.534942549999</v>
      </c>
      <c r="Q249" s="17">
        <f>Fixed!S59</f>
        <v>11093.579</v>
      </c>
      <c r="R249" s="17">
        <f>Fixed!T59</f>
        <v>11583.474063991656</v>
      </c>
      <c r="S249" s="56">
        <f>R249*0.975</f>
        <v>11293.887212391865</v>
      </c>
      <c r="T249" s="56">
        <f>S249*0.975</f>
        <v>11011.540032082068</v>
      </c>
      <c r="U249" s="56">
        <f>T249*0.975</f>
        <v>10736.251531280017</v>
      </c>
      <c r="V249" s="56">
        <f>U249*0.975</f>
        <v>10467.845242998017</v>
      </c>
      <c r="W249" s="56">
        <f>V249*0.975</f>
        <v>10206.149111923067</v>
      </c>
      <c r="X249" s="56">
        <f>W249*0.97</f>
        <v>9899.9646385653741</v>
      </c>
      <c r="Y249" s="56">
        <f>X249*0.98</f>
        <v>9701.9653457940658</v>
      </c>
      <c r="Z249" s="56">
        <f>Y249*0.98</f>
        <v>9507.926038878184</v>
      </c>
      <c r="AA249" s="56">
        <f>Z249*0.98</f>
        <v>9317.7675181006198</v>
      </c>
    </row>
    <row r="250" spans="3:27">
      <c r="C250" t="s">
        <v>529</v>
      </c>
      <c r="D250" s="92">
        <f>Fixed!F60</f>
        <v>1615.8040283999999</v>
      </c>
      <c r="E250" s="92">
        <f>Fixed!G60</f>
        <v>1796.5300499999998</v>
      </c>
      <c r="F250" s="17"/>
      <c r="G250" s="17">
        <f>Fixed!I60</f>
        <v>2512.566965</v>
      </c>
      <c r="H250" s="17">
        <f>Fixed!J60</f>
        <v>3490.0319199999999</v>
      </c>
      <c r="I250" s="17">
        <f>Fixed!K60</f>
        <v>4457.5604041000006</v>
      </c>
      <c r="J250" s="17">
        <f>Fixed!L60</f>
        <v>5137.1891435999996</v>
      </c>
      <c r="K250" s="17">
        <f>Fixed!M60</f>
        <v>6056.1526047000007</v>
      </c>
      <c r="L250" s="17">
        <f>Fixed!N60</f>
        <v>6617.4883136999997</v>
      </c>
      <c r="M250" s="17">
        <f>Fixed!O60</f>
        <v>7178.6430369</v>
      </c>
      <c r="N250" s="17">
        <f>Fixed!P60</f>
        <v>8202.1739376000005</v>
      </c>
      <c r="O250" s="17">
        <f>Fixed!Q60</f>
        <v>8988.8520795000004</v>
      </c>
      <c r="P250" s="17">
        <f>Fixed!R60</f>
        <v>10278.634920150002</v>
      </c>
      <c r="Q250" s="17">
        <f>Fixed!S60</f>
        <v>12350.602000000001</v>
      </c>
      <c r="R250" s="17">
        <f>Fixed!T60</f>
        <v>13814.454901958286</v>
      </c>
      <c r="S250" s="56">
        <f>R250*1.08</f>
        <v>14919.611294114949</v>
      </c>
      <c r="T250" s="56">
        <f>S250*1.08</f>
        <v>16113.180197644146</v>
      </c>
      <c r="U250" s="56">
        <f>T250*1.07</f>
        <v>17241.102811479235</v>
      </c>
      <c r="V250" s="56">
        <f>U250*1.06</f>
        <v>18275.568980167991</v>
      </c>
      <c r="W250" s="56">
        <f>V250*1.05</f>
        <v>19189.347429176392</v>
      </c>
      <c r="X250" s="56">
        <f>W250*1.06</f>
        <v>20340.708274926976</v>
      </c>
      <c r="Y250" s="56">
        <f>X250*1.05</f>
        <v>21357.743688673327</v>
      </c>
      <c r="Z250" s="56">
        <f>Y250*1.05</f>
        <v>22425.630873106995</v>
      </c>
      <c r="AA250" s="56">
        <f>Z250*1.05</f>
        <v>23546.912416762345</v>
      </c>
    </row>
    <row r="251" spans="3:27">
      <c r="C251" t="s">
        <v>40</v>
      </c>
      <c r="D251" s="92">
        <f>Fixed!F61</f>
        <v>1132.9679225999998</v>
      </c>
      <c r="E251" s="92">
        <f>Fixed!G61</f>
        <v>1131.9396000000002</v>
      </c>
      <c r="F251" s="17"/>
      <c r="G251" s="17">
        <f>Fixed!I61</f>
        <v>1265.7480292</v>
      </c>
      <c r="H251" s="17">
        <f>Fixed!J61</f>
        <v>1357.288</v>
      </c>
      <c r="I251" s="17">
        <f>Fixed!K61</f>
        <v>1641.2073165000002</v>
      </c>
      <c r="J251" s="17">
        <f>Fixed!L61</f>
        <v>1641.2073165000002</v>
      </c>
      <c r="K251" s="17">
        <f>Fixed!M61</f>
        <v>1656.3104122499999</v>
      </c>
      <c r="L251" s="17">
        <f>Fixed!N61</f>
        <v>1595.4044411499999</v>
      </c>
      <c r="M251" s="17">
        <f>Fixed!O61</f>
        <v>1832.6767752000001</v>
      </c>
      <c r="N251" s="17">
        <f>Fixed!P61</f>
        <v>2337.3784965</v>
      </c>
      <c r="O251" s="17">
        <f>Fixed!Q61</f>
        <v>2459.61045375</v>
      </c>
      <c r="P251" s="17">
        <f>Fixed!R61</f>
        <v>2556.1935830999996</v>
      </c>
      <c r="Q251" s="17">
        <f>Fixed!S61</f>
        <v>2893.0630000000001</v>
      </c>
      <c r="R251" s="17">
        <f>Fixed!T61</f>
        <v>3157.2575684415278</v>
      </c>
      <c r="S251" s="17">
        <f t="shared" ref="S251:AA251" si="23">S252-S249-S250</f>
        <v>3198.3436239163984</v>
      </c>
      <c r="T251" s="17">
        <f t="shared" si="23"/>
        <v>3169.477164609696</v>
      </c>
      <c r="U251" s="17">
        <f t="shared" si="23"/>
        <v>3225.6689734067368</v>
      </c>
      <c r="V251" s="17">
        <f t="shared" si="23"/>
        <v>3395.6997924849602</v>
      </c>
      <c r="W251" s="17">
        <f t="shared" si="23"/>
        <v>3707.7908950210367</v>
      </c>
      <c r="X251" s="17">
        <f t="shared" si="23"/>
        <v>3855.7131457117575</v>
      </c>
      <c r="Y251" s="17">
        <f t="shared" si="23"/>
        <v>4059.5686065128393</v>
      </c>
      <c r="Z251" s="17">
        <f t="shared" si="23"/>
        <v>4239.2990582244602</v>
      </c>
      <c r="AA251" s="17">
        <f t="shared" si="23"/>
        <v>4393.3617144529635</v>
      </c>
    </row>
    <row r="252" spans="3:27">
      <c r="C252" t="s">
        <v>39</v>
      </c>
      <c r="D252" s="92">
        <f>D249+D250+D251</f>
        <v>7760.0416180499997</v>
      </c>
      <c r="E252" s="92">
        <f>E249+E250+E251</f>
        <v>8430.0416999999998</v>
      </c>
      <c r="F252" s="17"/>
      <c r="G252" s="17">
        <f t="shared" ref="G252:R252" si="24">G249+G250+G251</f>
        <v>10017.400515900001</v>
      </c>
      <c r="H252" s="17">
        <f t="shared" si="24"/>
        <v>11727.5755455</v>
      </c>
      <c r="I252" s="17">
        <f t="shared" si="24"/>
        <v>13874.43021545</v>
      </c>
      <c r="J252" s="17">
        <f t="shared" si="24"/>
        <v>14268.6980979</v>
      </c>
      <c r="K252" s="17">
        <f t="shared" si="24"/>
        <v>15841.197955650001</v>
      </c>
      <c r="L252" s="17">
        <f t="shared" si="24"/>
        <v>17179.133851799998</v>
      </c>
      <c r="M252" s="17">
        <f t="shared" si="24"/>
        <v>18257.255205300004</v>
      </c>
      <c r="N252" s="17">
        <f t="shared" si="24"/>
        <v>20019.809081250001</v>
      </c>
      <c r="O252" s="17">
        <f t="shared" si="24"/>
        <v>21325.225114350003</v>
      </c>
      <c r="P252" s="17">
        <f t="shared" si="24"/>
        <v>23613.363445800002</v>
      </c>
      <c r="Q252" s="17">
        <f t="shared" si="24"/>
        <v>26337.243999999999</v>
      </c>
      <c r="R252" s="17">
        <f t="shared" si="24"/>
        <v>28555.186534391469</v>
      </c>
      <c r="S252" s="17">
        <f t="shared" ref="S252:AA252" si="25">(1+S253)*R252</f>
        <v>29411.842130423214</v>
      </c>
      <c r="T252" s="17">
        <f t="shared" si="25"/>
        <v>30294.197394335912</v>
      </c>
      <c r="U252" s="17">
        <f t="shared" si="25"/>
        <v>31203.023316165989</v>
      </c>
      <c r="V252" s="17">
        <f t="shared" si="25"/>
        <v>32139.114015650968</v>
      </c>
      <c r="W252" s="17">
        <f t="shared" si="25"/>
        <v>33103.287436120496</v>
      </c>
      <c r="X252" s="17">
        <f t="shared" si="25"/>
        <v>34096.386059204109</v>
      </c>
      <c r="Y252" s="17">
        <f t="shared" si="25"/>
        <v>35119.277640980232</v>
      </c>
      <c r="Z252" s="17">
        <f t="shared" si="25"/>
        <v>36172.855970209639</v>
      </c>
      <c r="AA252" s="17">
        <f t="shared" si="25"/>
        <v>37258.041649315928</v>
      </c>
    </row>
    <row r="253" spans="3:27">
      <c r="E253" s="91">
        <f>E252/D252-1</f>
        <v>8.6339753693017274E-2</v>
      </c>
      <c r="F253" s="15"/>
      <c r="G253" s="15" t="e">
        <f>G252/#REF!-1</f>
        <v>#REF!</v>
      </c>
      <c r="H253" s="15">
        <f t="shared" ref="H253:R253" si="26">H252/G252-1</f>
        <v>0.17072044058591285</v>
      </c>
      <c r="I253" s="15">
        <f t="shared" si="26"/>
        <v>0.18306039996252865</v>
      </c>
      <c r="J253" s="15">
        <f t="shared" si="26"/>
        <v>2.841687019413297E-2</v>
      </c>
      <c r="K253" s="15">
        <f t="shared" si="26"/>
        <v>0.11020626037223624</v>
      </c>
      <c r="L253" s="15">
        <f t="shared" si="26"/>
        <v>8.4459262481017205E-2</v>
      </c>
      <c r="M253" s="15">
        <f t="shared" si="26"/>
        <v>6.2757608317199454E-2</v>
      </c>
      <c r="N253" s="15">
        <f t="shared" si="26"/>
        <v>9.6539915563996548E-2</v>
      </c>
      <c r="O253" s="15">
        <f t="shared" si="26"/>
        <v>6.5206217891589091E-2</v>
      </c>
      <c r="P253" s="15">
        <f t="shared" si="26"/>
        <v>0.10729726505490822</v>
      </c>
      <c r="Q253" s="15">
        <f t="shared" si="26"/>
        <v>0.11535334898190808</v>
      </c>
      <c r="R253" s="15">
        <f t="shared" si="26"/>
        <v>8.4213159675760707E-2</v>
      </c>
      <c r="S253" s="55">
        <v>0.03</v>
      </c>
      <c r="T253" s="55">
        <v>0.03</v>
      </c>
      <c r="U253" s="55">
        <v>0.03</v>
      </c>
      <c r="V253" s="55">
        <v>0.03</v>
      </c>
      <c r="W253" s="55">
        <v>0.03</v>
      </c>
      <c r="X253" s="55">
        <v>0.03</v>
      </c>
      <c r="Y253" s="55">
        <v>0.03</v>
      </c>
      <c r="Z253" s="55">
        <v>0.03</v>
      </c>
      <c r="AA253" s="55">
        <v>0.03</v>
      </c>
    </row>
    <row r="255" spans="3:27">
      <c r="C255" t="str">
        <f>C249</f>
        <v>Video</v>
      </c>
      <c r="D255" s="92">
        <f>D249/D$252*D$258</f>
        <v>64.57787101803288</v>
      </c>
      <c r="E255" s="92">
        <f>E249/D249*D255</f>
        <v>70.896166809250659</v>
      </c>
      <c r="F255" s="17"/>
      <c r="G255" s="17" t="e">
        <f>G249/#REF!*#REF!</f>
        <v>#REF!</v>
      </c>
      <c r="H255" s="17" t="e">
        <f t="shared" ref="H255:AA255" si="27">H249/G249*G255</f>
        <v>#REF!</v>
      </c>
      <c r="I255" s="17" t="e">
        <f t="shared" si="27"/>
        <v>#REF!</v>
      </c>
      <c r="J255" s="17" t="e">
        <f t="shared" si="27"/>
        <v>#REF!</v>
      </c>
      <c r="K255" s="17" t="e">
        <f t="shared" si="27"/>
        <v>#REF!</v>
      </c>
      <c r="L255" s="17" t="e">
        <f t="shared" si="27"/>
        <v>#REF!</v>
      </c>
      <c r="M255" s="17" t="e">
        <f t="shared" si="27"/>
        <v>#REF!</v>
      </c>
      <c r="N255" s="17" t="e">
        <f t="shared" si="27"/>
        <v>#REF!</v>
      </c>
      <c r="O255" s="17" t="e">
        <f t="shared" si="27"/>
        <v>#REF!</v>
      </c>
      <c r="P255" s="17" t="e">
        <f t="shared" si="27"/>
        <v>#REF!</v>
      </c>
      <c r="Q255" s="17" t="e">
        <f t="shared" si="27"/>
        <v>#REF!</v>
      </c>
      <c r="R255" s="17" t="e">
        <f t="shared" si="27"/>
        <v>#REF!</v>
      </c>
      <c r="S255" s="17" t="e">
        <f t="shared" si="27"/>
        <v>#REF!</v>
      </c>
      <c r="T255" s="17" t="e">
        <f t="shared" si="27"/>
        <v>#REF!</v>
      </c>
      <c r="U255" s="17" t="e">
        <f t="shared" si="27"/>
        <v>#REF!</v>
      </c>
      <c r="V255" s="17" t="e">
        <f t="shared" si="27"/>
        <v>#REF!</v>
      </c>
      <c r="W255" s="17" t="e">
        <f t="shared" si="27"/>
        <v>#REF!</v>
      </c>
      <c r="X255" s="17" t="e">
        <f t="shared" si="27"/>
        <v>#REF!</v>
      </c>
      <c r="Y255" s="17" t="e">
        <f t="shared" si="27"/>
        <v>#REF!</v>
      </c>
      <c r="Z255" s="17" t="e">
        <f t="shared" si="27"/>
        <v>#REF!</v>
      </c>
      <c r="AA255" s="17" t="e">
        <f t="shared" si="27"/>
        <v>#REF!</v>
      </c>
    </row>
    <row r="256" spans="3:27">
      <c r="C256" t="str">
        <f>C250</f>
        <v>Broadband</v>
      </c>
      <c r="D256" s="92">
        <f>D250/D$252*D$258</f>
        <v>20.8221051887352</v>
      </c>
      <c r="E256" s="92">
        <f>E250/D250*D256</f>
        <v>23.151036275646231</v>
      </c>
      <c r="F256" s="17"/>
      <c r="G256" s="17" t="e">
        <f>G250/#REF!*#REF!</f>
        <v>#REF!</v>
      </c>
      <c r="H256" s="17" t="e">
        <f t="shared" ref="H256:AA256" si="28">H250/G250*G256</f>
        <v>#REF!</v>
      </c>
      <c r="I256" s="17" t="e">
        <f t="shared" si="28"/>
        <v>#REF!</v>
      </c>
      <c r="J256" s="17" t="e">
        <f t="shared" si="28"/>
        <v>#REF!</v>
      </c>
      <c r="K256" s="17" t="e">
        <f t="shared" si="28"/>
        <v>#REF!</v>
      </c>
      <c r="L256" s="17" t="e">
        <f t="shared" si="28"/>
        <v>#REF!</v>
      </c>
      <c r="M256" s="17" t="e">
        <f t="shared" si="28"/>
        <v>#REF!</v>
      </c>
      <c r="N256" s="17" t="e">
        <f t="shared" si="28"/>
        <v>#REF!</v>
      </c>
      <c r="O256" s="17" t="e">
        <f t="shared" si="28"/>
        <v>#REF!</v>
      </c>
      <c r="P256" s="17" t="e">
        <f t="shared" si="28"/>
        <v>#REF!</v>
      </c>
      <c r="Q256" s="17" t="e">
        <f t="shared" si="28"/>
        <v>#REF!</v>
      </c>
      <c r="R256" s="17" t="e">
        <f t="shared" si="28"/>
        <v>#REF!</v>
      </c>
      <c r="S256" s="17" t="e">
        <f t="shared" si="28"/>
        <v>#REF!</v>
      </c>
      <c r="T256" s="17" t="e">
        <f t="shared" si="28"/>
        <v>#REF!</v>
      </c>
      <c r="U256" s="17" t="e">
        <f t="shared" si="28"/>
        <v>#REF!</v>
      </c>
      <c r="V256" s="17" t="e">
        <f t="shared" si="28"/>
        <v>#REF!</v>
      </c>
      <c r="W256" s="17" t="e">
        <f t="shared" si="28"/>
        <v>#REF!</v>
      </c>
      <c r="X256" s="17" t="e">
        <f t="shared" si="28"/>
        <v>#REF!</v>
      </c>
      <c r="Y256" s="17" t="e">
        <f t="shared" si="28"/>
        <v>#REF!</v>
      </c>
      <c r="Z256" s="17" t="e">
        <f t="shared" si="28"/>
        <v>#REF!</v>
      </c>
      <c r="AA256" s="17" t="e">
        <f t="shared" si="28"/>
        <v>#REF!</v>
      </c>
    </row>
    <row r="257" spans="3:27">
      <c r="C257" t="str">
        <f>C251</f>
        <v>Voice</v>
      </c>
      <c r="D257" s="92">
        <f>D251/D$252*D$258</f>
        <v>14.600023793231928</v>
      </c>
      <c r="E257" s="92">
        <f>E251/D251*D257</f>
        <v>14.586772284404866</v>
      </c>
      <c r="F257" s="17"/>
      <c r="G257" s="17" t="e">
        <f>G251/#REF!*#REF!</f>
        <v>#REF!</v>
      </c>
      <c r="H257" s="17" t="e">
        <f t="shared" ref="H257:AA257" si="29">H251/G251*G257</f>
        <v>#REF!</v>
      </c>
      <c r="I257" s="17" t="e">
        <f t="shared" si="29"/>
        <v>#REF!</v>
      </c>
      <c r="J257" s="17" t="e">
        <f t="shared" si="29"/>
        <v>#REF!</v>
      </c>
      <c r="K257" s="17" t="e">
        <f t="shared" si="29"/>
        <v>#REF!</v>
      </c>
      <c r="L257" s="17" t="e">
        <f t="shared" si="29"/>
        <v>#REF!</v>
      </c>
      <c r="M257" s="17" t="e">
        <f t="shared" si="29"/>
        <v>#REF!</v>
      </c>
      <c r="N257" s="17" t="e">
        <f t="shared" si="29"/>
        <v>#REF!</v>
      </c>
      <c r="O257" s="17" t="e">
        <f t="shared" si="29"/>
        <v>#REF!</v>
      </c>
      <c r="P257" s="17" t="e">
        <f t="shared" si="29"/>
        <v>#REF!</v>
      </c>
      <c r="Q257" s="17" t="e">
        <f t="shared" si="29"/>
        <v>#REF!</v>
      </c>
      <c r="R257" s="17" t="e">
        <f t="shared" si="29"/>
        <v>#REF!</v>
      </c>
      <c r="S257" s="17" t="e">
        <f t="shared" si="29"/>
        <v>#REF!</v>
      </c>
      <c r="T257" s="17" t="e">
        <f t="shared" si="29"/>
        <v>#REF!</v>
      </c>
      <c r="U257" s="17" t="e">
        <f t="shared" si="29"/>
        <v>#REF!</v>
      </c>
      <c r="V257" s="17" t="e">
        <f t="shared" si="29"/>
        <v>#REF!</v>
      </c>
      <c r="W257" s="17" t="e">
        <f t="shared" si="29"/>
        <v>#REF!</v>
      </c>
      <c r="X257" s="17" t="e">
        <f t="shared" si="29"/>
        <v>#REF!</v>
      </c>
      <c r="Y257" s="17" t="e">
        <f t="shared" si="29"/>
        <v>#REF!</v>
      </c>
      <c r="Z257" s="17" t="e">
        <f t="shared" si="29"/>
        <v>#REF!</v>
      </c>
      <c r="AA257" s="17" t="e">
        <f t="shared" si="29"/>
        <v>#REF!</v>
      </c>
    </row>
    <row r="258" spans="3:27">
      <c r="D258" s="103">
        <v>100</v>
      </c>
      <c r="E258" s="92">
        <f>E252/D252*D258</f>
        <v>108.63397536930172</v>
      </c>
      <c r="F258" s="17"/>
      <c r="G258" s="17" t="e">
        <f>G252/#REF!*#REF!</f>
        <v>#REF!</v>
      </c>
      <c r="H258" s="17" t="e">
        <f t="shared" ref="H258:AA258" si="30">H252/G252*G258</f>
        <v>#REF!</v>
      </c>
      <c r="I258" s="17" t="e">
        <f t="shared" si="30"/>
        <v>#REF!</v>
      </c>
      <c r="J258" s="17" t="e">
        <f t="shared" si="30"/>
        <v>#REF!</v>
      </c>
      <c r="K258" s="17" t="e">
        <f t="shared" si="30"/>
        <v>#REF!</v>
      </c>
      <c r="L258" s="17" t="e">
        <f t="shared" si="30"/>
        <v>#REF!</v>
      </c>
      <c r="M258" s="17" t="e">
        <f t="shared" si="30"/>
        <v>#REF!</v>
      </c>
      <c r="N258" s="17" t="e">
        <f t="shared" si="30"/>
        <v>#REF!</v>
      </c>
      <c r="O258" s="17" t="e">
        <f t="shared" si="30"/>
        <v>#REF!</v>
      </c>
      <c r="P258" s="17" t="e">
        <f t="shared" si="30"/>
        <v>#REF!</v>
      </c>
      <c r="Q258" s="17" t="e">
        <f t="shared" si="30"/>
        <v>#REF!</v>
      </c>
      <c r="R258" s="17" t="e">
        <f t="shared" si="30"/>
        <v>#REF!</v>
      </c>
      <c r="S258" s="17" t="e">
        <f t="shared" si="30"/>
        <v>#REF!</v>
      </c>
      <c r="T258" s="17" t="e">
        <f t="shared" si="30"/>
        <v>#REF!</v>
      </c>
      <c r="U258" s="17" t="e">
        <f t="shared" si="30"/>
        <v>#REF!</v>
      </c>
      <c r="V258" s="17" t="e">
        <f t="shared" si="30"/>
        <v>#REF!</v>
      </c>
      <c r="W258" s="17" t="e">
        <f t="shared" si="30"/>
        <v>#REF!</v>
      </c>
      <c r="X258" s="17" t="e">
        <f t="shared" si="30"/>
        <v>#REF!</v>
      </c>
      <c r="Y258" s="17" t="e">
        <f t="shared" si="30"/>
        <v>#REF!</v>
      </c>
      <c r="Z258" s="17" t="e">
        <f t="shared" si="30"/>
        <v>#REF!</v>
      </c>
      <c r="AA258" s="17" t="e">
        <f t="shared" si="30"/>
        <v>#REF!</v>
      </c>
    </row>
    <row r="264" spans="3:27">
      <c r="D264" s="90" t="str">
        <f>Quarts!AJ4</f>
        <v>1Q17</v>
      </c>
      <c r="E264" s="90" t="str">
        <f>Quarts!AK4</f>
        <v>2Q17</v>
      </c>
      <c r="F264" s="13"/>
      <c r="G264" s="13" t="str">
        <f>Quarts!AM4</f>
        <v>4Q17</v>
      </c>
      <c r="H264" s="13" t="str">
        <f>Quarts!AN4</f>
        <v>1Q18</v>
      </c>
      <c r="I264" s="13" t="str">
        <f>Quarts!AO4</f>
        <v>2Q18</v>
      </c>
      <c r="J264" s="13" t="str">
        <f>Quarts!AP4</f>
        <v>3Q18</v>
      </c>
      <c r="K264" s="13" t="str">
        <f>Quarts!AQ4</f>
        <v>4Q18</v>
      </c>
      <c r="L264" s="13" t="str">
        <f>Quarts!AR4</f>
        <v>1Q19</v>
      </c>
      <c r="M264" s="13" t="str">
        <f>Quarts!AS4</f>
        <v>2Q19</v>
      </c>
      <c r="N264" s="13"/>
      <c r="O264" s="13"/>
    </row>
    <row r="265" spans="3:27">
      <c r="D265" s="105">
        <f>Quarts!AJ51</f>
        <v>178.4</v>
      </c>
      <c r="E265" s="105">
        <f>Quarts!AK51</f>
        <v>178.7</v>
      </c>
      <c r="F265" s="59"/>
      <c r="G265" s="59">
        <f>Quarts!AM51</f>
        <v>177.2</v>
      </c>
      <c r="H265" s="59">
        <f>Quarts!AN51</f>
        <v>181.9</v>
      </c>
      <c r="I265" s="59">
        <f>Quarts!AO51</f>
        <v>179.3</v>
      </c>
      <c r="J265" s="59">
        <f>Quarts!AP51</f>
        <v>178.2</v>
      </c>
      <c r="K265" s="59">
        <f>Quarts!AQ51</f>
        <v>179.8</v>
      </c>
      <c r="L265" s="59">
        <f>Quarts!AR51</f>
        <v>182</v>
      </c>
      <c r="M265" s="59">
        <f>Quarts!AS51</f>
        <v>182.7</v>
      </c>
      <c r="N265" s="59"/>
      <c r="O265" s="59"/>
    </row>
    <row r="269" spans="3:27" ht="15.75">
      <c r="D269" s="96"/>
    </row>
    <row r="270" spans="3:27" ht="15.75">
      <c r="C270" s="60" t="s">
        <v>813</v>
      </c>
      <c r="D270" s="96"/>
    </row>
    <row r="271" spans="3:27" ht="15.75">
      <c r="C271" s="5" t="s">
        <v>814</v>
      </c>
      <c r="D271" s="101">
        <f>Quarts!AT8/1000-0.6</f>
        <v>8.1639999999999997</v>
      </c>
    </row>
    <row r="272" spans="3:27" ht="15.75">
      <c r="C272" s="5" t="s">
        <v>815</v>
      </c>
      <c r="D272" s="98">
        <v>0.5</v>
      </c>
    </row>
    <row r="273" spans="3:5" ht="15.75">
      <c r="C273" s="5" t="s">
        <v>816</v>
      </c>
      <c r="D273" s="101">
        <f>D272*D271</f>
        <v>4.0819999999999999</v>
      </c>
    </row>
    <row r="274" spans="3:5" ht="15.75">
      <c r="C274" s="5"/>
      <c r="D274" s="101"/>
    </row>
    <row r="275" spans="3:5" ht="15.75">
      <c r="C275" s="5" t="s">
        <v>817</v>
      </c>
      <c r="D275" s="98">
        <v>0.5</v>
      </c>
    </row>
    <row r="276" spans="3:5" ht="15.75">
      <c r="C276" s="5" t="s">
        <v>818</v>
      </c>
      <c r="D276" s="101">
        <f>D275*D273</f>
        <v>2.0409999999999999</v>
      </c>
    </row>
    <row r="277" spans="3:5" ht="15.75">
      <c r="C277" s="5" t="s">
        <v>819</v>
      </c>
      <c r="D277" s="96">
        <v>60</v>
      </c>
    </row>
    <row r="278" spans="3:5" ht="15.75">
      <c r="C278" s="5" t="s">
        <v>820</v>
      </c>
      <c r="D278" s="97">
        <f>D277/D276</f>
        <v>29.39735423811857</v>
      </c>
    </row>
    <row r="279" spans="3:5" ht="15.75">
      <c r="C279" s="5"/>
      <c r="D279" s="96"/>
    </row>
    <row r="281" spans="3:5">
      <c r="C281" s="43">
        <v>2019</v>
      </c>
      <c r="D281" s="92">
        <v>0</v>
      </c>
      <c r="E281" s="90">
        <v>323</v>
      </c>
    </row>
    <row r="282" spans="3:5">
      <c r="C282" t="s">
        <v>821</v>
      </c>
      <c r="D282" s="90">
        <v>265</v>
      </c>
      <c r="E282" s="92">
        <f>E281-D282</f>
        <v>58</v>
      </c>
    </row>
    <row r="283" spans="3:5">
      <c r="C283" t="s">
        <v>822</v>
      </c>
      <c r="D283" s="90">
        <f>D282</f>
        <v>265</v>
      </c>
      <c r="E283" s="90">
        <v>55</v>
      </c>
    </row>
    <row r="284" spans="3:5">
      <c r="C284" t="s">
        <v>823</v>
      </c>
      <c r="D284" s="90">
        <f>D283+E283</f>
        <v>320</v>
      </c>
      <c r="E284" s="92">
        <f>E281+50-D284</f>
        <v>53</v>
      </c>
    </row>
    <row r="285" spans="3:5">
      <c r="C285" s="43">
        <v>2020</v>
      </c>
      <c r="D285" s="92"/>
      <c r="E285" s="92">
        <f>D284+E284</f>
        <v>373</v>
      </c>
    </row>
    <row r="287" spans="3:5">
      <c r="D287" s="90">
        <v>100</v>
      </c>
      <c r="E287" s="90">
        <f>D287*D276</f>
        <v>204.1</v>
      </c>
    </row>
    <row r="288" spans="3:5">
      <c r="D288" s="90">
        <v>300</v>
      </c>
      <c r="E288" s="90">
        <f>D276*0.45*D288</f>
        <v>275.53499999999997</v>
      </c>
    </row>
    <row r="293" spans="3:9" ht="15.75">
      <c r="C293" s="60" t="s">
        <v>824</v>
      </c>
    </row>
    <row r="295" spans="3:9" ht="15.75">
      <c r="C295" s="922" t="s">
        <v>825</v>
      </c>
      <c r="D295" s="923">
        <v>2020</v>
      </c>
      <c r="E295" s="923">
        <f>D295+1</f>
        <v>2021</v>
      </c>
      <c r="F295" s="922"/>
      <c r="G295" s="922" t="e">
        <f>#REF!+1</f>
        <v>#REF!</v>
      </c>
      <c r="H295" s="922" t="e">
        <f>G295+1</f>
        <v>#REF!</v>
      </c>
      <c r="I295" s="922" t="e">
        <f>H295+1</f>
        <v>#REF!</v>
      </c>
    </row>
    <row r="296" spans="3:9" ht="15.75">
      <c r="C296" s="5" t="s">
        <v>43</v>
      </c>
      <c r="D296" s="94">
        <f>Master!T8</f>
        <v>22383</v>
      </c>
      <c r="E296" s="94">
        <f>Master!U8</f>
        <v>24634</v>
      </c>
      <c r="F296" s="4"/>
      <c r="G296" s="4">
        <f>Master!W8</f>
        <v>29870.54</v>
      </c>
      <c r="H296" s="4">
        <f>Master!X8</f>
        <v>32840.847999999998</v>
      </c>
      <c r="I296" s="4">
        <f>Master!Y8</f>
        <v>35429.71</v>
      </c>
    </row>
    <row r="297" spans="3:9" ht="15.75">
      <c r="C297" s="5" t="s">
        <v>295</v>
      </c>
      <c r="D297" s="94">
        <f>Master!T13</f>
        <v>11037</v>
      </c>
      <c r="E297" s="94">
        <f>Master!U13</f>
        <v>12116</v>
      </c>
      <c r="F297" s="4"/>
      <c r="G297" s="4">
        <f>Master!W13</f>
        <v>13319.993</v>
      </c>
      <c r="H297" s="4">
        <f>Master!X13</f>
        <v>14629.852999999999</v>
      </c>
      <c r="I297" s="4">
        <f>Master!Y13</f>
        <v>15936.034</v>
      </c>
    </row>
    <row r="298" spans="3:9" ht="15.75">
      <c r="C298" s="5" t="s">
        <v>45</v>
      </c>
      <c r="D298" s="98">
        <f>D297/D296</f>
        <v>0.49309744002144484</v>
      </c>
      <c r="E298" s="98">
        <f>E297/E296</f>
        <v>0.49184054558739954</v>
      </c>
      <c r="F298" s="3"/>
      <c r="G298" s="3">
        <f>G297/G296</f>
        <v>0.44592407770331571</v>
      </c>
      <c r="H298" s="3">
        <f>H297/H296</f>
        <v>0.44547732141386848</v>
      </c>
      <c r="I298" s="3">
        <f>I297/I296</f>
        <v>0.44979295625055921</v>
      </c>
    </row>
    <row r="299" spans="3:9" ht="15.75">
      <c r="C299" s="5" t="s">
        <v>147</v>
      </c>
      <c r="D299" s="94">
        <f>Master!T45</f>
        <v>8081</v>
      </c>
      <c r="E299" s="94">
        <f>Master!U45</f>
        <v>9466.5730000000003</v>
      </c>
      <c r="F299" s="4"/>
      <c r="G299" s="4">
        <f>Master!W45</f>
        <v>12949</v>
      </c>
      <c r="H299" s="4">
        <f>Master!X45</f>
        <v>10340</v>
      </c>
      <c r="I299" s="4">
        <f>Master!Y45</f>
        <v>9187.3919999999998</v>
      </c>
    </row>
    <row r="300" spans="3:9" ht="15.75">
      <c r="C300" s="5" t="s">
        <v>148</v>
      </c>
      <c r="D300" s="98">
        <f>D299/D296</f>
        <v>0.36103292677478444</v>
      </c>
      <c r="E300" s="98">
        <f>E299/E296</f>
        <v>0.38428890963708695</v>
      </c>
      <c r="F300" s="3"/>
      <c r="G300" s="3">
        <f>G299/G296</f>
        <v>0.43350404780094365</v>
      </c>
      <c r="H300" s="3">
        <f>H299/H296</f>
        <v>0.31485179676237351</v>
      </c>
      <c r="I300" s="3">
        <f>I299/I296</f>
        <v>0.25931321481321751</v>
      </c>
    </row>
    <row r="301" spans="3:9" ht="15.75">
      <c r="C301" s="5" t="s">
        <v>92</v>
      </c>
      <c r="D301" s="94">
        <f>D297-D299</f>
        <v>2956</v>
      </c>
      <c r="E301" s="94">
        <f>E297-E299</f>
        <v>2649.4269999999997</v>
      </c>
      <c r="F301" s="4"/>
      <c r="G301" s="4">
        <f>G297-G299</f>
        <v>370.99300000000039</v>
      </c>
      <c r="H301" s="4">
        <f>H297-H299</f>
        <v>4289.8529999999992</v>
      </c>
      <c r="I301" s="4">
        <f>I297-I299</f>
        <v>6748.6419999999998</v>
      </c>
    </row>
    <row r="302" spans="3:9" ht="15.75" hidden="1">
      <c r="C302" s="5" t="s">
        <v>31</v>
      </c>
      <c r="D302" s="94">
        <f>Valuation!M28</f>
        <v>226.29900000000055</v>
      </c>
      <c r="E302" s="94">
        <f>Valuation!N28</f>
        <v>-352.17199999999929</v>
      </c>
      <c r="F302" s="4"/>
      <c r="G302" s="4">
        <f>Valuation!P28</f>
        <v>-3394.9230000000007</v>
      </c>
      <c r="H302" s="4">
        <f>Valuation!Q28</f>
        <v>14.795999999999026</v>
      </c>
      <c r="I302" s="4">
        <f>Valuation!R28</f>
        <v>2632.5992499999998</v>
      </c>
    </row>
    <row r="303" spans="3:9" ht="15.75">
      <c r="C303" s="5" t="s">
        <v>31</v>
      </c>
      <c r="D303" s="94">
        <f>Valuation!M28</f>
        <v>226.29900000000055</v>
      </c>
      <c r="E303" s="94">
        <f>Valuation!N28</f>
        <v>-352.17199999999929</v>
      </c>
      <c r="F303" s="4"/>
      <c r="G303" s="4">
        <f>Valuation!P28</f>
        <v>-3394.9230000000007</v>
      </c>
      <c r="H303" s="4">
        <f>Valuation!Q28</f>
        <v>14.795999999999026</v>
      </c>
      <c r="I303" s="4">
        <f>Valuation!R28</f>
        <v>2632.5992499999998</v>
      </c>
    </row>
    <row r="305" spans="3:17" ht="15.75" outlineLevel="1">
      <c r="C305" s="922" t="s">
        <v>826</v>
      </c>
      <c r="D305" s="923">
        <v>2020</v>
      </c>
      <c r="E305" s="923">
        <f>D305+1</f>
        <v>2021</v>
      </c>
      <c r="F305" s="922"/>
      <c r="G305" s="922" t="e">
        <f>#REF!+1</f>
        <v>#REF!</v>
      </c>
      <c r="H305" s="922" t="e">
        <f>G305+1</f>
        <v>#REF!</v>
      </c>
      <c r="I305" s="922" t="e">
        <f>H305+1</f>
        <v>#REF!</v>
      </c>
    </row>
    <row r="306" spans="3:17" ht="15.75" outlineLevel="1">
      <c r="C306" s="5" t="s">
        <v>43</v>
      </c>
      <c r="D306" s="94">
        <v>22463.406504111979</v>
      </c>
      <c r="E306" s="94">
        <v>24040.844293397171</v>
      </c>
      <c r="F306" s="4"/>
      <c r="G306" s="4">
        <v>28183.423734084732</v>
      </c>
      <c r="H306" s="4">
        <v>30246.07387829346</v>
      </c>
      <c r="I306" s="4">
        <v>32330.460969282183</v>
      </c>
    </row>
    <row r="307" spans="3:17" ht="15.75" outlineLevel="1">
      <c r="C307" s="5" t="s">
        <v>295</v>
      </c>
      <c r="D307" s="94">
        <v>10457.967434882365</v>
      </c>
      <c r="E307" s="94">
        <v>11075.383432307532</v>
      </c>
      <c r="F307" s="4"/>
      <c r="G307" s="4">
        <v>12707.421629467792</v>
      </c>
      <c r="H307" s="4">
        <v>13589.956926309218</v>
      </c>
      <c r="I307" s="4">
        <v>14559.106297601007</v>
      </c>
    </row>
    <row r="308" spans="3:17" ht="15.75" outlineLevel="1">
      <c r="C308" s="5" t="s">
        <v>45</v>
      </c>
      <c r="D308" s="98">
        <v>0.46100667350778385</v>
      </c>
      <c r="E308" s="98">
        <v>0.45631948204213452</v>
      </c>
      <c r="F308" s="3"/>
      <c r="G308" s="3">
        <v>0.44904349501045027</v>
      </c>
      <c r="H308" s="3">
        <v>0.44759270536569812</v>
      </c>
      <c r="I308" s="3">
        <v>0.4486555139835966</v>
      </c>
      <c r="O308">
        <v>1000</v>
      </c>
      <c r="P308" t="s">
        <v>827</v>
      </c>
    </row>
    <row r="309" spans="3:17" ht="15.75" outlineLevel="1">
      <c r="C309" s="5" t="s">
        <v>147</v>
      </c>
      <c r="D309" s="94">
        <v>7490.9365690650448</v>
      </c>
      <c r="E309" s="94">
        <v>7916.4183151704528</v>
      </c>
      <c r="F309" s="4"/>
      <c r="G309" s="4">
        <v>6736.3095377944601</v>
      </c>
      <c r="H309" s="4">
        <v>6623.1816860687195</v>
      </c>
      <c r="I309" s="4">
        <v>6637.7783495877566</v>
      </c>
      <c r="O309">
        <v>700</v>
      </c>
      <c r="P309" t="s">
        <v>828</v>
      </c>
    </row>
    <row r="310" spans="3:17" ht="15.75" outlineLevel="1">
      <c r="C310" s="5" t="s">
        <v>148</v>
      </c>
      <c r="D310" s="98">
        <v>0.32852815406270269</v>
      </c>
      <c r="E310" s="98">
        <v>0.3245018447802529</v>
      </c>
      <c r="F310" s="3"/>
      <c r="G310" s="3">
        <v>0.23927315948755432</v>
      </c>
      <c r="H310" s="3">
        <v>0.21923917657156408</v>
      </c>
      <c r="I310" s="3">
        <v>0.20554682214859607</v>
      </c>
      <c r="O310" s="919">
        <f>5100-O308-O309</f>
        <v>3400</v>
      </c>
      <c r="P310" t="s">
        <v>829</v>
      </c>
    </row>
    <row r="311" spans="3:17" ht="15.75" outlineLevel="1">
      <c r="C311" s="5" t="s">
        <v>92</v>
      </c>
      <c r="D311" s="94">
        <v>3041.6184173356387</v>
      </c>
      <c r="E311" s="94">
        <v>3241.7831832758238</v>
      </c>
      <c r="F311" s="4"/>
      <c r="G311" s="4">
        <v>6053.3808828572828</v>
      </c>
      <c r="H311" s="4">
        <v>7075.3471768620702</v>
      </c>
      <c r="I311" s="4">
        <v>8056.4277495994884</v>
      </c>
      <c r="O311">
        <f>SUM(O308:O310)</f>
        <v>5100</v>
      </c>
      <c r="P311">
        <v>2019</v>
      </c>
    </row>
    <row r="312" spans="3:17" ht="15.75" outlineLevel="1">
      <c r="C312" s="5" t="s">
        <v>31</v>
      </c>
      <c r="D312" s="94">
        <v>1643.2970451183055</v>
      </c>
      <c r="E312" s="94">
        <v>1657.1001721664675</v>
      </c>
      <c r="F312" s="4"/>
      <c r="G312" s="4">
        <v>4255.9840616646179</v>
      </c>
      <c r="H312" s="4">
        <v>4932.6509920131357</v>
      </c>
      <c r="I312" s="4">
        <v>5508.32969578144</v>
      </c>
    </row>
    <row r="313" spans="3:17" ht="15.75" outlineLevel="1">
      <c r="C313" s="5"/>
      <c r="D313" s="96"/>
      <c r="E313" s="96"/>
      <c r="F313" s="5"/>
      <c r="G313" s="5"/>
      <c r="H313" s="5"/>
      <c r="I313" s="5"/>
      <c r="O313">
        <v>33</v>
      </c>
      <c r="P313" t="s">
        <v>830</v>
      </c>
    </row>
    <row r="314" spans="3:17" ht="15.75">
      <c r="C314" s="922" t="s">
        <v>225</v>
      </c>
      <c r="D314" s="923">
        <v>2020</v>
      </c>
      <c r="E314" s="923">
        <f>D314+1</f>
        <v>2021</v>
      </c>
      <c r="F314" s="922"/>
      <c r="G314" s="922" t="e">
        <f>#REF!+1</f>
        <v>#REF!</v>
      </c>
      <c r="H314" s="922" t="e">
        <f>G314+1</f>
        <v>#REF!</v>
      </c>
      <c r="I314" s="922" t="e">
        <f>H314+1</f>
        <v>#REF!</v>
      </c>
      <c r="Q314" t="s">
        <v>831</v>
      </c>
    </row>
    <row r="315" spans="3:17" ht="15.75">
      <c r="C315" s="5" t="s">
        <v>43</v>
      </c>
      <c r="D315" s="95">
        <f>D296/D306-1</f>
        <v>-3.5794439323911798E-3</v>
      </c>
      <c r="E315" s="95">
        <f>E296/E306-1</f>
        <v>2.4672831759313008E-2</v>
      </c>
      <c r="F315" s="7"/>
      <c r="G315" s="7">
        <f t="shared" ref="G315:I316" si="31">G296/G306-1</f>
        <v>5.9862005476463365E-2</v>
      </c>
      <c r="H315" s="7">
        <f t="shared" si="31"/>
        <v>8.5788791370000395E-2</v>
      </c>
      <c r="I315" s="7">
        <f t="shared" si="31"/>
        <v>9.5861578765068511E-2</v>
      </c>
      <c r="Q315" t="s">
        <v>832</v>
      </c>
    </row>
    <row r="316" spans="3:17" ht="15.75">
      <c r="C316" s="5" t="s">
        <v>295</v>
      </c>
      <c r="D316" s="95">
        <f>D297/D307-1</f>
        <v>5.5367600704729902E-2</v>
      </c>
      <c r="E316" s="95">
        <f>E297/E307-1</f>
        <v>9.3957610953398607E-2</v>
      </c>
      <c r="F316" s="7"/>
      <c r="G316" s="7">
        <f t="shared" si="31"/>
        <v>4.8205795667603413E-2</v>
      </c>
      <c r="H316" s="7">
        <f t="shared" si="31"/>
        <v>7.6519453249893177E-2</v>
      </c>
      <c r="I316" s="7">
        <f t="shared" si="31"/>
        <v>9.4575015406397345E-2</v>
      </c>
      <c r="Q316" t="s">
        <v>833</v>
      </c>
    </row>
    <row r="317" spans="3:17" ht="15.75">
      <c r="C317" s="5" t="s">
        <v>147</v>
      </c>
      <c r="D317" s="95">
        <f>D299/D309-1</f>
        <v>7.8770314698927146E-2</v>
      </c>
      <c r="E317" s="95">
        <f>E299/E309-1</f>
        <v>0.19581515568207686</v>
      </c>
      <c r="F317" s="7"/>
      <c r="G317" s="7">
        <f>G299/G309-1</f>
        <v>0.92226914861154685</v>
      </c>
      <c r="H317" s="7">
        <f>H299/H309-1</f>
        <v>0.56118320319511716</v>
      </c>
      <c r="I317" s="7">
        <f>I299/I309-1</f>
        <v>0.38410647601250325</v>
      </c>
      <c r="Q317" t="s">
        <v>834</v>
      </c>
    </row>
    <row r="318" spans="3:17" ht="15.75">
      <c r="C318" s="5" t="s">
        <v>92</v>
      </c>
      <c r="D318" s="95">
        <f>D301/D311-1</f>
        <v>-2.8148967289143956E-2</v>
      </c>
      <c r="E318" s="95">
        <f>E301/E311-1</f>
        <v>-0.18272541678041776</v>
      </c>
      <c r="F318" s="7"/>
      <c r="G318" s="7">
        <f t="shared" ref="G318:I319" si="32">G301/G311-1</f>
        <v>-0.93871309154680416</v>
      </c>
      <c r="H318" s="7">
        <f t="shared" si="32"/>
        <v>-0.39369010555004924</v>
      </c>
      <c r="I318" s="7">
        <f t="shared" si="32"/>
        <v>-0.16232824152919423</v>
      </c>
      <c r="Q318" t="s">
        <v>835</v>
      </c>
    </row>
    <row r="319" spans="3:17" ht="15.75">
      <c r="C319" s="5" t="s">
        <v>31</v>
      </c>
      <c r="D319" s="95">
        <f>D302/D312-1</f>
        <v>-0.86228965683820802</v>
      </c>
      <c r="E319" s="95">
        <f>E302/E312-1</f>
        <v>-1.2125230604131645</v>
      </c>
      <c r="F319" s="7"/>
      <c r="G319" s="7">
        <f t="shared" si="32"/>
        <v>-1.7976822635637797</v>
      </c>
      <c r="H319" s="7">
        <f t="shared" si="32"/>
        <v>-0.99700039592828349</v>
      </c>
      <c r="I319" s="7">
        <f t="shared" si="32"/>
        <v>-0.52206941207310475</v>
      </c>
      <c r="P319" t="s">
        <v>836</v>
      </c>
    </row>
    <row r="320" spans="3:17" ht="15.75">
      <c r="C320" s="60"/>
      <c r="Q320" t="s">
        <v>837</v>
      </c>
    </row>
    <row r="321" spans="3:24" ht="15.75">
      <c r="C321" s="61" t="s">
        <v>838</v>
      </c>
      <c r="D321" s="923">
        <v>2020</v>
      </c>
      <c r="E321" s="923">
        <f>D321+1</f>
        <v>2021</v>
      </c>
      <c r="F321" s="922"/>
      <c r="G321" s="922" t="e">
        <f>#REF!+1</f>
        <v>#REF!</v>
      </c>
      <c r="H321" s="922" t="e">
        <f>G321+1</f>
        <v>#REF!</v>
      </c>
      <c r="I321" s="922" t="e">
        <f>H321+1</f>
        <v>#REF!</v>
      </c>
      <c r="J321" s="922" t="e">
        <f>I321+1</f>
        <v>#REF!</v>
      </c>
      <c r="K321" s="922" t="e">
        <f>J321+1</f>
        <v>#REF!</v>
      </c>
      <c r="L321" s="932" t="s">
        <v>839</v>
      </c>
      <c r="Q321" t="s">
        <v>840</v>
      </c>
    </row>
    <row r="322" spans="3:24">
      <c r="P322" t="s">
        <v>841</v>
      </c>
      <c r="Q322" s="54" t="s">
        <v>842</v>
      </c>
      <c r="T322" t="s">
        <v>843</v>
      </c>
      <c r="U322" s="15">
        <v>0.11</v>
      </c>
      <c r="V322" t="s">
        <v>844</v>
      </c>
      <c r="W322" s="15">
        <v>0.25</v>
      </c>
    </row>
    <row r="323" spans="3:24" ht="15.75">
      <c r="C323" s="5" t="s">
        <v>845</v>
      </c>
      <c r="D323" s="94">
        <v>103419</v>
      </c>
      <c r="E323" s="94">
        <v>0</v>
      </c>
      <c r="F323" s="4"/>
      <c r="G323" s="4">
        <v>7990</v>
      </c>
      <c r="H323" s="4">
        <v>10000</v>
      </c>
      <c r="I323" s="4">
        <v>11843</v>
      </c>
      <c r="J323" s="4">
        <v>5921</v>
      </c>
      <c r="K323" s="4">
        <v>4500</v>
      </c>
      <c r="L323" s="4">
        <v>81075</v>
      </c>
      <c r="M323" s="4">
        <f>SUM(D323:L323)</f>
        <v>224748</v>
      </c>
      <c r="P323" t="s">
        <v>846</v>
      </c>
      <c r="Q323" s="54">
        <v>0.1</v>
      </c>
      <c r="U323" s="15">
        <v>0.04</v>
      </c>
    </row>
    <row r="324" spans="3:24" ht="15.75">
      <c r="C324" s="5" t="s">
        <v>847</v>
      </c>
      <c r="D324" s="94">
        <f>D323</f>
        <v>103419</v>
      </c>
      <c r="E324" s="94">
        <f>D324+E323</f>
        <v>103419</v>
      </c>
      <c r="F324" s="4"/>
      <c r="G324" s="4" t="e">
        <f>#REF!+G323</f>
        <v>#REF!</v>
      </c>
      <c r="H324" s="4" t="e">
        <f>G324+H323</f>
        <v>#REF!</v>
      </c>
      <c r="I324" s="4" t="e">
        <f>H324+I323</f>
        <v>#REF!</v>
      </c>
      <c r="J324" s="4" t="e">
        <f>I324+J323</f>
        <v>#REF!</v>
      </c>
      <c r="K324" s="4" t="e">
        <f>J324+K323</f>
        <v>#REF!</v>
      </c>
      <c r="L324" s="4" t="e">
        <f>K324+L323</f>
        <v>#REF!</v>
      </c>
      <c r="M324" s="4"/>
    </row>
    <row r="325" spans="3:24" ht="15.75">
      <c r="C325" s="5" t="s">
        <v>441</v>
      </c>
      <c r="D325" s="98" t="e">
        <f>D324/$L$2533</f>
        <v>#DIV/0!</v>
      </c>
      <c r="E325" s="98" t="e">
        <f>E324/$L$2533</f>
        <v>#DIV/0!</v>
      </c>
      <c r="F325" s="3"/>
      <c r="G325" s="3" t="e">
        <f t="shared" ref="G325:L325" si="33">G324/$L$2533</f>
        <v>#REF!</v>
      </c>
      <c r="H325" s="3" t="e">
        <f t="shared" si="33"/>
        <v>#REF!</v>
      </c>
      <c r="I325" s="3" t="e">
        <f t="shared" si="33"/>
        <v>#REF!</v>
      </c>
      <c r="J325" s="3" t="e">
        <f t="shared" si="33"/>
        <v>#REF!</v>
      </c>
      <c r="K325" s="3" t="e">
        <f t="shared" si="33"/>
        <v>#REF!</v>
      </c>
      <c r="L325" s="3" t="e">
        <f t="shared" si="33"/>
        <v>#REF!</v>
      </c>
      <c r="M325" s="4"/>
      <c r="P325" t="s">
        <v>848</v>
      </c>
      <c r="Q325" s="919"/>
      <c r="R325" s="921" t="s">
        <v>403</v>
      </c>
      <c r="S325" s="921" t="s">
        <v>404</v>
      </c>
    </row>
    <row r="326" spans="3:24" ht="15.75">
      <c r="C326" s="5"/>
      <c r="E326" s="94"/>
      <c r="F326" s="4"/>
      <c r="G326" s="4"/>
      <c r="H326" s="4"/>
      <c r="I326" s="4"/>
      <c r="J326" s="4"/>
      <c r="K326" s="4"/>
      <c r="L326" s="4"/>
      <c r="M326" s="4"/>
      <c r="Q326" t="s">
        <v>849</v>
      </c>
      <c r="R326" s="65" t="s">
        <v>850</v>
      </c>
      <c r="S326" s="65" t="s">
        <v>851</v>
      </c>
      <c r="T326">
        <v>1.5</v>
      </c>
    </row>
    <row r="327" spans="3:24" ht="15.75">
      <c r="C327" s="5" t="s">
        <v>852</v>
      </c>
      <c r="D327" s="108">
        <v>57373</v>
      </c>
      <c r="Q327" t="s">
        <v>853</v>
      </c>
      <c r="R327" s="15"/>
      <c r="S327" s="66" t="s">
        <v>854</v>
      </c>
    </row>
    <row r="329" spans="3:24" ht="15.75">
      <c r="C329" s="60" t="s">
        <v>855</v>
      </c>
    </row>
    <row r="331" spans="3:24">
      <c r="C331" s="921"/>
      <c r="D331" s="920" t="s">
        <v>856</v>
      </c>
      <c r="E331" s="920" t="s">
        <v>857</v>
      </c>
      <c r="F331" s="921"/>
      <c r="G331" s="921" t="s">
        <v>677</v>
      </c>
      <c r="H331" s="921" t="s">
        <v>858</v>
      </c>
      <c r="I331" s="921" t="s">
        <v>39</v>
      </c>
      <c r="K331" s="921" t="str">
        <f>D331</f>
        <v>Total Play</v>
      </c>
      <c r="L331" s="921" t="str">
        <f>E331</f>
        <v>Izzy</v>
      </c>
      <c r="M331" s="921" t="e">
        <f>#REF!</f>
        <v>#REF!</v>
      </c>
      <c r="N331" s="921" t="str">
        <f>G331</f>
        <v>Telmex</v>
      </c>
      <c r="O331" s="921" t="str">
        <f>H331</f>
        <v xml:space="preserve">Other </v>
      </c>
      <c r="P331" s="921" t="str">
        <f>I331</f>
        <v>Total</v>
      </c>
      <c r="S331" s="921" t="s">
        <v>856</v>
      </c>
      <c r="T331" s="921" t="s">
        <v>857</v>
      </c>
      <c r="U331" s="921" t="s">
        <v>724</v>
      </c>
      <c r="V331" s="921" t="s">
        <v>677</v>
      </c>
      <c r="W331" s="921" t="s">
        <v>858</v>
      </c>
      <c r="X331" s="921" t="s">
        <v>39</v>
      </c>
    </row>
    <row r="332" spans="3:24">
      <c r="C332" t="s">
        <v>859</v>
      </c>
      <c r="D332" s="90">
        <v>29260</v>
      </c>
      <c r="E332" s="90">
        <v>66498</v>
      </c>
      <c r="G332">
        <v>116007</v>
      </c>
      <c r="I332">
        <f>SUM(D332:H332)</f>
        <v>211765</v>
      </c>
      <c r="K332" s="15">
        <f t="shared" ref="K332:K363" si="34">D332/$I332</f>
        <v>0.13817203031662456</v>
      </c>
      <c r="L332" s="15">
        <f t="shared" ref="L332:L363" si="35">E332/$I332</f>
        <v>0.314017897197365</v>
      </c>
      <c r="M332" s="15" t="e">
        <f>#REF!/$I332</f>
        <v>#REF!</v>
      </c>
      <c r="N332" s="15">
        <f t="shared" ref="N332:N363" si="36">G332/$I332</f>
        <v>0.54781007248601044</v>
      </c>
      <c r="O332" s="15">
        <f t="shared" ref="O332:O363" si="37">H332/$I332</f>
        <v>0</v>
      </c>
      <c r="P332" s="15">
        <f t="shared" ref="P332:P363" si="38">I332/$I332</f>
        <v>1</v>
      </c>
      <c r="R332" t="s">
        <v>860</v>
      </c>
      <c r="S332" s="15">
        <v>3.5230352303523035E-3</v>
      </c>
      <c r="T332" s="15">
        <v>0</v>
      </c>
      <c r="U332" s="15">
        <v>0.59097366137060059</v>
      </c>
      <c r="V332" s="15">
        <v>0.40550330339904705</v>
      </c>
      <c r="W332" s="15">
        <v>0</v>
      </c>
      <c r="X332" s="15">
        <v>1</v>
      </c>
    </row>
    <row r="333" spans="3:24">
      <c r="C333" t="s">
        <v>861</v>
      </c>
      <c r="D333" s="90">
        <v>67697</v>
      </c>
      <c r="E333" s="90">
        <v>382618</v>
      </c>
      <c r="G333">
        <v>415126</v>
      </c>
      <c r="I333">
        <v>868927</v>
      </c>
      <c r="K333" s="15">
        <f t="shared" si="34"/>
        <v>7.7908731113200527E-2</v>
      </c>
      <c r="L333" s="15">
        <f t="shared" si="35"/>
        <v>0.4403338830534671</v>
      </c>
      <c r="M333" s="15" t="e">
        <f>#REF!/$I333</f>
        <v>#REF!</v>
      </c>
      <c r="N333" s="15">
        <f t="shared" si="36"/>
        <v>0.47774554134006653</v>
      </c>
      <c r="O333" s="15">
        <f t="shared" si="37"/>
        <v>0</v>
      </c>
      <c r="P333" s="15">
        <f t="shared" si="38"/>
        <v>1</v>
      </c>
      <c r="R333" t="s">
        <v>862</v>
      </c>
      <c r="S333" s="15">
        <v>7.724364764438021E-4</v>
      </c>
      <c r="T333" s="15">
        <v>0</v>
      </c>
      <c r="U333" s="15">
        <v>0.59072287180253868</v>
      </c>
      <c r="V333" s="15">
        <v>0.40850469172101755</v>
      </c>
      <c r="W333" s="15">
        <v>0</v>
      </c>
      <c r="X333" s="15">
        <v>1</v>
      </c>
    </row>
    <row r="334" spans="3:24">
      <c r="C334" t="s">
        <v>863</v>
      </c>
      <c r="D334" s="90">
        <v>14</v>
      </c>
      <c r="G334">
        <v>120830</v>
      </c>
      <c r="I334">
        <f t="shared" ref="I334:I363" si="39">SUM(D334:H334)</f>
        <v>120844</v>
      </c>
      <c r="K334" s="15">
        <f t="shared" si="34"/>
        <v>1.158518420442885E-4</v>
      </c>
      <c r="L334" s="15">
        <f t="shared" si="35"/>
        <v>0</v>
      </c>
      <c r="M334" s="15" t="e">
        <f>#REF!/$I334</f>
        <v>#REF!</v>
      </c>
      <c r="N334" s="15">
        <f t="shared" si="36"/>
        <v>0.99988414815795568</v>
      </c>
      <c r="O334" s="15">
        <f t="shared" si="37"/>
        <v>0</v>
      </c>
      <c r="P334" s="15">
        <f t="shared" si="38"/>
        <v>1</v>
      </c>
      <c r="R334" t="s">
        <v>864</v>
      </c>
      <c r="S334" s="15">
        <v>4.7637433997081583E-4</v>
      </c>
      <c r="T334" s="15">
        <v>0</v>
      </c>
      <c r="U334" s="15">
        <v>0.49932053975719953</v>
      </c>
      <c r="V334" s="15">
        <v>0.50020308590282969</v>
      </c>
      <c r="W334" s="15">
        <v>0</v>
      </c>
      <c r="X334" s="15">
        <v>1</v>
      </c>
    </row>
    <row r="335" spans="3:24">
      <c r="C335" t="s">
        <v>865</v>
      </c>
      <c r="D335" s="90">
        <v>65</v>
      </c>
      <c r="E335" s="90">
        <v>44691</v>
      </c>
      <c r="G335">
        <v>52942</v>
      </c>
      <c r="I335">
        <f t="shared" si="39"/>
        <v>97698</v>
      </c>
      <c r="K335" s="15">
        <f t="shared" si="34"/>
        <v>6.6531556428995481E-4</v>
      </c>
      <c r="L335" s="15">
        <f t="shared" si="35"/>
        <v>0.45744027513357488</v>
      </c>
      <c r="M335" s="15" t="e">
        <f>#REF!/$I335</f>
        <v>#REF!</v>
      </c>
      <c r="N335" s="15">
        <f t="shared" si="36"/>
        <v>0.54189440930213517</v>
      </c>
      <c r="O335" s="15">
        <f t="shared" si="37"/>
        <v>0</v>
      </c>
      <c r="P335" s="15">
        <f t="shared" si="38"/>
        <v>1</v>
      </c>
      <c r="R335" t="s">
        <v>866</v>
      </c>
      <c r="S335" s="15">
        <v>2.5328328497875495E-2</v>
      </c>
      <c r="T335" s="15">
        <v>4.6205486013597566E-3</v>
      </c>
      <c r="U335" s="15">
        <v>0.49860764311953509</v>
      </c>
      <c r="V335" s="15">
        <v>0.47144347978122969</v>
      </c>
      <c r="W335" s="15">
        <v>0</v>
      </c>
      <c r="X335" s="15">
        <v>1</v>
      </c>
    </row>
    <row r="336" spans="3:24">
      <c r="C336" t="s">
        <v>867</v>
      </c>
      <c r="D336" s="90">
        <v>2352</v>
      </c>
      <c r="E336" s="90">
        <v>11425</v>
      </c>
      <c r="G336">
        <v>158888</v>
      </c>
      <c r="I336">
        <f t="shared" si="39"/>
        <v>172665</v>
      </c>
      <c r="K336" s="15">
        <f t="shared" si="34"/>
        <v>1.3621753105724959E-2</v>
      </c>
      <c r="L336" s="15">
        <f t="shared" si="35"/>
        <v>6.6168592360930131E-2</v>
      </c>
      <c r="M336" s="15" t="e">
        <f>#REF!/$I336</f>
        <v>#REF!</v>
      </c>
      <c r="N336" s="15">
        <f t="shared" si="36"/>
        <v>0.92020965453334491</v>
      </c>
      <c r="O336" s="15">
        <f t="shared" si="37"/>
        <v>0</v>
      </c>
      <c r="P336" s="15">
        <f t="shared" si="38"/>
        <v>1</v>
      </c>
      <c r="R336" t="s">
        <v>868</v>
      </c>
      <c r="S336" s="15">
        <v>0</v>
      </c>
      <c r="T336" s="15">
        <v>7.5372746478397909E-2</v>
      </c>
      <c r="U336" s="15">
        <v>0.39168989652868241</v>
      </c>
      <c r="V336" s="15">
        <v>0.53293735699291966</v>
      </c>
      <c r="W336" s="15">
        <v>0</v>
      </c>
      <c r="X336" s="15">
        <v>1</v>
      </c>
    </row>
    <row r="337" spans="3:24">
      <c r="C337" t="s">
        <v>869</v>
      </c>
      <c r="D337" s="90">
        <v>85623</v>
      </c>
      <c r="E337" s="90">
        <v>246358</v>
      </c>
      <c r="G337">
        <v>306656</v>
      </c>
      <c r="I337">
        <f t="shared" si="39"/>
        <v>638637</v>
      </c>
      <c r="K337" s="15">
        <f t="shared" si="34"/>
        <v>0.13407146782914237</v>
      </c>
      <c r="L337" s="15">
        <f t="shared" si="35"/>
        <v>0.38575591454926667</v>
      </c>
      <c r="M337" s="15" t="e">
        <f>#REF!/$I337</f>
        <v>#REF!</v>
      </c>
      <c r="N337" s="15">
        <f t="shared" si="36"/>
        <v>0.48017261762159097</v>
      </c>
      <c r="O337" s="15">
        <f t="shared" si="37"/>
        <v>0</v>
      </c>
      <c r="P337" s="15">
        <f t="shared" si="38"/>
        <v>1</v>
      </c>
      <c r="R337" t="s">
        <v>870</v>
      </c>
      <c r="S337" s="15">
        <v>3.133751523008993E-2</v>
      </c>
      <c r="T337" s="15">
        <v>0.22938313255982626</v>
      </c>
      <c r="U337" s="15">
        <v>0.39115802104372088</v>
      </c>
      <c r="V337" s="15">
        <v>0.3481213311663629</v>
      </c>
      <c r="W337" s="15">
        <v>0</v>
      </c>
      <c r="X337" s="15">
        <v>1</v>
      </c>
    </row>
    <row r="338" spans="3:24">
      <c r="C338" t="s">
        <v>871</v>
      </c>
      <c r="D338" s="90">
        <v>330408</v>
      </c>
      <c r="E338" s="90">
        <v>1040795</v>
      </c>
      <c r="G338">
        <v>1272293</v>
      </c>
      <c r="I338">
        <f t="shared" si="39"/>
        <v>2643496</v>
      </c>
      <c r="K338" s="15">
        <f t="shared" si="34"/>
        <v>0.12498902967887979</v>
      </c>
      <c r="L338" s="15">
        <f t="shared" si="35"/>
        <v>0.39371915070043612</v>
      </c>
      <c r="M338" s="15" t="e">
        <f>#REF!/$I338</f>
        <v>#REF!</v>
      </c>
      <c r="N338" s="15">
        <f t="shared" si="36"/>
        <v>0.48129181962068412</v>
      </c>
      <c r="O338" s="15">
        <f t="shared" si="37"/>
        <v>0</v>
      </c>
      <c r="P338" s="15">
        <f t="shared" si="38"/>
        <v>1</v>
      </c>
      <c r="R338" t="s">
        <v>872</v>
      </c>
      <c r="S338" s="15">
        <v>1.2119925828288018E-3</v>
      </c>
      <c r="T338" s="15">
        <v>4.0442572775407165E-2</v>
      </c>
      <c r="U338" s="15">
        <v>0.38163244788990414</v>
      </c>
      <c r="V338" s="15">
        <v>0.57671298675185989</v>
      </c>
      <c r="W338" s="15">
        <v>0</v>
      </c>
      <c r="X338" s="15">
        <v>1</v>
      </c>
    </row>
    <row r="339" spans="3:24">
      <c r="C339" t="s">
        <v>873</v>
      </c>
      <c r="D339" s="90">
        <v>3324</v>
      </c>
      <c r="E339" s="90">
        <v>120269</v>
      </c>
      <c r="G339">
        <v>299065</v>
      </c>
      <c r="I339">
        <f t="shared" si="39"/>
        <v>422658</v>
      </c>
      <c r="K339" s="15">
        <f t="shared" si="34"/>
        <v>7.8645145720653582E-3</v>
      </c>
      <c r="L339" s="15">
        <f t="shared" si="35"/>
        <v>0.28455394195780037</v>
      </c>
      <c r="M339" s="15" t="e">
        <f>#REF!/$I339</f>
        <v>#REF!</v>
      </c>
      <c r="N339" s="15">
        <f t="shared" si="36"/>
        <v>0.70758154347013424</v>
      </c>
      <c r="O339" s="15">
        <f t="shared" si="37"/>
        <v>0</v>
      </c>
      <c r="P339" s="15">
        <f t="shared" si="38"/>
        <v>1</v>
      </c>
      <c r="R339" t="s">
        <v>867</v>
      </c>
      <c r="S339" s="15">
        <v>8.7585369668352342E-3</v>
      </c>
      <c r="T339" s="15">
        <v>4.2545189135243432E-2</v>
      </c>
      <c r="U339" s="15">
        <v>0.35701837356351801</v>
      </c>
      <c r="V339" s="15">
        <v>0.59167790033440337</v>
      </c>
      <c r="W339" s="15">
        <v>0</v>
      </c>
      <c r="X339" s="15">
        <v>1</v>
      </c>
    </row>
    <row r="340" spans="3:24">
      <c r="C340" t="s">
        <v>874</v>
      </c>
      <c r="D340" s="90">
        <v>20</v>
      </c>
      <c r="E340" s="90">
        <v>13037</v>
      </c>
      <c r="G340">
        <v>79866</v>
      </c>
      <c r="I340">
        <f t="shared" si="39"/>
        <v>92923</v>
      </c>
      <c r="K340" s="15">
        <f t="shared" si="34"/>
        <v>2.152319662516277E-4</v>
      </c>
      <c r="L340" s="15">
        <f t="shared" si="35"/>
        <v>0.14029895720112351</v>
      </c>
      <c r="M340" s="15" t="e">
        <f>#REF!/$I340</f>
        <v>#REF!</v>
      </c>
      <c r="N340" s="15">
        <f t="shared" si="36"/>
        <v>0.85948581083262487</v>
      </c>
      <c r="O340" s="15">
        <f t="shared" si="37"/>
        <v>0</v>
      </c>
      <c r="P340" s="15">
        <f t="shared" si="38"/>
        <v>1</v>
      </c>
      <c r="R340" t="s">
        <v>874</v>
      </c>
      <c r="S340" s="15">
        <v>1.3981809665625022E-4</v>
      </c>
      <c r="T340" s="15">
        <v>9.1140426305376707E-2</v>
      </c>
      <c r="U340" s="15">
        <v>0.35038415022056307</v>
      </c>
      <c r="V340" s="15">
        <v>0.55833560537740401</v>
      </c>
      <c r="W340" s="15">
        <v>0</v>
      </c>
      <c r="X340" s="15">
        <v>1</v>
      </c>
    </row>
    <row r="341" spans="3:24">
      <c r="C341" t="s">
        <v>864</v>
      </c>
      <c r="D341" s="90">
        <v>95</v>
      </c>
      <c r="G341">
        <v>99752</v>
      </c>
      <c r="I341">
        <f t="shared" si="39"/>
        <v>99847</v>
      </c>
      <c r="K341" s="15">
        <f t="shared" si="34"/>
        <v>9.51455727262712E-4</v>
      </c>
      <c r="L341" s="15">
        <f t="shared" si="35"/>
        <v>0</v>
      </c>
      <c r="M341" s="15" t="e">
        <f>#REF!/$I341</f>
        <v>#REF!</v>
      </c>
      <c r="N341" s="15">
        <f t="shared" si="36"/>
        <v>0.99904854427273726</v>
      </c>
      <c r="O341" s="15">
        <f t="shared" si="37"/>
        <v>0</v>
      </c>
      <c r="P341" s="15">
        <f t="shared" si="38"/>
        <v>1</v>
      </c>
      <c r="R341" t="s">
        <v>875</v>
      </c>
      <c r="S341" s="15">
        <v>9.9433426619131696E-2</v>
      </c>
      <c r="T341" s="15">
        <v>5.5971479021453942E-3</v>
      </c>
      <c r="U341" s="15">
        <v>0.34967784796252788</v>
      </c>
      <c r="V341" s="15">
        <v>0.54529157751619506</v>
      </c>
      <c r="W341" s="15">
        <v>0</v>
      </c>
      <c r="X341" s="15">
        <v>1</v>
      </c>
    </row>
    <row r="342" spans="3:24">
      <c r="C342" t="s">
        <v>868</v>
      </c>
      <c r="E342" s="90">
        <v>55835</v>
      </c>
      <c r="G342">
        <v>394792</v>
      </c>
      <c r="I342">
        <f t="shared" si="39"/>
        <v>450627</v>
      </c>
      <c r="K342" s="15">
        <f t="shared" si="34"/>
        <v>0</v>
      </c>
      <c r="L342" s="15">
        <f t="shared" si="35"/>
        <v>0.12390513662075286</v>
      </c>
      <c r="M342" s="15" t="e">
        <f>#REF!/$I342</f>
        <v>#REF!</v>
      </c>
      <c r="N342" s="15">
        <f t="shared" si="36"/>
        <v>0.87609486337924714</v>
      </c>
      <c r="O342" s="15">
        <f t="shared" si="37"/>
        <v>0</v>
      </c>
      <c r="P342" s="15">
        <f t="shared" si="38"/>
        <v>1</v>
      </c>
      <c r="R342" t="s">
        <v>876</v>
      </c>
      <c r="S342" s="15">
        <v>8.0362895597601527E-2</v>
      </c>
      <c r="T342" s="15">
        <v>7.0363800369037083E-2</v>
      </c>
      <c r="U342" s="15">
        <v>0.33624596622734987</v>
      </c>
      <c r="V342" s="15">
        <v>0.51302733780601151</v>
      </c>
      <c r="W342" s="15">
        <v>0</v>
      </c>
      <c r="X342" s="15">
        <v>1</v>
      </c>
    </row>
    <row r="343" spans="3:24">
      <c r="C343" t="s">
        <v>877</v>
      </c>
      <c r="D343" s="90">
        <v>53</v>
      </c>
      <c r="E343" s="90">
        <v>85046</v>
      </c>
      <c r="G343">
        <v>214382</v>
      </c>
      <c r="I343">
        <f t="shared" si="39"/>
        <v>299481</v>
      </c>
      <c r="K343" s="15">
        <f t="shared" si="34"/>
        <v>1.769728296619819E-4</v>
      </c>
      <c r="L343" s="15">
        <f t="shared" si="35"/>
        <v>0.28397794851760211</v>
      </c>
      <c r="M343" s="15" t="e">
        <f>#REF!/$I343</f>
        <v>#REF!</v>
      </c>
      <c r="N343" s="15">
        <f t="shared" si="36"/>
        <v>0.71584507865273594</v>
      </c>
      <c r="O343" s="15">
        <f t="shared" si="37"/>
        <v>0</v>
      </c>
      <c r="P343" s="15">
        <f t="shared" si="38"/>
        <v>1</v>
      </c>
      <c r="R343" t="s">
        <v>878</v>
      </c>
      <c r="S343" s="15">
        <v>1.5062945732841277E-4</v>
      </c>
      <c r="T343" s="15">
        <v>0.13922796609678523</v>
      </c>
      <c r="U343" s="15">
        <v>0.30490298883603983</v>
      </c>
      <c r="V343" s="15">
        <v>0.55571841560984658</v>
      </c>
      <c r="W343" s="15">
        <v>0</v>
      </c>
      <c r="X343" s="15">
        <v>1</v>
      </c>
    </row>
    <row r="344" spans="3:24">
      <c r="C344" t="s">
        <v>879</v>
      </c>
      <c r="D344" s="90">
        <v>33519</v>
      </c>
      <c r="E344" s="90">
        <v>64517</v>
      </c>
      <c r="G344">
        <v>166238</v>
      </c>
      <c r="I344">
        <f t="shared" si="39"/>
        <v>264274</v>
      </c>
      <c r="K344" s="15">
        <f t="shared" si="34"/>
        <v>0.12683427049198936</v>
      </c>
      <c r="L344" s="15">
        <f t="shared" si="35"/>
        <v>0.24412919924018253</v>
      </c>
      <c r="M344" s="15" t="e">
        <f>#REF!/$I344</f>
        <v>#REF!</v>
      </c>
      <c r="N344" s="15">
        <f t="shared" si="36"/>
        <v>0.62903653026782813</v>
      </c>
      <c r="O344" s="15">
        <f t="shared" si="37"/>
        <v>0</v>
      </c>
      <c r="P344" s="15">
        <f t="shared" si="38"/>
        <v>1</v>
      </c>
      <c r="R344" t="s">
        <v>863</v>
      </c>
      <c r="S344" s="15">
        <v>8.4819183675942256E-5</v>
      </c>
      <c r="T344" s="15">
        <v>0</v>
      </c>
      <c r="U344" s="15">
        <v>0.26786504056174532</v>
      </c>
      <c r="V344" s="15">
        <v>0.73205014025457871</v>
      </c>
      <c r="W344" s="15">
        <v>0</v>
      </c>
      <c r="X344" s="15">
        <v>1</v>
      </c>
    </row>
    <row r="345" spans="3:24">
      <c r="C345" t="s">
        <v>880</v>
      </c>
      <c r="D345" s="90">
        <v>204455</v>
      </c>
      <c r="E345" s="90">
        <v>187878</v>
      </c>
      <c r="G345">
        <v>768102</v>
      </c>
      <c r="I345">
        <f t="shared" si="39"/>
        <v>1160435</v>
      </c>
      <c r="K345" s="15">
        <f t="shared" si="34"/>
        <v>0.17618823975491948</v>
      </c>
      <c r="L345" s="15">
        <f t="shared" si="35"/>
        <v>0.16190307944865504</v>
      </c>
      <c r="M345" s="15" t="e">
        <f>#REF!/$I345</f>
        <v>#REF!</v>
      </c>
      <c r="N345" s="15">
        <f t="shared" si="36"/>
        <v>0.66190868079642551</v>
      </c>
      <c r="O345" s="15">
        <f t="shared" si="37"/>
        <v>0</v>
      </c>
      <c r="P345" s="15">
        <f t="shared" si="38"/>
        <v>1</v>
      </c>
      <c r="R345" t="s">
        <v>881</v>
      </c>
      <c r="S345" s="15">
        <v>6.5886120965192654E-2</v>
      </c>
      <c r="T345" s="15">
        <v>0.14750755154367601</v>
      </c>
      <c r="U345" s="15">
        <v>0.24404547609848617</v>
      </c>
      <c r="V345" s="15">
        <v>0.54256085139264509</v>
      </c>
      <c r="W345" s="15">
        <v>0</v>
      </c>
      <c r="X345" s="15">
        <v>1</v>
      </c>
    </row>
    <row r="346" spans="3:24">
      <c r="C346" t="s">
        <v>882</v>
      </c>
      <c r="D346" s="90">
        <v>353497</v>
      </c>
      <c r="E346" s="90">
        <v>616028</v>
      </c>
      <c r="G346">
        <v>1381837</v>
      </c>
      <c r="I346">
        <f t="shared" si="39"/>
        <v>2351362</v>
      </c>
      <c r="K346" s="15">
        <f t="shared" si="34"/>
        <v>0.15033712376061192</v>
      </c>
      <c r="L346" s="15">
        <f t="shared" si="35"/>
        <v>0.26198773306704792</v>
      </c>
      <c r="M346" s="15" t="e">
        <f>#REF!/$I346</f>
        <v>#REF!</v>
      </c>
      <c r="N346" s="15">
        <f t="shared" si="36"/>
        <v>0.58767514317234015</v>
      </c>
      <c r="O346" s="15">
        <f t="shared" si="37"/>
        <v>0</v>
      </c>
      <c r="P346" s="15">
        <f t="shared" si="38"/>
        <v>1</v>
      </c>
      <c r="R346" t="s">
        <v>880</v>
      </c>
      <c r="S346" s="15">
        <v>0.13377568633198592</v>
      </c>
      <c r="T346" s="15">
        <v>0.12292929200401481</v>
      </c>
      <c r="U346" s="15">
        <v>0.24072295337038438</v>
      </c>
      <c r="V346" s="15">
        <v>0.50257206829361489</v>
      </c>
      <c r="W346" s="15">
        <v>0</v>
      </c>
      <c r="X346" s="15">
        <v>1</v>
      </c>
    </row>
    <row r="347" spans="3:24">
      <c r="C347" t="s">
        <v>866</v>
      </c>
      <c r="D347" s="90">
        <v>13907</v>
      </c>
      <c r="E347" s="90">
        <v>2537</v>
      </c>
      <c r="G347">
        <v>258855</v>
      </c>
      <c r="I347">
        <f t="shared" si="39"/>
        <v>275299</v>
      </c>
      <c r="K347" s="15">
        <f t="shared" si="34"/>
        <v>5.0515984438737518E-2</v>
      </c>
      <c r="L347" s="15">
        <f t="shared" si="35"/>
        <v>9.2154348544673248E-3</v>
      </c>
      <c r="M347" s="15" t="e">
        <f>#REF!/$I347</f>
        <v>#REF!</v>
      </c>
      <c r="N347" s="15">
        <f t="shared" si="36"/>
        <v>0.9402685807067952</v>
      </c>
      <c r="O347" s="15">
        <f t="shared" si="37"/>
        <v>0</v>
      </c>
      <c r="P347" s="15">
        <f t="shared" si="38"/>
        <v>1</v>
      </c>
      <c r="R347" t="s">
        <v>873</v>
      </c>
      <c r="S347" s="15">
        <v>6.4153288531538172E-3</v>
      </c>
      <c r="T347" s="15">
        <v>0.23211949032489665</v>
      </c>
      <c r="U347" s="15">
        <v>0.18426893429112931</v>
      </c>
      <c r="V347" s="15">
        <v>0.57719624653082025</v>
      </c>
      <c r="W347" s="15">
        <v>0</v>
      </c>
      <c r="X347" s="15">
        <v>1</v>
      </c>
    </row>
    <row r="348" spans="3:24">
      <c r="C348" t="s">
        <v>876</v>
      </c>
      <c r="D348" s="90">
        <v>29311</v>
      </c>
      <c r="E348" s="90">
        <v>25664</v>
      </c>
      <c r="G348">
        <v>187118</v>
      </c>
      <c r="I348">
        <f t="shared" si="39"/>
        <v>242093</v>
      </c>
      <c r="K348" s="15">
        <f t="shared" si="34"/>
        <v>0.12107330653922253</v>
      </c>
      <c r="L348" s="15">
        <f t="shared" si="35"/>
        <v>0.10600884783946665</v>
      </c>
      <c r="M348" s="15" t="e">
        <f>#REF!/$I348</f>
        <v>#REF!</v>
      </c>
      <c r="N348" s="15">
        <f t="shared" si="36"/>
        <v>0.77291784562131083</v>
      </c>
      <c r="O348" s="15">
        <f t="shared" si="37"/>
        <v>0</v>
      </c>
      <c r="P348" s="15">
        <f t="shared" si="38"/>
        <v>1</v>
      </c>
      <c r="R348" t="s">
        <v>883</v>
      </c>
      <c r="S348" s="15">
        <v>3.419985353540986E-4</v>
      </c>
      <c r="T348" s="15">
        <v>0.23875958618177223</v>
      </c>
      <c r="U348" s="15">
        <v>0.15413725293393851</v>
      </c>
      <c r="V348" s="15">
        <v>0.60676116234893518</v>
      </c>
      <c r="W348" s="15">
        <v>0</v>
      </c>
      <c r="X348" s="15">
        <v>1</v>
      </c>
    </row>
    <row r="349" spans="3:24">
      <c r="C349" t="s">
        <v>872</v>
      </c>
      <c r="D349" s="90">
        <v>217</v>
      </c>
      <c r="E349" s="90">
        <v>7241</v>
      </c>
      <c r="G349">
        <v>103257</v>
      </c>
      <c r="I349">
        <f t="shared" si="39"/>
        <v>110715</v>
      </c>
      <c r="K349" s="15">
        <f t="shared" si="34"/>
        <v>1.9599873549202909E-3</v>
      </c>
      <c r="L349" s="15">
        <f t="shared" si="35"/>
        <v>6.5402158695750348E-2</v>
      </c>
      <c r="M349" s="15" t="e">
        <f>#REF!/$I349</f>
        <v>#REF!</v>
      </c>
      <c r="N349" s="15">
        <f t="shared" si="36"/>
        <v>0.93263785394932941</v>
      </c>
      <c r="O349" s="15">
        <f t="shared" si="37"/>
        <v>0</v>
      </c>
      <c r="P349" s="15">
        <f t="shared" si="38"/>
        <v>1</v>
      </c>
      <c r="R349" t="s">
        <v>882</v>
      </c>
      <c r="S349" s="15">
        <v>0.13540138520431419</v>
      </c>
      <c r="T349" s="15">
        <v>0.23595969562582783</v>
      </c>
      <c r="U349" s="15">
        <v>9.9348305878729892E-2</v>
      </c>
      <c r="V349" s="15">
        <v>0.52929061329112814</v>
      </c>
      <c r="W349" s="15">
        <v>0</v>
      </c>
      <c r="X349" s="15">
        <v>1</v>
      </c>
    </row>
    <row r="350" spans="3:24">
      <c r="C350" t="s">
        <v>884</v>
      </c>
      <c r="D350" s="90">
        <v>97936</v>
      </c>
      <c r="E350" s="90">
        <v>649428</v>
      </c>
      <c r="G350">
        <v>493173</v>
      </c>
      <c r="I350">
        <f t="shared" si="39"/>
        <v>1240537</v>
      </c>
      <c r="K350" s="15">
        <f t="shared" si="34"/>
        <v>7.8946456252413269E-2</v>
      </c>
      <c r="L350" s="15">
        <f t="shared" si="35"/>
        <v>0.52350554638837854</v>
      </c>
      <c r="M350" s="15" t="e">
        <f>#REF!/$I350</f>
        <v>#REF!</v>
      </c>
      <c r="N350" s="15">
        <f t="shared" si="36"/>
        <v>0.39754799735920815</v>
      </c>
      <c r="O350" s="15">
        <f t="shared" si="37"/>
        <v>0</v>
      </c>
      <c r="P350" s="15">
        <f t="shared" si="38"/>
        <v>1</v>
      </c>
      <c r="R350" t="s">
        <v>877</v>
      </c>
      <c r="S350" s="15">
        <v>1.6731276754258583E-4</v>
      </c>
      <c r="T350" s="15">
        <v>0.26847701185710859</v>
      </c>
      <c r="U350" s="15">
        <v>5.4585001199600976E-2</v>
      </c>
      <c r="V350" s="15">
        <v>0.67677067417574788</v>
      </c>
      <c r="W350" s="15">
        <v>0</v>
      </c>
      <c r="X350" s="15">
        <v>1</v>
      </c>
    </row>
    <row r="351" spans="3:24">
      <c r="C351" t="s">
        <v>883</v>
      </c>
      <c r="D351" s="90">
        <v>92</v>
      </c>
      <c r="E351" s="90">
        <v>64228</v>
      </c>
      <c r="G351">
        <v>163223</v>
      </c>
      <c r="I351">
        <f t="shared" si="39"/>
        <v>227543</v>
      </c>
      <c r="K351" s="15">
        <f t="shared" si="34"/>
        <v>4.0431918362683096E-4</v>
      </c>
      <c r="L351" s="15">
        <f t="shared" si="35"/>
        <v>0.28226752745634892</v>
      </c>
      <c r="M351" s="15" t="e">
        <f>#REF!/$I351</f>
        <v>#REF!</v>
      </c>
      <c r="N351" s="15">
        <f t="shared" si="36"/>
        <v>0.71732815336002431</v>
      </c>
      <c r="O351" s="15">
        <f t="shared" si="37"/>
        <v>0</v>
      </c>
      <c r="P351" s="15">
        <f t="shared" si="38"/>
        <v>1</v>
      </c>
      <c r="R351" t="s">
        <v>879</v>
      </c>
      <c r="S351" s="15">
        <v>0.1235204374935511</v>
      </c>
      <c r="T351" s="15">
        <v>0.23775077018322255</v>
      </c>
      <c r="U351" s="15">
        <v>2.6127268171164928E-2</v>
      </c>
      <c r="V351" s="15">
        <v>0.61260152415206148</v>
      </c>
      <c r="W351" s="15">
        <v>0</v>
      </c>
      <c r="X351" s="15">
        <v>1</v>
      </c>
    </row>
    <row r="352" spans="3:24">
      <c r="C352" t="s">
        <v>875</v>
      </c>
      <c r="D352" s="90">
        <v>73938</v>
      </c>
      <c r="E352" s="90">
        <v>4162</v>
      </c>
      <c r="G352">
        <v>405475</v>
      </c>
      <c r="I352">
        <f t="shared" si="39"/>
        <v>483575</v>
      </c>
      <c r="K352" s="15">
        <f t="shared" si="34"/>
        <v>0.15289872305226698</v>
      </c>
      <c r="L352" s="15">
        <f t="shared" si="35"/>
        <v>8.6067311172000199E-3</v>
      </c>
      <c r="M352" s="15" t="e">
        <f>#REF!/$I352</f>
        <v>#REF!</v>
      </c>
      <c r="N352" s="15">
        <f t="shared" si="36"/>
        <v>0.83849454583053296</v>
      </c>
      <c r="O352" s="15">
        <f t="shared" si="37"/>
        <v>0</v>
      </c>
      <c r="P352" s="15">
        <f t="shared" si="38"/>
        <v>1</v>
      </c>
      <c r="R352" t="s">
        <v>865</v>
      </c>
      <c r="S352" s="15">
        <v>6.5195586760280846E-4</v>
      </c>
      <c r="T352" s="15">
        <v>0.44825476429287864</v>
      </c>
      <c r="U352" s="15">
        <v>2.0080240722166499E-2</v>
      </c>
      <c r="V352" s="15">
        <v>0.53101303911735209</v>
      </c>
      <c r="W352" s="15">
        <v>0</v>
      </c>
      <c r="X352" s="15">
        <v>1</v>
      </c>
    </row>
    <row r="353" spans="3:24">
      <c r="C353" t="s">
        <v>870</v>
      </c>
      <c r="D353" s="90">
        <v>15252</v>
      </c>
      <c r="E353" s="90">
        <v>111641</v>
      </c>
      <c r="G353">
        <v>169431</v>
      </c>
      <c r="I353">
        <f t="shared" si="39"/>
        <v>296324</v>
      </c>
      <c r="K353" s="15">
        <f t="shared" si="34"/>
        <v>5.1470687490719619E-2</v>
      </c>
      <c r="L353" s="15">
        <f t="shared" si="35"/>
        <v>0.37675314858060771</v>
      </c>
      <c r="M353" s="15" t="e">
        <f>#REF!/$I353</f>
        <v>#REF!</v>
      </c>
      <c r="N353" s="15">
        <f t="shared" si="36"/>
        <v>0.5717761639286727</v>
      </c>
      <c r="O353" s="15">
        <f t="shared" si="37"/>
        <v>0</v>
      </c>
      <c r="P353" s="15">
        <f t="shared" si="38"/>
        <v>1</v>
      </c>
      <c r="R353" t="s">
        <v>885</v>
      </c>
      <c r="S353" s="15">
        <v>1.5689790429227837E-4</v>
      </c>
      <c r="T353" s="15">
        <v>0.26700287646157866</v>
      </c>
      <c r="U353" s="15">
        <v>1.6093242183122268E-2</v>
      </c>
      <c r="V353" s="15">
        <v>0.71674698345100674</v>
      </c>
      <c r="W353" s="15">
        <v>0</v>
      </c>
      <c r="X353" s="15">
        <v>1</v>
      </c>
    </row>
    <row r="354" spans="3:24">
      <c r="C354" t="s">
        <v>886</v>
      </c>
      <c r="D354" s="90">
        <v>22899</v>
      </c>
      <c r="E354" s="90">
        <v>141337</v>
      </c>
      <c r="G354">
        <v>148208</v>
      </c>
      <c r="I354">
        <f t="shared" si="39"/>
        <v>312444</v>
      </c>
      <c r="K354" s="15">
        <f t="shared" si="34"/>
        <v>7.3289933556093256E-2</v>
      </c>
      <c r="L354" s="15">
        <f t="shared" si="35"/>
        <v>0.45235946281573658</v>
      </c>
      <c r="M354" s="15" t="e">
        <f>#REF!/$I354</f>
        <v>#REF!</v>
      </c>
      <c r="N354" s="15">
        <f t="shared" si="36"/>
        <v>0.47435060362817016</v>
      </c>
      <c r="O354" s="15">
        <f t="shared" si="37"/>
        <v>0</v>
      </c>
      <c r="P354" s="15">
        <f t="shared" si="38"/>
        <v>1</v>
      </c>
      <c r="R354" t="s">
        <v>869</v>
      </c>
      <c r="S354" s="15">
        <v>0.13240335682243076</v>
      </c>
      <c r="T354" s="15">
        <v>0.38095635728788291</v>
      </c>
      <c r="U354" s="15">
        <v>1.244195378570335E-2</v>
      </c>
      <c r="V354" s="15">
        <v>0.47419833210398293</v>
      </c>
      <c r="W354" s="15">
        <v>0</v>
      </c>
      <c r="X354" s="15">
        <v>1</v>
      </c>
    </row>
    <row r="355" spans="3:24">
      <c r="C355" t="s">
        <v>887</v>
      </c>
      <c r="D355" s="90">
        <v>63385</v>
      </c>
      <c r="E355" s="90">
        <v>81117</v>
      </c>
      <c r="G355">
        <v>180693</v>
      </c>
      <c r="I355">
        <f t="shared" si="39"/>
        <v>325195</v>
      </c>
      <c r="K355" s="15">
        <f t="shared" si="34"/>
        <v>0.19491382093820631</v>
      </c>
      <c r="L355" s="15">
        <f t="shared" si="35"/>
        <v>0.24944110456802843</v>
      </c>
      <c r="M355" s="15" t="e">
        <f>#REF!/$I355</f>
        <v>#REF!</v>
      </c>
      <c r="N355" s="15">
        <f t="shared" si="36"/>
        <v>0.55564507449376532</v>
      </c>
      <c r="O355" s="15">
        <f t="shared" si="37"/>
        <v>0</v>
      </c>
      <c r="P355" s="15">
        <f t="shared" si="38"/>
        <v>1</v>
      </c>
      <c r="R355" t="s">
        <v>861</v>
      </c>
      <c r="S355" s="15">
        <v>7.7908731113200527E-2</v>
      </c>
      <c r="T355" s="15">
        <v>0.4403338830534671</v>
      </c>
      <c r="U355" s="15">
        <v>4.0118444932658323E-3</v>
      </c>
      <c r="V355" s="15">
        <v>0.47774554134006653</v>
      </c>
      <c r="W355" s="15">
        <v>0</v>
      </c>
      <c r="X355" s="15">
        <v>1</v>
      </c>
    </row>
    <row r="356" spans="3:24">
      <c r="C356" t="s">
        <v>862</v>
      </c>
      <c r="D356" s="90">
        <v>372</v>
      </c>
      <c r="G356">
        <v>196733</v>
      </c>
      <c r="I356">
        <f t="shared" si="39"/>
        <v>197105</v>
      </c>
      <c r="K356" s="15">
        <f t="shared" si="34"/>
        <v>1.8873189416808299E-3</v>
      </c>
      <c r="L356" s="15">
        <f t="shared" si="35"/>
        <v>0</v>
      </c>
      <c r="M356" s="15" t="e">
        <f>#REF!/$I356</f>
        <v>#REF!</v>
      </c>
      <c r="N356" s="15">
        <f t="shared" si="36"/>
        <v>0.99811268105831918</v>
      </c>
      <c r="O356" s="15">
        <f t="shared" si="37"/>
        <v>0</v>
      </c>
      <c r="P356" s="15">
        <f t="shared" si="38"/>
        <v>1</v>
      </c>
      <c r="R356" t="s">
        <v>859</v>
      </c>
      <c r="S356" s="15">
        <v>0.13817203031662456</v>
      </c>
      <c r="T356" s="15">
        <v>0.314017897197365</v>
      </c>
      <c r="U356" s="15">
        <v>0</v>
      </c>
      <c r="V356" s="15">
        <v>0.54781007248601044</v>
      </c>
      <c r="W356" s="15">
        <v>0</v>
      </c>
      <c r="X356" s="15">
        <v>1</v>
      </c>
    </row>
    <row r="357" spans="3:24">
      <c r="C357" t="s">
        <v>860</v>
      </c>
      <c r="D357" s="90">
        <v>1989</v>
      </c>
      <c r="G357">
        <v>228935</v>
      </c>
      <c r="I357">
        <f t="shared" si="39"/>
        <v>230924</v>
      </c>
      <c r="K357" s="15">
        <f t="shared" si="34"/>
        <v>8.6132233981742919E-3</v>
      </c>
      <c r="L357" s="15">
        <f t="shared" si="35"/>
        <v>0</v>
      </c>
      <c r="M357" s="15" t="e">
        <f>#REF!/$I357</f>
        <v>#REF!</v>
      </c>
      <c r="N357" s="15">
        <f t="shared" si="36"/>
        <v>0.99138677660182573</v>
      </c>
      <c r="O357" s="15">
        <f t="shared" si="37"/>
        <v>0</v>
      </c>
      <c r="P357" s="15">
        <f t="shared" si="38"/>
        <v>1</v>
      </c>
      <c r="R357" t="s">
        <v>871</v>
      </c>
      <c r="S357" s="15">
        <v>0.12498902967887979</v>
      </c>
      <c r="T357" s="15">
        <v>0.39371915070043612</v>
      </c>
      <c r="U357" s="15">
        <v>0</v>
      </c>
      <c r="V357" s="15">
        <v>0.48129181962068412</v>
      </c>
      <c r="W357" s="15">
        <v>0</v>
      </c>
      <c r="X357" s="15">
        <v>1</v>
      </c>
    </row>
    <row r="358" spans="3:24">
      <c r="C358" t="s">
        <v>888</v>
      </c>
      <c r="D358" s="90">
        <v>245</v>
      </c>
      <c r="E358" s="90">
        <v>44031</v>
      </c>
      <c r="G358">
        <v>126587</v>
      </c>
      <c r="I358">
        <f t="shared" si="39"/>
        <v>170863</v>
      </c>
      <c r="K358" s="15">
        <f t="shared" si="34"/>
        <v>1.4338973329509608E-3</v>
      </c>
      <c r="L358" s="15">
        <f t="shared" si="35"/>
        <v>0.25769768762107653</v>
      </c>
      <c r="M358" s="15" t="e">
        <f>#REF!/$I358</f>
        <v>#REF!</v>
      </c>
      <c r="N358" s="15">
        <f t="shared" si="36"/>
        <v>0.74086841504597245</v>
      </c>
      <c r="O358" s="15">
        <f t="shared" si="37"/>
        <v>0</v>
      </c>
      <c r="P358" s="15">
        <f t="shared" si="38"/>
        <v>1</v>
      </c>
      <c r="R358" t="s">
        <v>884</v>
      </c>
      <c r="S358" s="15">
        <v>7.8946456252413269E-2</v>
      </c>
      <c r="T358" s="15">
        <v>0.52350554638837854</v>
      </c>
      <c r="U358" s="15">
        <v>0</v>
      </c>
      <c r="V358" s="15">
        <v>0.39754799735920815</v>
      </c>
      <c r="W358" s="15">
        <v>0</v>
      </c>
      <c r="X358" s="15">
        <v>1</v>
      </c>
    </row>
    <row r="359" spans="3:24">
      <c r="C359" t="s">
        <v>889</v>
      </c>
      <c r="D359" s="90">
        <v>266</v>
      </c>
      <c r="E359" s="90">
        <v>214222</v>
      </c>
      <c r="G359">
        <v>352223</v>
      </c>
      <c r="I359">
        <f t="shared" si="39"/>
        <v>566711</v>
      </c>
      <c r="K359" s="15">
        <f t="shared" si="34"/>
        <v>4.6937504301134087E-4</v>
      </c>
      <c r="L359" s="15">
        <f t="shared" si="35"/>
        <v>0.37800924986456941</v>
      </c>
      <c r="M359" s="15" t="e">
        <f>#REF!/$I359</f>
        <v>#REF!</v>
      </c>
      <c r="N359" s="15">
        <f t="shared" si="36"/>
        <v>0.62152137509241923</v>
      </c>
      <c r="O359" s="15">
        <f t="shared" si="37"/>
        <v>0</v>
      </c>
      <c r="P359" s="15">
        <f t="shared" si="38"/>
        <v>1</v>
      </c>
      <c r="R359" t="s">
        <v>886</v>
      </c>
      <c r="S359" s="15">
        <v>7.3289933556093256E-2</v>
      </c>
      <c r="T359" s="15">
        <v>0.45235946281573658</v>
      </c>
      <c r="U359" s="15">
        <v>0</v>
      </c>
      <c r="V359" s="15">
        <v>0.47435060362817016</v>
      </c>
      <c r="W359" s="15">
        <v>0</v>
      </c>
      <c r="X359" s="15">
        <v>1</v>
      </c>
    </row>
    <row r="360" spans="3:24">
      <c r="C360" t="s">
        <v>885</v>
      </c>
      <c r="D360" s="90">
        <v>21</v>
      </c>
      <c r="E360" s="90">
        <v>35737</v>
      </c>
      <c r="G360">
        <v>95933</v>
      </c>
      <c r="I360">
        <f t="shared" si="39"/>
        <v>131691</v>
      </c>
      <c r="K360" s="15">
        <f t="shared" si="34"/>
        <v>1.5946420028703555E-4</v>
      </c>
      <c r="L360" s="15">
        <f t="shared" si="35"/>
        <v>0.2713701012217995</v>
      </c>
      <c r="M360" s="15" t="e">
        <f>#REF!/$I360</f>
        <v>#REF!</v>
      </c>
      <c r="N360" s="15">
        <f t="shared" si="36"/>
        <v>0.72847043457791349</v>
      </c>
      <c r="O360" s="15">
        <f t="shared" si="37"/>
        <v>0</v>
      </c>
      <c r="P360" s="15">
        <f t="shared" si="38"/>
        <v>1</v>
      </c>
      <c r="R360" t="s">
        <v>887</v>
      </c>
      <c r="S360" s="15">
        <v>0.19491382093820631</v>
      </c>
      <c r="T360" s="15">
        <v>0.24944110456802843</v>
      </c>
      <c r="U360" s="15">
        <v>0</v>
      </c>
      <c r="V360" s="15">
        <v>0.55564507449376532</v>
      </c>
      <c r="W360" s="15">
        <v>0</v>
      </c>
      <c r="X360" s="15">
        <v>1</v>
      </c>
    </row>
    <row r="361" spans="3:24">
      <c r="C361" t="s">
        <v>881</v>
      </c>
      <c r="D361" s="90">
        <v>60027</v>
      </c>
      <c r="E361" s="90">
        <v>134390</v>
      </c>
      <c r="G361">
        <v>494312</v>
      </c>
      <c r="I361">
        <f t="shared" si="39"/>
        <v>688729</v>
      </c>
      <c r="K361" s="15">
        <f t="shared" si="34"/>
        <v>8.7156196413974152E-2</v>
      </c>
      <c r="L361" s="15">
        <f t="shared" si="35"/>
        <v>0.19512754653862405</v>
      </c>
      <c r="M361" s="15" t="e">
        <f>#REF!/$I361</f>
        <v>#REF!</v>
      </c>
      <c r="N361" s="15">
        <f t="shared" si="36"/>
        <v>0.71771625704740183</v>
      </c>
      <c r="O361" s="15">
        <f t="shared" si="37"/>
        <v>0</v>
      </c>
      <c r="P361" s="15">
        <f t="shared" si="38"/>
        <v>1</v>
      </c>
      <c r="R361" t="s">
        <v>888</v>
      </c>
      <c r="S361" s="15">
        <v>1.4338973329509608E-3</v>
      </c>
      <c r="T361" s="15">
        <v>0.25769768762107653</v>
      </c>
      <c r="U361" s="15">
        <v>0</v>
      </c>
      <c r="V361" s="15">
        <v>0.74086841504597245</v>
      </c>
      <c r="W361" s="15">
        <v>0</v>
      </c>
      <c r="X361" s="15">
        <v>1</v>
      </c>
    </row>
    <row r="362" spans="3:24">
      <c r="C362" t="s">
        <v>890</v>
      </c>
      <c r="D362" s="90">
        <v>25065</v>
      </c>
      <c r="E362" s="90">
        <v>119646</v>
      </c>
      <c r="G362">
        <v>146334</v>
      </c>
      <c r="I362">
        <f t="shared" si="39"/>
        <v>291045</v>
      </c>
      <c r="K362" s="15">
        <f t="shared" si="34"/>
        <v>8.6120702984074621E-2</v>
      </c>
      <c r="L362" s="15">
        <f t="shared" si="35"/>
        <v>0.41109106839148585</v>
      </c>
      <c r="M362" s="15" t="e">
        <f>#REF!/$I362</f>
        <v>#REF!</v>
      </c>
      <c r="N362" s="15">
        <f t="shared" si="36"/>
        <v>0.5027882286244395</v>
      </c>
      <c r="O362" s="15">
        <f t="shared" si="37"/>
        <v>0</v>
      </c>
      <c r="P362" s="15">
        <f t="shared" si="38"/>
        <v>1</v>
      </c>
      <c r="R362" t="s">
        <v>889</v>
      </c>
      <c r="S362" s="15">
        <v>4.6937504301134087E-4</v>
      </c>
      <c r="T362" s="15">
        <v>0.37800924986456941</v>
      </c>
      <c r="U362" s="15">
        <v>0</v>
      </c>
      <c r="V362" s="15">
        <v>0.62152137509241923</v>
      </c>
      <c r="W362" s="15">
        <v>0</v>
      </c>
      <c r="X362" s="15">
        <v>1</v>
      </c>
    </row>
    <row r="363" spans="3:24">
      <c r="C363" t="s">
        <v>878</v>
      </c>
      <c r="D363" s="90">
        <v>26</v>
      </c>
      <c r="E363" s="90">
        <v>24032</v>
      </c>
      <c r="G363">
        <v>95922</v>
      </c>
      <c r="I363">
        <f t="shared" si="39"/>
        <v>119980</v>
      </c>
      <c r="K363" s="15">
        <f t="shared" si="34"/>
        <v>2.1670278379729954E-4</v>
      </c>
      <c r="L363" s="15">
        <f t="shared" si="35"/>
        <v>0.20030005000833473</v>
      </c>
      <c r="M363" s="15" t="e">
        <f>#REF!/$I363</f>
        <v>#REF!</v>
      </c>
      <c r="N363" s="15">
        <f t="shared" si="36"/>
        <v>0.79948324720786801</v>
      </c>
      <c r="O363" s="15">
        <f t="shared" si="37"/>
        <v>0</v>
      </c>
      <c r="P363" s="15">
        <f t="shared" si="38"/>
        <v>1</v>
      </c>
      <c r="R363" t="s">
        <v>890</v>
      </c>
      <c r="S363" s="15">
        <v>8.6120702984074621E-2</v>
      </c>
      <c r="T363" s="15">
        <v>0.41109106839148585</v>
      </c>
      <c r="U363" s="15">
        <v>0</v>
      </c>
      <c r="V363" s="15">
        <v>0.5027882286244395</v>
      </c>
      <c r="W363" s="15">
        <v>0</v>
      </c>
      <c r="X363" s="15">
        <v>1</v>
      </c>
    </row>
    <row r="393" spans="3:11" ht="15.75">
      <c r="C393" s="926" t="s">
        <v>439</v>
      </c>
      <c r="D393" s="925" t="s">
        <v>400</v>
      </c>
      <c r="E393" s="925" t="s">
        <v>401</v>
      </c>
      <c r="F393" s="933"/>
      <c r="G393" s="933" t="s">
        <v>402</v>
      </c>
      <c r="H393" s="933" t="s">
        <v>403</v>
      </c>
      <c r="I393" s="933" t="s">
        <v>404</v>
      </c>
      <c r="J393" s="933" t="s">
        <v>891</v>
      </c>
      <c r="K393" s="933" t="s">
        <v>892</v>
      </c>
    </row>
    <row r="394" spans="3:11" ht="15.75">
      <c r="C394" s="5" t="s">
        <v>531</v>
      </c>
      <c r="D394" s="95">
        <f>Quarts!CY104</f>
        <v>9.2518063498788106E-2</v>
      </c>
      <c r="E394" s="95">
        <f>Quarts!CZ104</f>
        <v>0.11523843993953453</v>
      </c>
      <c r="F394" s="7"/>
      <c r="G394" s="7">
        <f>Quarts!DB104</f>
        <v>7.4444788946657736E-2</v>
      </c>
      <c r="H394" s="7">
        <f>Quarts!DC104</f>
        <v>7.9387117621714909E-2</v>
      </c>
      <c r="I394" s="7">
        <f>Quarts!DD104</f>
        <v>1.350615526185317E-2</v>
      </c>
      <c r="J394" s="7" t="e">
        <f>Quarts!#REF!</f>
        <v>#REF!</v>
      </c>
      <c r="K394" s="7" t="e">
        <f>Quarts!#REF!</f>
        <v>#REF!</v>
      </c>
    </row>
    <row r="395" spans="3:11" ht="15.75">
      <c r="C395" s="5" t="s">
        <v>893</v>
      </c>
      <c r="D395" s="95">
        <f>D394</f>
        <v>9.2518063498788106E-2</v>
      </c>
      <c r="E395" s="95">
        <f>E394</f>
        <v>0.11523843993953453</v>
      </c>
      <c r="F395" s="7"/>
      <c r="G395" s="7">
        <f>G394</f>
        <v>7.4444788946657736E-2</v>
      </c>
      <c r="H395" s="7">
        <f>H394</f>
        <v>7.9387117621714909E-2</v>
      </c>
      <c r="I395" s="7">
        <f>I394</f>
        <v>1.350615526185317E-2</v>
      </c>
      <c r="J395" s="7" t="e">
        <f>J394+1.5%</f>
        <v>#REF!</v>
      </c>
      <c r="K395" s="7" t="e">
        <f>K394+1.5%</f>
        <v>#REF!</v>
      </c>
    </row>
    <row r="396" spans="3:11" ht="15.75">
      <c r="C396" s="5" t="s">
        <v>523</v>
      </c>
      <c r="D396" s="95">
        <f>Quarts!CY118</f>
        <v>3.671854742201619E-2</v>
      </c>
      <c r="E396" s="95">
        <f>Quarts!CZ118</f>
        <v>6.6776619600941167E-2</v>
      </c>
      <c r="F396" s="7"/>
      <c r="G396" s="7">
        <f>Quarts!DB118</f>
        <v>4.2913640778944551E-2</v>
      </c>
      <c r="H396" s="7">
        <f>Quarts!DC118</f>
        <v>7.1380075634125628E-2</v>
      </c>
      <c r="I396" s="7">
        <f>Quarts!DD118</f>
        <v>1.2273895225092923E-2</v>
      </c>
      <c r="J396" s="7" t="e">
        <f>Quarts!#REF!</f>
        <v>#REF!</v>
      </c>
      <c r="K396" s="7" t="e">
        <f>Quarts!#REF!</f>
        <v>#REF!</v>
      </c>
    </row>
    <row r="397" spans="3:11" ht="15.75">
      <c r="C397" s="5"/>
      <c r="D397" s="96"/>
      <c r="E397" s="96"/>
      <c r="F397" s="5"/>
      <c r="G397" s="5"/>
      <c r="H397" s="5"/>
      <c r="I397" s="5"/>
    </row>
    <row r="398" spans="3:11" ht="15.75">
      <c r="C398" s="5"/>
      <c r="D398" s="96"/>
      <c r="E398" s="96"/>
      <c r="F398" s="5"/>
      <c r="G398" s="5"/>
      <c r="H398" s="5"/>
      <c r="I398" s="5"/>
    </row>
    <row r="399" spans="3:11" ht="15.75">
      <c r="C399" s="5"/>
      <c r="D399" s="96"/>
      <c r="E399" s="96"/>
      <c r="F399" s="5"/>
      <c r="G399" s="5"/>
      <c r="H399" s="5"/>
      <c r="I399" s="5"/>
    </row>
    <row r="400" spans="3:11" ht="15.75">
      <c r="C400" s="5"/>
      <c r="D400" s="96"/>
      <c r="E400" s="96"/>
      <c r="F400" s="5"/>
      <c r="G400" s="5"/>
      <c r="H400" s="5"/>
      <c r="I400" s="5"/>
    </row>
    <row r="401" spans="3:9" ht="15.75">
      <c r="C401" s="5"/>
      <c r="D401" s="96"/>
      <c r="E401" s="96"/>
      <c r="F401" s="5"/>
      <c r="G401" s="5"/>
      <c r="H401" s="5"/>
      <c r="I401" s="5"/>
    </row>
    <row r="402" spans="3:9" ht="15.75">
      <c r="C402" s="5"/>
      <c r="D402" s="96"/>
      <c r="E402" s="96"/>
      <c r="F402" s="5"/>
      <c r="G402" s="5"/>
      <c r="H402" s="5"/>
      <c r="I402" s="5"/>
    </row>
    <row r="403" spans="3:9" ht="15.75">
      <c r="C403" s="5"/>
      <c r="D403" s="96"/>
      <c r="E403" s="96"/>
      <c r="F403" s="5"/>
      <c r="G403" s="5"/>
      <c r="H403" s="5"/>
      <c r="I403" s="5"/>
    </row>
    <row r="404" spans="3:9" ht="15.75">
      <c r="C404" s="5"/>
      <c r="D404" s="96"/>
      <c r="E404" s="96"/>
      <c r="F404" s="5"/>
      <c r="G404" s="5"/>
      <c r="H404" s="5"/>
      <c r="I404" s="5"/>
    </row>
    <row r="405" spans="3:9" ht="15.75">
      <c r="C405" s="5"/>
      <c r="D405" s="96"/>
      <c r="E405" s="96"/>
      <c r="F405" s="5"/>
      <c r="G405" s="5"/>
      <c r="H405" s="5"/>
      <c r="I405" s="5"/>
    </row>
    <row r="406" spans="3:9" ht="15.75">
      <c r="C406" s="5"/>
      <c r="D406" s="96"/>
      <c r="E406" s="96"/>
      <c r="F406" s="5"/>
      <c r="G406" s="5"/>
      <c r="H406" s="5"/>
      <c r="I406" s="5"/>
    </row>
    <row r="407" spans="3:9" ht="15.75">
      <c r="C407" s="5"/>
      <c r="D407" s="96"/>
      <c r="E407" s="96"/>
      <c r="F407" s="5"/>
      <c r="G407" s="5"/>
      <c r="H407" s="5"/>
      <c r="I407" s="5"/>
    </row>
    <row r="408" spans="3:9" ht="15.75">
      <c r="C408" s="5"/>
      <c r="D408" s="96"/>
      <c r="E408" s="96"/>
      <c r="F408" s="5"/>
      <c r="G408" s="5"/>
      <c r="H408" s="5"/>
      <c r="I408" s="5"/>
    </row>
    <row r="409" spans="3:9" ht="15.75">
      <c r="C409" s="5"/>
      <c r="D409" s="96"/>
      <c r="E409" s="96"/>
      <c r="F409" s="5"/>
      <c r="G409" s="5"/>
      <c r="H409" s="5"/>
      <c r="I409" s="5"/>
    </row>
    <row r="410" spans="3:9" ht="15.75">
      <c r="C410" s="5"/>
      <c r="D410" s="96"/>
      <c r="E410" s="96"/>
      <c r="F410" s="5"/>
      <c r="G410" s="5"/>
      <c r="H410" s="5"/>
      <c r="I410" s="5"/>
    </row>
    <row r="411" spans="3:9" ht="15.75">
      <c r="C411" s="5"/>
      <c r="D411" s="96"/>
      <c r="E411" s="96"/>
      <c r="F411" s="5"/>
      <c r="G411" s="5"/>
      <c r="H411" s="5"/>
      <c r="I411" s="5"/>
    </row>
    <row r="416" spans="3:9">
      <c r="C416" s="919" t="s">
        <v>29</v>
      </c>
      <c r="D416" s="920">
        <v>2021</v>
      </c>
      <c r="E416" s="920">
        <f>D416+1</f>
        <v>2022</v>
      </c>
    </row>
    <row r="417" spans="3:5">
      <c r="C417" t="s">
        <v>122</v>
      </c>
      <c r="D417" s="93">
        <f>Valuation!N48</f>
        <v>-6.8228804181609155E-3</v>
      </c>
      <c r="E417" s="93">
        <f>Valuation!O48</f>
        <v>-8.5966027655804647E-2</v>
      </c>
    </row>
    <row r="418" spans="3:5">
      <c r="C418" t="s">
        <v>894</v>
      </c>
      <c r="D418" s="93" t="e">
        <f>D402/D408</f>
        <v>#DIV/0!</v>
      </c>
      <c r="E418" s="93" t="e">
        <f>E402/E408</f>
        <v>#DIV/0!</v>
      </c>
    </row>
    <row r="419" spans="3:5">
      <c r="C419" t="s">
        <v>123</v>
      </c>
      <c r="D419" s="93">
        <v>0.10043245449428712</v>
      </c>
      <c r="E419" s="93">
        <v>0.11972878185907988</v>
      </c>
    </row>
    <row r="434" spans="3:3">
      <c r="C434" t="s">
        <v>797</v>
      </c>
    </row>
    <row r="475" spans="3:23">
      <c r="C475" s="161"/>
      <c r="D475" s="176"/>
      <c r="E475" s="176"/>
      <c r="F475" s="161"/>
      <c r="G475" s="161"/>
      <c r="H475" s="161"/>
      <c r="I475" s="161"/>
      <c r="J475" s="161"/>
      <c r="K475" s="161"/>
      <c r="L475" s="161"/>
      <c r="M475" s="161"/>
      <c r="N475" s="161"/>
      <c r="O475" s="161"/>
      <c r="P475" s="161"/>
      <c r="Q475" s="161"/>
      <c r="R475" s="161"/>
      <c r="S475" s="161"/>
      <c r="T475" s="161"/>
      <c r="U475" s="161"/>
      <c r="V475" s="161"/>
      <c r="W475" s="161"/>
    </row>
    <row r="476" spans="3:23">
      <c r="C476" s="162" t="s">
        <v>700</v>
      </c>
      <c r="D476" s="178"/>
      <c r="E476" s="178"/>
      <c r="F476" s="178"/>
      <c r="G476" s="178"/>
      <c r="H476" s="178"/>
      <c r="I476" s="178"/>
      <c r="J476" s="178"/>
      <c r="K476" s="178"/>
      <c r="L476" s="178"/>
      <c r="M476" s="178"/>
      <c r="N476" s="178"/>
      <c r="O476" s="177"/>
      <c r="P476" s="175"/>
      <c r="Q476" s="175"/>
      <c r="R476" s="175"/>
      <c r="S476" s="175"/>
      <c r="T476" s="175"/>
      <c r="U476" s="161"/>
      <c r="V476" s="161"/>
      <c r="W476" s="161"/>
    </row>
    <row r="477" spans="3:23">
      <c r="C477" s="179" t="str">
        <f>'Market BB quarts'!B34</f>
        <v>Totalplay</v>
      </c>
      <c r="D477" s="180"/>
      <c r="E477" s="180">
        <f>'Market BB quarts'!D34-'Market BB quarts'!C34</f>
        <v>254.07012666048809</v>
      </c>
      <c r="F477" s="180">
        <f>'Market BB quarts'!E34-'Market BB quarts'!D34</f>
        <v>277.43589743589746</v>
      </c>
      <c r="G477" s="180">
        <f>'Market BB quarts'!F34-'Market BB quarts'!E34</f>
        <v>289</v>
      </c>
      <c r="H477" s="180">
        <f>'Market BB quarts'!G34-'Market BB quarts'!F34</f>
        <v>251</v>
      </c>
      <c r="I477" s="180">
        <f>'Market BB quarts'!H34-'Market BB quarts'!G34</f>
        <v>234</v>
      </c>
      <c r="J477" s="180">
        <f>'Market BB quarts'!I34-'Market BB quarts'!H34</f>
        <v>279</v>
      </c>
      <c r="K477" s="180">
        <f>'Market BB quarts'!J34-'Market BB quarts'!I34</f>
        <v>250</v>
      </c>
      <c r="L477" s="180">
        <f>'Market BB quarts'!K34-'Market BB quarts'!J34</f>
        <v>274</v>
      </c>
      <c r="M477" s="180">
        <f>'Market BB quarts'!L34-'Market BB quarts'!K34</f>
        <v>244</v>
      </c>
      <c r="N477" s="178"/>
      <c r="O477" s="177"/>
      <c r="P477" s="597"/>
      <c r="Q477" s="597"/>
      <c r="R477" s="597"/>
      <c r="S477" s="597"/>
      <c r="T477" s="597"/>
      <c r="U477" s="161"/>
      <c r="V477" s="161"/>
      <c r="W477" s="161"/>
    </row>
    <row r="478" spans="3:23">
      <c r="C478" s="160" t="str">
        <f>'Market BB quarts'!B35</f>
        <v>MEGA</v>
      </c>
      <c r="D478" s="178"/>
      <c r="E478" s="178">
        <f>'Market BB quarts'!D35-'Market BB quarts'!C35</f>
        <v>83.019000000000233</v>
      </c>
      <c r="F478" s="178">
        <f>'Market BB quarts'!E35-'Market BB quarts'!D35</f>
        <v>184.5949999999998</v>
      </c>
      <c r="G478" s="178">
        <f>'Market BB quarts'!F35-'Market BB quarts'!E35</f>
        <v>96.329000000000178</v>
      </c>
      <c r="H478" s="178">
        <f>'Market BB quarts'!G35-'Market BB quarts'!F35</f>
        <v>79.415999999999713</v>
      </c>
      <c r="I478" s="178">
        <f>'Market BB quarts'!H35-'Market BB quarts'!G35</f>
        <v>58.160000000000309</v>
      </c>
      <c r="J478" s="178">
        <f>'Market BB quarts'!I35-'Market BB quarts'!H35</f>
        <v>105.01199999999972</v>
      </c>
      <c r="K478" s="178">
        <f>'Market BB quarts'!J35-'Market BB quarts'!I35</f>
        <v>80.981000000000222</v>
      </c>
      <c r="L478" s="178">
        <f>'Market BB quarts'!K35-'Market BB quarts'!J35</f>
        <v>59.403999999999996</v>
      </c>
      <c r="M478" s="178">
        <f>'Market BB quarts'!L35-'Market BB quarts'!K35</f>
        <v>19.177999999999884</v>
      </c>
      <c r="N478" s="178"/>
      <c r="O478" s="177"/>
      <c r="P478" s="597"/>
      <c r="Q478" s="597"/>
      <c r="R478" s="597"/>
      <c r="S478" s="597"/>
      <c r="T478" s="597"/>
      <c r="U478" s="161"/>
      <c r="V478" s="161"/>
      <c r="W478" s="161"/>
    </row>
    <row r="479" spans="3:23">
      <c r="C479" s="179" t="str">
        <f>'Market BB quarts'!B36</f>
        <v>Televisa</v>
      </c>
      <c r="D479" s="180"/>
      <c r="E479" s="180">
        <f>'Market BB quarts'!D36-'Market BB quarts'!C36</f>
        <v>252</v>
      </c>
      <c r="F479" s="180">
        <f>'Market BB quarts'!E36-'Market BB quarts'!D36</f>
        <v>234</v>
      </c>
      <c r="G479" s="180">
        <f>'Market BB quarts'!F36-'Market BB quarts'!E36</f>
        <v>128.80057500770636</v>
      </c>
      <c r="H479" s="180">
        <f>'Market BB quarts'!G36-'Market BB quarts'!F36</f>
        <v>103.19942499229364</v>
      </c>
      <c r="I479" s="180">
        <f>'Market BB quarts'!H36-'Market BB quarts'!G36</f>
        <v>31</v>
      </c>
      <c r="J479" s="180">
        <f>'Market BB quarts'!I36-'Market BB quarts'!H36</f>
        <v>25</v>
      </c>
      <c r="K479" s="180">
        <f>'Market BB quarts'!J36-'Market BB quarts'!I36</f>
        <v>58.101999999999862</v>
      </c>
      <c r="L479" s="180">
        <f>'Market BB quarts'!K36-'Market BB quarts'!J36</f>
        <v>82.923999999999978</v>
      </c>
      <c r="M479" s="180">
        <f>'Market BB quarts'!L36-'Market BB quarts'!K36</f>
        <v>77.564000000000306</v>
      </c>
      <c r="N479" s="178"/>
      <c r="O479" s="177"/>
      <c r="P479" s="597"/>
      <c r="Q479" s="597"/>
      <c r="R479" s="597"/>
      <c r="S479" s="597"/>
      <c r="T479" s="597"/>
      <c r="U479" s="161"/>
      <c r="V479" s="161"/>
      <c r="W479" s="161"/>
    </row>
    <row r="480" spans="3:23">
      <c r="C480" s="160" t="s">
        <v>677</v>
      </c>
      <c r="D480" s="178"/>
      <c r="E480" s="178">
        <f>'Market BB quarts'!D37-'Market BB quarts'!C37</f>
        <v>63</v>
      </c>
      <c r="F480" s="178">
        <f>'Market BB quarts'!E37-'Market BB quarts'!D37</f>
        <v>117</v>
      </c>
      <c r="G480" s="178">
        <f>'Market BB quarts'!F37-'Market BB quarts'!E37</f>
        <v>33</v>
      </c>
      <c r="H480" s="178">
        <f>'Market BB quarts'!G37-'Market BB quarts'!F37</f>
        <v>-19</v>
      </c>
      <c r="I480" s="178">
        <f>'Market BB quarts'!H37-'Market BB quarts'!G37</f>
        <v>-38</v>
      </c>
      <c r="J480" s="178">
        <f>'Market BB quarts'!I37-'Market BB quarts'!H37</f>
        <v>94</v>
      </c>
      <c r="K480" s="178">
        <f>'Market BB quarts'!J37-'Market BB quarts'!I37</f>
        <v>-11</v>
      </c>
      <c r="L480" s="178">
        <f>'Market BB quarts'!K37-'Market BB quarts'!J37</f>
        <v>63</v>
      </c>
      <c r="M480" s="178">
        <f>'Market BB quarts'!L37-'Market BB quarts'!K37</f>
        <v>20</v>
      </c>
      <c r="N480" s="178"/>
      <c r="O480" s="177"/>
      <c r="P480" s="597"/>
      <c r="Q480" s="597"/>
      <c r="R480" s="597"/>
      <c r="S480" s="597"/>
      <c r="T480" s="597"/>
      <c r="U480" s="161"/>
      <c r="V480" s="161"/>
      <c r="W480" s="161"/>
    </row>
    <row r="481" spans="3:23">
      <c r="C481" s="181" t="s">
        <v>895</v>
      </c>
      <c r="D481" s="182"/>
      <c r="E481" s="180">
        <f>'Market BB quarts'!D39-'Market BB quarts'!C39</f>
        <v>652.08912666048855</v>
      </c>
      <c r="F481" s="180">
        <f>'Market BB quarts'!E39-'Market BB quarts'!D39</f>
        <v>813.03089743589589</v>
      </c>
      <c r="G481" s="180">
        <f>'Market BB quarts'!F39-'Market BB quarts'!E39</f>
        <v>547.1295750077079</v>
      </c>
      <c r="H481" s="180">
        <f>'Market BB quarts'!G39-'Market BB quarts'!F39</f>
        <v>414.61542499229108</v>
      </c>
      <c r="I481" s="180">
        <f>'Market BB quarts'!H39-'Market BB quarts'!G39</f>
        <v>285.16000000000349</v>
      </c>
      <c r="J481" s="180">
        <f>'Market BB quarts'!I39-'Market BB quarts'!H39</f>
        <v>503.01199999999881</v>
      </c>
      <c r="K481" s="180">
        <f>'Market BB quarts'!J39-'Market BB quarts'!I39</f>
        <v>378.08299999999872</v>
      </c>
      <c r="L481" s="180">
        <f>'Market BB quarts'!K39-'Market BB quarts'!J39</f>
        <v>479.32800000000134</v>
      </c>
      <c r="M481" s="180">
        <f>'Market BB quarts'!L39-'Market BB quarts'!K39</f>
        <v>360.74200000000201</v>
      </c>
      <c r="N481" s="178"/>
      <c r="O481" s="177"/>
      <c r="P481" s="598"/>
      <c r="Q481" s="598"/>
      <c r="R481" s="598"/>
      <c r="S481" s="598"/>
      <c r="T481" s="598"/>
      <c r="U481" s="161"/>
      <c r="V481" s="161"/>
      <c r="W481" s="161"/>
    </row>
    <row r="482" spans="3:23">
      <c r="C482" s="161"/>
      <c r="D482" s="176"/>
      <c r="E482" s="176"/>
      <c r="F482" s="161"/>
      <c r="G482" s="161"/>
      <c r="H482" s="161"/>
      <c r="I482" s="161"/>
      <c r="J482" s="161"/>
      <c r="K482" s="161"/>
      <c r="L482" s="161"/>
      <c r="M482" s="161"/>
      <c r="N482" s="161"/>
      <c r="O482" s="161"/>
      <c r="P482" s="161"/>
      <c r="Q482" s="161"/>
      <c r="R482" s="161"/>
      <c r="S482" s="161"/>
      <c r="T482" s="161"/>
      <c r="U482" s="161"/>
      <c r="V482" s="161"/>
    </row>
    <row r="483" spans="3:23">
      <c r="C483" s="161"/>
      <c r="D483" s="176"/>
      <c r="E483" s="176"/>
      <c r="F483" s="161"/>
      <c r="G483" s="161"/>
      <c r="H483" s="161"/>
      <c r="I483" s="161"/>
      <c r="J483" s="161"/>
      <c r="K483" s="161"/>
      <c r="L483" s="161"/>
      <c r="M483" s="161"/>
      <c r="N483" s="161"/>
      <c r="O483" s="161"/>
      <c r="P483" s="161"/>
      <c r="Q483" s="161"/>
      <c r="R483" s="161"/>
      <c r="S483" s="161"/>
      <c r="T483" s="161"/>
      <c r="U483" s="161"/>
      <c r="V483" s="161"/>
    </row>
    <row r="485" spans="3:23">
      <c r="D485" s="90" t="s">
        <v>896</v>
      </c>
      <c r="E485" s="90">
        <v>2025</v>
      </c>
    </row>
    <row r="486" spans="3:23">
      <c r="C486" t="str">
        <f>'Market BB quarts'!B22</f>
        <v>Totalplay</v>
      </c>
      <c r="D486" s="110">
        <f>'Market BB quarts'!H22</f>
        <v>13100</v>
      </c>
      <c r="E486" s="110">
        <v>20000</v>
      </c>
    </row>
    <row r="487" spans="3:23">
      <c r="C487" t="str">
        <f>'Market BB quarts'!B23</f>
        <v>MEGA</v>
      </c>
      <c r="D487" s="110">
        <f>'Market BB quarts'!I23</f>
        <v>9292.1260000000002</v>
      </c>
      <c r="E487" s="110">
        <v>19000</v>
      </c>
    </row>
    <row r="488" spans="3:23">
      <c r="C488" t="str">
        <f>'Market BB quarts'!B24</f>
        <v>Televisa</v>
      </c>
      <c r="D488" s="110">
        <f>'Market BB quarts'!I24</f>
        <v>17300</v>
      </c>
      <c r="E488" s="110">
        <v>18000</v>
      </c>
    </row>
    <row r="489" spans="3:23">
      <c r="C489" t="s">
        <v>677</v>
      </c>
      <c r="D489" s="110">
        <v>10000</v>
      </c>
      <c r="E489" s="110">
        <v>12000</v>
      </c>
    </row>
    <row r="490" spans="3:23">
      <c r="C490" t="s">
        <v>897</v>
      </c>
      <c r="D490" s="110">
        <v>28000</v>
      </c>
      <c r="E490" s="110">
        <f>D490*1.03^(4)</f>
        <v>31514.246679999997</v>
      </c>
    </row>
    <row r="491" spans="3:23">
      <c r="C491" t="s">
        <v>898</v>
      </c>
      <c r="D491" s="105">
        <f>SUM(D486:D489)/D490</f>
        <v>1.7747187857142859</v>
      </c>
      <c r="E491" s="105">
        <f>SUM(E486:E489)/E490</f>
        <v>2.1894859395065192</v>
      </c>
    </row>
    <row r="504" spans="3:23">
      <c r="C504" s="41" t="s">
        <v>899</v>
      </c>
    </row>
    <row r="506" spans="3:23">
      <c r="C506" s="934" t="s">
        <v>900</v>
      </c>
      <c r="D506" s="935">
        <v>2021</v>
      </c>
      <c r="E506" s="935">
        <f>D506+1</f>
        <v>2022</v>
      </c>
      <c r="F506" s="935">
        <f>E506+1</f>
        <v>2023</v>
      </c>
      <c r="G506" s="935">
        <f>F506+1</f>
        <v>2024</v>
      </c>
      <c r="H506" s="935">
        <f>G506+1</f>
        <v>2025</v>
      </c>
      <c r="I506" s="935">
        <f>H506+1</f>
        <v>2026</v>
      </c>
      <c r="J506" s="935">
        <v>2027</v>
      </c>
      <c r="K506" s="935">
        <v>2028</v>
      </c>
      <c r="L506" s="935">
        <v>2029</v>
      </c>
      <c r="M506" s="935">
        <v>2030</v>
      </c>
    </row>
    <row r="507" spans="3:23">
      <c r="C507" t="s">
        <v>43</v>
      </c>
      <c r="D507" s="111">
        <v>48020.9</v>
      </c>
      <c r="E507" s="111">
        <v>48411.8</v>
      </c>
      <c r="F507" s="87">
        <v>49137.976999999999</v>
      </c>
      <c r="G507" s="87">
        <v>50366.426424999998</v>
      </c>
      <c r="H507" s="87">
        <v>51625.587085624997</v>
      </c>
      <c r="I507" s="87">
        <v>53045.29073047969</v>
      </c>
      <c r="J507" s="87">
        <v>54636.649452394086</v>
      </c>
      <c r="K507" s="87">
        <v>56412.340559596894</v>
      </c>
      <c r="L507" s="87">
        <v>58386.772479182779</v>
      </c>
      <c r="M507" s="87">
        <v>60430.30951595417</v>
      </c>
    </row>
    <row r="508" spans="3:23">
      <c r="C508" t="s">
        <v>295</v>
      </c>
      <c r="D508" s="111">
        <v>20285</v>
      </c>
      <c r="E508" s="111">
        <v>19902.8</v>
      </c>
      <c r="F508" s="87">
        <v>18746.138225499999</v>
      </c>
      <c r="G508" s="87">
        <v>19164.4252547125</v>
      </c>
      <c r="H508" s="87">
        <v>19591.910298994688</v>
      </c>
      <c r="I508" s="87">
        <v>20077.642541486563</v>
      </c>
      <c r="J508" s="87">
        <v>20625.335168278769</v>
      </c>
      <c r="K508" s="87">
        <v>21295.658561247827</v>
      </c>
      <c r="L508" s="87">
        <v>22041.006610891498</v>
      </c>
      <c r="M508" s="87">
        <v>22812.441842272699</v>
      </c>
      <c r="N508" s="14"/>
    </row>
    <row r="509" spans="3:23">
      <c r="C509" t="s">
        <v>147</v>
      </c>
      <c r="D509" s="111">
        <v>17333.977760915466</v>
      </c>
      <c r="E509" s="111">
        <v>12989.048999999999</v>
      </c>
      <c r="F509" s="87">
        <v>11056.044825000001</v>
      </c>
      <c r="G509" s="87">
        <v>11080.6138135</v>
      </c>
      <c r="H509" s="87">
        <v>11357.629158837499</v>
      </c>
      <c r="I509" s="87">
        <v>11669.963960705532</v>
      </c>
      <c r="J509" s="87">
        <v>12020.062879526698</v>
      </c>
      <c r="K509" s="87">
        <v>12410.714923111316</v>
      </c>
      <c r="L509" s="87">
        <v>12845.089945420212</v>
      </c>
      <c r="M509" s="87">
        <v>13294.668093509918</v>
      </c>
    </row>
    <row r="510" spans="3:23">
      <c r="C510" t="s">
        <v>92</v>
      </c>
      <c r="D510" s="110">
        <f t="shared" ref="D510:I510" si="40">D508-D509</f>
        <v>2951.0222390845338</v>
      </c>
      <c r="E510" s="110">
        <f t="shared" si="40"/>
        <v>6913.7510000000002</v>
      </c>
      <c r="F510" s="14">
        <f t="shared" si="40"/>
        <v>7690.0934004999981</v>
      </c>
      <c r="G510" s="14">
        <f t="shared" si="40"/>
        <v>8083.8114412124996</v>
      </c>
      <c r="H510" s="14">
        <f t="shared" si="40"/>
        <v>8234.2811401571889</v>
      </c>
      <c r="I510" s="14">
        <f t="shared" si="40"/>
        <v>8407.6785807810302</v>
      </c>
      <c r="J510" s="14">
        <f>J508-J509</f>
        <v>8605.2722887520704</v>
      </c>
      <c r="K510" s="14">
        <f>K508-K509</f>
        <v>8884.9436381365103</v>
      </c>
      <c r="L510" s="14">
        <f>L508-L509</f>
        <v>9195.9166654712863</v>
      </c>
      <c r="M510" s="14">
        <f>M508-M509</f>
        <v>9517.7737487627819</v>
      </c>
    </row>
    <row r="511" spans="3:23" ht="15.75" thickBot="1">
      <c r="C511" t="s">
        <v>93</v>
      </c>
      <c r="D511" s="110">
        <f t="shared" ref="D511:I511" si="41">D510*0.72</f>
        <v>2124.7360121408642</v>
      </c>
      <c r="E511" s="110">
        <f t="shared" si="41"/>
        <v>4977.9007199999996</v>
      </c>
      <c r="F511" s="14">
        <f t="shared" si="41"/>
        <v>5536.8672483599985</v>
      </c>
      <c r="G511" s="14">
        <f t="shared" si="41"/>
        <v>5820.344237673</v>
      </c>
      <c r="H511" s="14">
        <f t="shared" si="41"/>
        <v>5928.6824209131755</v>
      </c>
      <c r="I511" s="14">
        <f t="shared" si="41"/>
        <v>6053.5285781623415</v>
      </c>
      <c r="J511" s="14">
        <f>J510*0.72</f>
        <v>6195.7960479014901</v>
      </c>
      <c r="K511" s="14">
        <f>K510*0.72</f>
        <v>6397.1594194582876</v>
      </c>
      <c r="L511" s="14">
        <f>L510*0.72</f>
        <v>6621.0599991393256</v>
      </c>
      <c r="M511" s="14">
        <f>M510*0.72</f>
        <v>6852.7970991092025</v>
      </c>
    </row>
    <row r="512" spans="3:23">
      <c r="C512" t="s">
        <v>901</v>
      </c>
      <c r="D512" s="110"/>
      <c r="E512" s="110">
        <f>E511</f>
        <v>4977.9007199999996</v>
      </c>
      <c r="F512" s="14">
        <f t="shared" ref="F512:M512" si="42">E512+F511</f>
        <v>10514.767968359998</v>
      </c>
      <c r="G512" s="14">
        <f t="shared" si="42"/>
        <v>16335.112206032998</v>
      </c>
      <c r="H512" s="14">
        <f t="shared" si="42"/>
        <v>22263.794626946175</v>
      </c>
      <c r="I512" s="14">
        <f t="shared" si="42"/>
        <v>28317.323205108518</v>
      </c>
      <c r="J512" s="14">
        <f t="shared" si="42"/>
        <v>34513.119253010009</v>
      </c>
      <c r="K512" s="14">
        <f t="shared" si="42"/>
        <v>40910.278672468296</v>
      </c>
      <c r="L512" s="14">
        <f t="shared" si="42"/>
        <v>47531.33867160762</v>
      </c>
      <c r="M512" s="14">
        <f t="shared" si="42"/>
        <v>54384.135770716821</v>
      </c>
      <c r="S512" s="193" t="s">
        <v>902</v>
      </c>
      <c r="T512" s="194" t="s">
        <v>122</v>
      </c>
      <c r="U512" s="194" t="s">
        <v>903</v>
      </c>
      <c r="V512" s="222" t="s">
        <v>904</v>
      </c>
      <c r="W512" s="195" t="s">
        <v>905</v>
      </c>
    </row>
    <row r="513" spans="3:23">
      <c r="S513" s="223" t="s">
        <v>906</v>
      </c>
      <c r="T513" s="212">
        <f>Valuation!C4</f>
        <v>59.58</v>
      </c>
      <c r="U513" s="213"/>
      <c r="V513" s="214"/>
      <c r="W513" s="224" t="s">
        <v>907</v>
      </c>
    </row>
    <row r="514" spans="3:23" ht="15.75">
      <c r="C514" s="61" t="s">
        <v>908</v>
      </c>
      <c r="D514" s="96"/>
      <c r="E514" s="96"/>
      <c r="F514" s="9" t="s">
        <v>909</v>
      </c>
      <c r="S514" s="225" t="s">
        <v>105</v>
      </c>
      <c r="T514" s="14">
        <f>Valuation!O8</f>
        <v>51096.850649999993</v>
      </c>
      <c r="V514" s="219"/>
      <c r="W514" s="226"/>
    </row>
    <row r="515" spans="3:23" ht="15.75">
      <c r="C515" s="5" t="s">
        <v>910</v>
      </c>
      <c r="D515" s="153">
        <v>4.9000000000000004</v>
      </c>
      <c r="E515" s="9"/>
      <c r="F515" s="192">
        <f>Valuation!O41</f>
        <v>5.1323740517869103</v>
      </c>
      <c r="S515" s="196" t="s">
        <v>911</v>
      </c>
      <c r="T515" s="197">
        <f>Valuation!O11</f>
        <v>12842.623</v>
      </c>
      <c r="U515" s="185"/>
      <c r="V515" s="215"/>
      <c r="W515" s="227"/>
    </row>
    <row r="516" spans="3:23" ht="15.75">
      <c r="C516" s="5" t="s">
        <v>30</v>
      </c>
      <c r="D516" s="113">
        <f>E508*D515</f>
        <v>97523.72</v>
      </c>
      <c r="E516" s="9"/>
      <c r="F516" s="113">
        <f>Valuation!O15</f>
        <v>65535.376649999991</v>
      </c>
      <c r="L516" s="14"/>
      <c r="M516" s="14"/>
      <c r="N516" s="14"/>
      <c r="S516" s="225" t="s">
        <v>103</v>
      </c>
      <c r="T516" s="14">
        <f>Valuation!O10</f>
        <v>1068</v>
      </c>
      <c r="V516" s="219"/>
      <c r="W516" s="226"/>
    </row>
    <row r="517" spans="3:23" ht="15.75">
      <c r="C517" s="5" t="s">
        <v>804</v>
      </c>
      <c r="D517" s="154">
        <v>45000</v>
      </c>
      <c r="E517" s="9"/>
      <c r="L517" s="15"/>
      <c r="M517" s="15"/>
      <c r="S517" s="196" t="s">
        <v>30</v>
      </c>
      <c r="T517" s="197">
        <f>T514+T515+T516</f>
        <v>65007.473649999993</v>
      </c>
      <c r="U517" s="185"/>
      <c r="V517" s="215"/>
      <c r="W517" s="227"/>
    </row>
    <row r="518" spans="3:23" ht="15.75">
      <c r="C518" s="5" t="s">
        <v>105</v>
      </c>
      <c r="D518" s="113">
        <f>D516-D517</f>
        <v>52523.72</v>
      </c>
      <c r="E518" s="9"/>
      <c r="S518" s="225" t="s">
        <v>912</v>
      </c>
      <c r="T518" s="14">
        <f>L508</f>
        <v>22041.006610891498</v>
      </c>
      <c r="U518" s="14">
        <v>20209</v>
      </c>
      <c r="V518" s="220">
        <f>T518+U518</f>
        <v>42250.006610891498</v>
      </c>
      <c r="W518" s="228" t="s">
        <v>913</v>
      </c>
    </row>
    <row r="519" spans="3:23" ht="15.75">
      <c r="C519" s="5" t="s">
        <v>914</v>
      </c>
      <c r="D519" s="155">
        <v>0.84</v>
      </c>
      <c r="E519" s="9"/>
      <c r="S519" s="196" t="s">
        <v>915</v>
      </c>
      <c r="T519" s="200">
        <f>T517/T518</f>
        <v>2.9493876934766101</v>
      </c>
      <c r="U519" s="200">
        <v>5.7</v>
      </c>
      <c r="V519" s="215"/>
      <c r="W519" s="199" t="s">
        <v>916</v>
      </c>
    </row>
    <row r="520" spans="3:23" ht="15.75">
      <c r="C520" s="5" t="s">
        <v>917</v>
      </c>
      <c r="D520" s="113">
        <f>D518*D519</f>
        <v>44119.924800000001</v>
      </c>
      <c r="E520" s="9"/>
      <c r="S520" s="225" t="s">
        <v>30</v>
      </c>
      <c r="T520" s="14">
        <f>T518*T519</f>
        <v>65007.473649999993</v>
      </c>
      <c r="U520" s="14">
        <f>U518*U519</f>
        <v>115191.3</v>
      </c>
      <c r="V520" s="220">
        <f>T520+U520</f>
        <v>180198.77364999999</v>
      </c>
      <c r="W520" s="229"/>
    </row>
    <row r="521" spans="3:23" ht="15.75">
      <c r="C521" s="5"/>
      <c r="D521" s="9"/>
      <c r="E521" s="9"/>
      <c r="S521" s="196" t="s">
        <v>804</v>
      </c>
      <c r="T521" s="197">
        <f>Valuation!O11</f>
        <v>12842.623</v>
      </c>
      <c r="U521" s="197">
        <v>42000</v>
      </c>
      <c r="V521" s="216">
        <f>T521+U521</f>
        <v>54842.623</v>
      </c>
      <c r="W521" s="199" t="s">
        <v>918</v>
      </c>
    </row>
    <row r="522" spans="3:23" ht="15.75">
      <c r="C522" s="5" t="s">
        <v>919</v>
      </c>
      <c r="D522" s="154">
        <v>14800</v>
      </c>
      <c r="E522" s="9"/>
      <c r="S522" s="230" t="s">
        <v>103</v>
      </c>
      <c r="T522" s="936">
        <f>Valuation!O10</f>
        <v>1068</v>
      </c>
      <c r="U522" s="936">
        <f>0.16*(U520-U521)</f>
        <v>11710.608</v>
      </c>
      <c r="V522" s="221"/>
      <c r="W522" s="229"/>
    </row>
    <row r="523" spans="3:23" ht="15.75">
      <c r="C523" s="5" t="s">
        <v>920</v>
      </c>
      <c r="D523" s="125">
        <f>(D516-D522)/E508</f>
        <v>4.1563860361356193</v>
      </c>
      <c r="E523" s="9"/>
      <c r="F523" s="15">
        <f>D523/F515-1</f>
        <v>-0.19016307186563819</v>
      </c>
      <c r="S523" s="196" t="s">
        <v>105</v>
      </c>
      <c r="T523" s="197">
        <f>T520-T521-T522</f>
        <v>51096.850649999993</v>
      </c>
      <c r="U523" s="197">
        <f>U520-U521-U522</f>
        <v>61480.692000000003</v>
      </c>
      <c r="V523" s="216">
        <f>T523+U523</f>
        <v>112577.54264999999</v>
      </c>
      <c r="W523" s="199"/>
    </row>
    <row r="524" spans="3:23" ht="15.75">
      <c r="C524" s="5"/>
      <c r="D524" s="9"/>
      <c r="E524" s="9"/>
      <c r="S524" s="225" t="s">
        <v>921</v>
      </c>
      <c r="T524" s="15">
        <f>T523/V523</f>
        <v>0.45388138208753126</v>
      </c>
      <c r="U524" s="15">
        <f>U523/V523</f>
        <v>0.54611861791246874</v>
      </c>
      <c r="V524" s="219"/>
      <c r="W524" s="229" t="s">
        <v>922</v>
      </c>
    </row>
    <row r="525" spans="3:23" ht="15.75">
      <c r="C525" s="5" t="s">
        <v>923</v>
      </c>
      <c r="D525" s="154">
        <v>17.2</v>
      </c>
      <c r="E525" s="9"/>
      <c r="S525" s="196" t="s">
        <v>499</v>
      </c>
      <c r="T525" s="197">
        <v>14800</v>
      </c>
      <c r="U525" s="197">
        <f>-T525</f>
        <v>-14800</v>
      </c>
      <c r="V525" s="215"/>
      <c r="W525" s="199" t="s">
        <v>924</v>
      </c>
    </row>
    <row r="526" spans="3:23" ht="15.75">
      <c r="C526" s="5" t="s">
        <v>925</v>
      </c>
      <c r="D526" s="113">
        <f>D516/D525</f>
        <v>5669.9837209302332</v>
      </c>
      <c r="E526" s="9"/>
      <c r="S526" s="225"/>
      <c r="V526" s="219"/>
      <c r="W526" s="229"/>
    </row>
    <row r="527" spans="3:23" ht="15.75">
      <c r="C527" s="5"/>
      <c r="D527" s="9"/>
      <c r="E527" s="9"/>
      <c r="S527" s="196" t="s">
        <v>926</v>
      </c>
      <c r="T527" s="197">
        <f>T520+T525</f>
        <v>79807.47365</v>
      </c>
      <c r="U527" s="197">
        <f>U520+U525</f>
        <v>100391.3</v>
      </c>
      <c r="V527" s="215"/>
      <c r="W527" s="199"/>
    </row>
    <row r="528" spans="3:23" ht="15.75">
      <c r="C528" s="5" t="s">
        <v>927</v>
      </c>
      <c r="D528" s="155">
        <v>1</v>
      </c>
      <c r="E528" s="9"/>
      <c r="S528" s="225" t="s">
        <v>928</v>
      </c>
      <c r="T528" s="198">
        <f>T527/T518</f>
        <v>3.6208633779259145</v>
      </c>
      <c r="U528" s="198">
        <f>U527/U518</f>
        <v>4.9676530258795584</v>
      </c>
      <c r="V528" s="219"/>
      <c r="W528" s="229"/>
    </row>
    <row r="529" spans="3:23" ht="15.75">
      <c r="C529" s="5" t="s">
        <v>929</v>
      </c>
      <c r="D529" s="113">
        <f>D518*D528</f>
        <v>52523.72</v>
      </c>
      <c r="E529" s="9"/>
      <c r="S529" s="196" t="s">
        <v>930</v>
      </c>
      <c r="T529" s="201">
        <f>T521/T518</f>
        <v>0.58266953169252511</v>
      </c>
      <c r="U529" s="201">
        <f>U521/U518</f>
        <v>2.0782819535850363</v>
      </c>
      <c r="V529" s="217">
        <f>V521/V518</f>
        <v>1.2980500454137749</v>
      </c>
      <c r="W529" s="199" t="s">
        <v>931</v>
      </c>
    </row>
    <row r="530" spans="3:23" ht="16.5" thickBot="1">
      <c r="C530" s="5" t="s">
        <v>500</v>
      </c>
      <c r="D530" s="113">
        <f>D516-D529</f>
        <v>45000</v>
      </c>
      <c r="E530" s="9"/>
      <c r="S530" s="225"/>
      <c r="V530" s="219"/>
      <c r="W530" s="229"/>
    </row>
    <row r="531" spans="3:23" ht="16.5" thickBot="1">
      <c r="C531" s="5" t="s">
        <v>932</v>
      </c>
      <c r="D531" s="113">
        <f>D530/D525</f>
        <v>2616.2790697674418</v>
      </c>
      <c r="E531" s="9"/>
      <c r="S531" s="196" t="s">
        <v>933</v>
      </c>
      <c r="T531" s="197">
        <f>T524*V531</f>
        <v>24963.47601481422</v>
      </c>
      <c r="U531" s="197">
        <f>V531-T531</f>
        <v>30036.52398518578</v>
      </c>
      <c r="V531" s="218">
        <v>55000</v>
      </c>
      <c r="W531" s="199" t="s">
        <v>934</v>
      </c>
    </row>
    <row r="532" spans="3:23" ht="15.75">
      <c r="C532" s="5"/>
      <c r="D532" s="9"/>
      <c r="E532" s="9"/>
      <c r="S532" s="225" t="s">
        <v>935</v>
      </c>
      <c r="T532" s="19">
        <f>T531/Valuation!O5</f>
        <v>29.10793683059665</v>
      </c>
      <c r="V532" s="219"/>
      <c r="W532" s="229"/>
    </row>
    <row r="533" spans="3:23" ht="16.5" thickBot="1">
      <c r="C533" s="5" t="s">
        <v>810</v>
      </c>
      <c r="D533" s="155">
        <v>0.08</v>
      </c>
      <c r="E533" s="9"/>
      <c r="S533" s="208" t="s">
        <v>936</v>
      </c>
      <c r="T533" s="209"/>
      <c r="U533" s="210">
        <f>U531/D525/572</f>
        <v>3.0529886958434078</v>
      </c>
      <c r="V533" s="231"/>
      <c r="W533" s="211"/>
    </row>
    <row r="534" spans="3:23" ht="15.75">
      <c r="C534" s="5" t="s">
        <v>937</v>
      </c>
      <c r="D534" s="9"/>
      <c r="E534" s="113"/>
      <c r="F534" s="110">
        <f>D533*0.72*D530</f>
        <v>2592</v>
      </c>
      <c r="G534" s="14">
        <f>F534</f>
        <v>2592</v>
      </c>
      <c r="H534" s="14">
        <f>G534</f>
        <v>2592</v>
      </c>
      <c r="I534" s="14">
        <f>H534</f>
        <v>2592</v>
      </c>
    </row>
    <row r="535" spans="3:23" ht="15.75">
      <c r="C535" s="5" t="s">
        <v>938</v>
      </c>
      <c r="D535" s="9"/>
      <c r="E535" s="113"/>
      <c r="F535" s="110">
        <f>F534</f>
        <v>2592</v>
      </c>
      <c r="G535" s="14">
        <f>F535+G534</f>
        <v>5184</v>
      </c>
      <c r="H535" s="14">
        <f>G535+H534</f>
        <v>7776</v>
      </c>
      <c r="I535" s="14">
        <f>H535+I534</f>
        <v>10368</v>
      </c>
      <c r="U535" s="13" t="s">
        <v>909</v>
      </c>
      <c r="V535" s="13" t="s">
        <v>939</v>
      </c>
    </row>
    <row r="536" spans="3:23" ht="15.75">
      <c r="C536" s="5"/>
      <c r="D536" s="9"/>
      <c r="E536" s="9"/>
      <c r="U536">
        <v>40</v>
      </c>
      <c r="V536">
        <v>25</v>
      </c>
    </row>
    <row r="537" spans="3:23" ht="15.75">
      <c r="C537" s="5" t="s">
        <v>724</v>
      </c>
      <c r="D537" s="125">
        <f>Valuation!C4</f>
        <v>59.58</v>
      </c>
      <c r="E537" s="9"/>
      <c r="U537">
        <v>20</v>
      </c>
      <c r="V537">
        <v>20</v>
      </c>
    </row>
    <row r="538" spans="3:23" ht="15.75">
      <c r="C538" s="5" t="s">
        <v>940</v>
      </c>
      <c r="D538" s="39">
        <f>D529/D537</f>
        <v>881.56629741524011</v>
      </c>
      <c r="E538" s="9"/>
      <c r="U538">
        <v>335</v>
      </c>
    </row>
    <row r="539" spans="3:23" ht="15.75">
      <c r="C539" s="5" t="s">
        <v>941</v>
      </c>
      <c r="D539" s="115">
        <f>D538/Valuation!N5</f>
        <v>1.0280944276169131</v>
      </c>
      <c r="E539" s="9"/>
      <c r="U539" s="13" t="s">
        <v>942</v>
      </c>
    </row>
    <row r="540" spans="3:23" ht="15.75">
      <c r="C540" s="5"/>
      <c r="D540" s="9"/>
      <c r="E540" s="9"/>
      <c r="T540" t="s">
        <v>943</v>
      </c>
      <c r="U540">
        <v>150</v>
      </c>
    </row>
    <row r="541" spans="3:23" ht="15.75">
      <c r="C541" s="10" t="s">
        <v>944</v>
      </c>
      <c r="D541" s="9"/>
      <c r="E541" s="9"/>
      <c r="U541" t="s">
        <v>945</v>
      </c>
    </row>
    <row r="542" spans="3:23" ht="15.75">
      <c r="C542" s="5" t="s">
        <v>36</v>
      </c>
      <c r="D542" s="113">
        <f>D538*D519</f>
        <v>740.51568982880167</v>
      </c>
      <c r="E542" s="115">
        <f>D542/D$546</f>
        <v>0.4257834571189944</v>
      </c>
    </row>
    <row r="543" spans="3:23" ht="15.75">
      <c r="C543" s="5" t="s">
        <v>946</v>
      </c>
      <c r="D543" s="113">
        <f>D538-D542</f>
        <v>141.05060758643845</v>
      </c>
      <c r="E543" s="115">
        <f>D543/D$546</f>
        <v>8.1101610879808481E-2</v>
      </c>
      <c r="S543" s="937" t="str">
        <f>S512</f>
        <v>MXN million</v>
      </c>
      <c r="T543" s="935" t="str">
        <f>T512</f>
        <v>MEGA</v>
      </c>
      <c r="U543" s="935" t="str">
        <f>U512</f>
        <v>Izzy (TV)</v>
      </c>
      <c r="V543" s="935" t="str">
        <f>V512</f>
        <v>New Co</v>
      </c>
      <c r="W543" s="935" t="str">
        <f>W512</f>
        <v>Notes</v>
      </c>
    </row>
    <row r="544" spans="3:23" ht="15.75">
      <c r="C544" s="5" t="s">
        <v>947</v>
      </c>
      <c r="D544" s="113">
        <f>0.55*Valuation!O5</f>
        <v>471.68962500000004</v>
      </c>
      <c r="E544" s="115">
        <f>D544/D$546</f>
        <v>0.2712132126006585</v>
      </c>
      <c r="S544" s="185" t="str">
        <f>S519</f>
        <v>EV/EBITDA multiple</v>
      </c>
      <c r="T544" s="242">
        <f>U544*1.5</f>
        <v>7.5</v>
      </c>
      <c r="U544" s="242">
        <v>5</v>
      </c>
      <c r="V544" s="185"/>
      <c r="W544" s="243" t="s">
        <v>948</v>
      </c>
    </row>
    <row r="545" spans="3:27" ht="15.75">
      <c r="C545" s="926" t="s">
        <v>949</v>
      </c>
      <c r="D545" s="938">
        <f>Valuation!O5-D544</f>
        <v>385.92787499999991</v>
      </c>
      <c r="E545" s="939">
        <f>D545/D$546</f>
        <v>0.22190171940053871</v>
      </c>
      <c r="S545" t="s">
        <v>950</v>
      </c>
      <c r="T545" s="14">
        <f>Quarts!BG140+Quarts!BH140+Quarts!BI140+Quarts!BJ140</f>
        <v>12977.221</v>
      </c>
      <c r="U545" s="14">
        <v>19179</v>
      </c>
      <c r="V545" s="14">
        <f>T545+U545</f>
        <v>32156.220999999998</v>
      </c>
      <c r="W545" s="13" t="s">
        <v>951</v>
      </c>
    </row>
    <row r="546" spans="3:27" ht="15.75">
      <c r="C546" s="5" t="s">
        <v>952</v>
      </c>
      <c r="D546" s="113">
        <f>SUM(D542:D545)</f>
        <v>1739.18379741524</v>
      </c>
      <c r="E546" s="115"/>
      <c r="S546" s="185" t="s">
        <v>30</v>
      </c>
      <c r="T546" s="197">
        <f>T544*T545</f>
        <v>97329.157500000001</v>
      </c>
      <c r="U546" s="197">
        <f>U544*U545</f>
        <v>95895</v>
      </c>
      <c r="V546" s="185"/>
      <c r="W546" s="243" t="s">
        <v>953</v>
      </c>
    </row>
    <row r="547" spans="3:27">
      <c r="S547" t="s">
        <v>24</v>
      </c>
      <c r="T547" s="14">
        <f>Quarts!BJ182</f>
        <v>18911.531999999999</v>
      </c>
      <c r="U547" s="14">
        <v>25000</v>
      </c>
      <c r="V547" s="14">
        <f>T547+U547</f>
        <v>43911.531999999999</v>
      </c>
      <c r="W547" s="13" t="s">
        <v>954</v>
      </c>
    </row>
    <row r="548" spans="3:27">
      <c r="C548" s="163" t="s">
        <v>955</v>
      </c>
      <c r="D548" s="176"/>
      <c r="E548" s="176"/>
      <c r="F548" s="161"/>
      <c r="G548" s="161"/>
      <c r="H548" s="161"/>
      <c r="I548" s="161"/>
      <c r="J548" s="161"/>
      <c r="K548" s="161"/>
      <c r="L548" s="161"/>
      <c r="M548" s="161"/>
      <c r="S548" s="940" t="s">
        <v>956</v>
      </c>
      <c r="T548" s="941"/>
      <c r="U548" s="941"/>
      <c r="V548" s="941"/>
      <c r="W548" s="185"/>
    </row>
    <row r="549" spans="3:27">
      <c r="C549" s="872" t="s">
        <v>11</v>
      </c>
      <c r="D549" s="942"/>
      <c r="E549" s="942"/>
      <c r="F549" s="872">
        <f t="shared" ref="F549:M549" si="43">F506</f>
        <v>2023</v>
      </c>
      <c r="G549" s="872">
        <f t="shared" si="43"/>
        <v>2024</v>
      </c>
      <c r="H549" s="872">
        <f t="shared" si="43"/>
        <v>2025</v>
      </c>
      <c r="I549" s="872">
        <f t="shared" si="43"/>
        <v>2026</v>
      </c>
      <c r="J549" s="872">
        <f t="shared" si="43"/>
        <v>2027</v>
      </c>
      <c r="K549" s="872">
        <f t="shared" si="43"/>
        <v>2028</v>
      </c>
      <c r="L549" s="872">
        <f t="shared" si="43"/>
        <v>2029</v>
      </c>
      <c r="M549" s="872">
        <f t="shared" si="43"/>
        <v>2030</v>
      </c>
      <c r="S549" t="s">
        <v>957</v>
      </c>
      <c r="T549" s="14">
        <f>T546-T547-T548</f>
        <v>78417.625499999995</v>
      </c>
      <c r="U549" s="14">
        <f>U546-U547-U548</f>
        <v>70895</v>
      </c>
      <c r="V549" s="14">
        <f>T549+U549</f>
        <v>149312.62549999999</v>
      </c>
    </row>
    <row r="550" spans="3:27">
      <c r="C550" s="390" t="s">
        <v>958</v>
      </c>
      <c r="D550" s="391"/>
      <c r="E550" s="391"/>
      <c r="F550" s="392">
        <f>(F507-F508)+(Master!W8-Master!W13)</f>
        <v>46942.385774499999</v>
      </c>
      <c r="G550" s="392">
        <f>(G507-G508)+(Master!X8-Master!X13)</f>
        <v>49412.996170287501</v>
      </c>
      <c r="H550" s="392">
        <f>(H507-H508)+(Master!Y8-Master!Y13)</f>
        <v>51527.352786630305</v>
      </c>
      <c r="I550" s="392">
        <f>(I507-I508)+(Master!Z8-Master!Z13)</f>
        <v>54134.030502993133</v>
      </c>
      <c r="J550" s="392">
        <f>(J507-J508)+(Master!AA8-Master!AA13)</f>
        <v>56188.372918115318</v>
      </c>
      <c r="K550" s="392">
        <f>(K507-K508)+(Master!AB8-Master!AB13)</f>
        <v>58158.538392992377</v>
      </c>
      <c r="L550" s="392">
        <f>(L507-L508)+(Master!AC8-Master!AC13)</f>
        <v>60311.470278757552</v>
      </c>
      <c r="M550" s="392">
        <f>(M507-M508)+(Master!AD8-Master!AD13)</f>
        <v>62286.719471148033</v>
      </c>
      <c r="S550" s="185" t="s">
        <v>959</v>
      </c>
      <c r="T550" s="387">
        <f>T549/V549</f>
        <v>0.52519085534397758</v>
      </c>
      <c r="U550" s="387">
        <f>U549/V549</f>
        <v>0.47480914465602242</v>
      </c>
      <c r="V550" s="185"/>
      <c r="W550" s="243"/>
    </row>
    <row r="551" spans="3:27">
      <c r="C551" s="855" t="s">
        <v>960</v>
      </c>
      <c r="D551" s="942"/>
      <c r="E551" s="942"/>
      <c r="F551" s="856">
        <f>F509+Master!W45</f>
        <v>24005.044825000001</v>
      </c>
      <c r="G551" s="856">
        <f>G509+Master!X45</f>
        <v>21420.6138135</v>
      </c>
      <c r="H551" s="856">
        <f>H509+Master!Y45</f>
        <v>20545.021158837499</v>
      </c>
      <c r="I551" s="856">
        <f>I509+Master!Z45</f>
        <v>21387.257659405535</v>
      </c>
      <c r="J551" s="856">
        <f>J509+Master!AA45</f>
        <v>21876.533383526701</v>
      </c>
      <c r="K551" s="856">
        <f>K509+Master!AB45</f>
        <v>22410.011094371621</v>
      </c>
      <c r="L551" s="856">
        <f>L509+Master!AC45</f>
        <v>22887.861317425122</v>
      </c>
      <c r="M551" s="856">
        <f>M509+Master!AD45</f>
        <v>23257.089011717566</v>
      </c>
      <c r="S551" t="s">
        <v>806</v>
      </c>
      <c r="T551" s="241">
        <f>T547/T545</f>
        <v>1.4572867334231265</v>
      </c>
      <c r="U551" s="241">
        <f>U547/U545</f>
        <v>1.3035090463527816</v>
      </c>
      <c r="V551" s="241">
        <f>V547/V545</f>
        <v>1.3655687961592253</v>
      </c>
      <c r="AA551" t="s">
        <v>961</v>
      </c>
    </row>
    <row r="552" spans="3:27">
      <c r="C552" s="390" t="s">
        <v>962</v>
      </c>
      <c r="D552" s="391"/>
      <c r="E552" s="391"/>
      <c r="F552" s="392">
        <f t="shared" ref="F552:M552" si="44">F550+F551</f>
        <v>70947.430599500003</v>
      </c>
      <c r="G552" s="392">
        <f t="shared" si="44"/>
        <v>70833.609983787494</v>
      </c>
      <c r="H552" s="392">
        <f t="shared" si="44"/>
        <v>72072.3739454678</v>
      </c>
      <c r="I552" s="392">
        <f t="shared" si="44"/>
        <v>75521.288162398676</v>
      </c>
      <c r="J552" s="392">
        <f t="shared" si="44"/>
        <v>78064.906301642011</v>
      </c>
      <c r="K552" s="392">
        <f t="shared" si="44"/>
        <v>80568.549487363998</v>
      </c>
      <c r="L552" s="392">
        <f t="shared" si="44"/>
        <v>83199.331596182674</v>
      </c>
      <c r="M552" s="392">
        <f t="shared" si="44"/>
        <v>85543.808482865599</v>
      </c>
      <c r="S552" s="185"/>
      <c r="T552" s="185"/>
      <c r="U552" s="185"/>
      <c r="V552" s="185"/>
      <c r="W552" s="185"/>
      <c r="AA552">
        <f>F598-F604</f>
        <v>6228.1284999999998</v>
      </c>
    </row>
    <row r="553" spans="3:27">
      <c r="C553" s="161"/>
      <c r="D553" s="176"/>
      <c r="E553" s="176"/>
      <c r="F553" s="264"/>
      <c r="G553" s="264"/>
      <c r="H553" s="264"/>
      <c r="I553" s="264"/>
      <c r="J553" s="264"/>
      <c r="K553" s="264"/>
      <c r="L553" s="264"/>
      <c r="M553" s="264"/>
      <c r="S553" t="s">
        <v>919</v>
      </c>
      <c r="V553" s="14">
        <v>15000</v>
      </c>
      <c r="W553" s="13" t="s">
        <v>963</v>
      </c>
    </row>
    <row r="554" spans="3:27">
      <c r="C554" s="390" t="s">
        <v>964</v>
      </c>
      <c r="D554" s="391"/>
      <c r="E554" s="391"/>
      <c r="F554" s="392"/>
      <c r="G554" s="392"/>
      <c r="H554" s="392">
        <f>'PF model'!G13</f>
        <v>1150</v>
      </c>
      <c r="I554" s="392">
        <f>'PF model'!H13</f>
        <v>2300</v>
      </c>
      <c r="J554" s="392">
        <f>I554</f>
        <v>2300</v>
      </c>
      <c r="K554" s="392">
        <f>J554</f>
        <v>2300</v>
      </c>
      <c r="L554" s="392">
        <f>K554</f>
        <v>2300</v>
      </c>
      <c r="M554" s="392">
        <f>L554</f>
        <v>2300</v>
      </c>
      <c r="S554" s="940" t="s">
        <v>965</v>
      </c>
      <c r="T554" s="940"/>
      <c r="U554" s="940"/>
      <c r="V554" s="941">
        <f>V547+V553</f>
        <v>58911.531999999999</v>
      </c>
      <c r="W554" s="185"/>
    </row>
    <row r="555" spans="3:27">
      <c r="C555" s="855" t="s">
        <v>966</v>
      </c>
      <c r="D555" s="942"/>
      <c r="E555" s="942"/>
      <c r="F555" s="856"/>
      <c r="G555" s="856">
        <f>-('PF model'!F20-G551)</f>
        <v>873.55247099999906</v>
      </c>
      <c r="H555" s="856">
        <f>-('PF model'!G20-H551)</f>
        <v>1074.6258306844975</v>
      </c>
      <c r="I555" s="856">
        <f>-('PF model'!H20-I551)</f>
        <v>2204.6855665382755</v>
      </c>
      <c r="J555" s="856">
        <f>-('PF model'!I20-J551)</f>
        <v>2118.4841278734239</v>
      </c>
      <c r="K555" s="856">
        <f>-('PF model'!J20-K551)</f>
        <v>2059.220361048745</v>
      </c>
      <c r="L555" s="856">
        <f>-('PF model'!K20-L551)</f>
        <v>2879.333882799041</v>
      </c>
      <c r="M555" s="856">
        <f>-('PF model'!L20-M551)</f>
        <v>3629.6763853700722</v>
      </c>
      <c r="S555" t="s">
        <v>967</v>
      </c>
      <c r="V555" s="14">
        <f>V549-V554</f>
        <v>90401.093499999988</v>
      </c>
    </row>
    <row r="556" spans="3:27">
      <c r="C556" s="390" t="s">
        <v>39</v>
      </c>
      <c r="D556" s="391"/>
      <c r="E556" s="391"/>
      <c r="F556" s="392"/>
      <c r="G556" s="392">
        <f t="shared" ref="G556:M556" si="45">G554+G555</f>
        <v>873.55247099999906</v>
      </c>
      <c r="H556" s="392">
        <f t="shared" si="45"/>
        <v>2224.6258306844975</v>
      </c>
      <c r="I556" s="392">
        <f t="shared" si="45"/>
        <v>4504.6855665382755</v>
      </c>
      <c r="J556" s="392">
        <f t="shared" si="45"/>
        <v>4418.4841278734239</v>
      </c>
      <c r="K556" s="392">
        <f t="shared" si="45"/>
        <v>4359.220361048745</v>
      </c>
      <c r="L556" s="392">
        <f t="shared" si="45"/>
        <v>5179.333882799041</v>
      </c>
      <c r="M556" s="392">
        <f t="shared" si="45"/>
        <v>5929.6763853700722</v>
      </c>
      <c r="S556" s="940" t="s">
        <v>968</v>
      </c>
      <c r="T556" s="940"/>
      <c r="U556" s="940"/>
      <c r="V556" s="943">
        <f>V554/V545</f>
        <v>1.8320415200529938</v>
      </c>
      <c r="W556" s="944" t="s">
        <v>969</v>
      </c>
    </row>
    <row r="557" spans="3:27">
      <c r="C557" s="161" t="s">
        <v>331</v>
      </c>
      <c r="D557" s="176"/>
      <c r="E557" s="176"/>
      <c r="F557" s="307"/>
      <c r="G557" s="264">
        <f>G556/G552</f>
        <v>1.2332457306636483E-2</v>
      </c>
      <c r="H557" s="264">
        <f t="shared" ref="H557:M557" si="46">H556/H552</f>
        <v>3.0866554116390263E-2</v>
      </c>
      <c r="I557" s="264">
        <f t="shared" si="46"/>
        <v>5.9647891027117241E-2</v>
      </c>
      <c r="J557" s="264">
        <f t="shared" si="46"/>
        <v>5.6600133622148288E-2</v>
      </c>
      <c r="K557" s="264">
        <f t="shared" si="46"/>
        <v>5.4105732184398146E-2</v>
      </c>
      <c r="L557" s="264">
        <f t="shared" si="46"/>
        <v>6.2252109283011087E-2</v>
      </c>
      <c r="M557" s="264">
        <f t="shared" si="46"/>
        <v>6.9317423324188152E-2</v>
      </c>
      <c r="V557" s="14"/>
    </row>
    <row r="558" spans="3:27">
      <c r="C558" s="918" t="s">
        <v>970</v>
      </c>
      <c r="D558" s="945"/>
      <c r="E558" s="945"/>
      <c r="F558" s="946"/>
      <c r="G558" s="946"/>
      <c r="H558" s="946">
        <v>1500</v>
      </c>
      <c r="I558" s="946">
        <v>500</v>
      </c>
      <c r="J558" s="946"/>
      <c r="K558" s="946"/>
      <c r="L558" s="946"/>
      <c r="M558" s="946"/>
    </row>
    <row r="559" spans="3:27">
      <c r="C559" s="161" t="s">
        <v>971</v>
      </c>
      <c r="D559" s="176"/>
      <c r="E559" s="176"/>
      <c r="F559" s="307"/>
      <c r="G559" s="307">
        <f t="shared" ref="G559:M559" si="47">G554+G555-G558</f>
        <v>873.55247099999906</v>
      </c>
      <c r="H559" s="307">
        <f t="shared" si="47"/>
        <v>724.62583068449749</v>
      </c>
      <c r="I559" s="307">
        <f t="shared" si="47"/>
        <v>4004.6855665382755</v>
      </c>
      <c r="J559" s="307">
        <f t="shared" si="47"/>
        <v>4418.4841278734239</v>
      </c>
      <c r="K559" s="307">
        <f t="shared" si="47"/>
        <v>4359.220361048745</v>
      </c>
      <c r="L559" s="307">
        <f t="shared" si="47"/>
        <v>5179.333882799041</v>
      </c>
      <c r="M559" s="307">
        <f t="shared" si="47"/>
        <v>5929.6763853700722</v>
      </c>
      <c r="W559" s="13"/>
    </row>
    <row r="560" spans="3:27">
      <c r="C560" s="390" t="s">
        <v>972</v>
      </c>
      <c r="D560" s="391"/>
      <c r="E560" s="391"/>
      <c r="F560" s="392"/>
      <c r="G560" s="392">
        <f t="shared" ref="G560:M560" si="48">G559*0.72</f>
        <v>628.95777911999926</v>
      </c>
      <c r="H560" s="392">
        <f t="shared" si="48"/>
        <v>521.73059809283814</v>
      </c>
      <c r="I560" s="392">
        <f t="shared" si="48"/>
        <v>2883.3736079075584</v>
      </c>
      <c r="J560" s="392">
        <f t="shared" si="48"/>
        <v>3181.308572068865</v>
      </c>
      <c r="K560" s="392">
        <f t="shared" si="48"/>
        <v>3138.638659955096</v>
      </c>
      <c r="L560" s="392">
        <f t="shared" si="48"/>
        <v>3729.1203956153095</v>
      </c>
      <c r="M560" s="392">
        <f t="shared" si="48"/>
        <v>4269.3669974664517</v>
      </c>
    </row>
    <row r="561" spans="3:13">
      <c r="C561" s="161" t="s">
        <v>275</v>
      </c>
      <c r="D561" s="393">
        <f>NPV(D568,G560:M560)</f>
        <v>10795.484869660364</v>
      </c>
      <c r="E561" s="309"/>
      <c r="F561" s="307"/>
      <c r="G561" s="307"/>
      <c r="H561" s="307"/>
      <c r="I561" s="307"/>
      <c r="J561" s="307"/>
      <c r="K561" s="307"/>
      <c r="L561" s="307"/>
      <c r="M561" s="307"/>
    </row>
    <row r="562" spans="3:13">
      <c r="C562" s="390" t="s">
        <v>973</v>
      </c>
      <c r="D562" s="394">
        <f>D570</f>
        <v>10.330578512396695</v>
      </c>
      <c r="E562" s="395"/>
      <c r="F562" s="392"/>
      <c r="G562" s="392"/>
      <c r="H562" s="392"/>
      <c r="I562" s="392"/>
      <c r="J562" s="392"/>
      <c r="K562" s="392"/>
      <c r="L562" s="392"/>
      <c r="M562" s="392"/>
    </row>
    <row r="563" spans="3:13">
      <c r="C563" s="161" t="s">
        <v>36</v>
      </c>
      <c r="D563" s="393">
        <f>D562*M560</f>
        <v>44105.030965562524</v>
      </c>
      <c r="E563" s="309"/>
      <c r="F563" s="307"/>
      <c r="G563" s="307"/>
      <c r="H563" s="307"/>
      <c r="I563" s="307"/>
      <c r="J563" s="307"/>
      <c r="K563" s="307"/>
      <c r="L563" s="307"/>
      <c r="M563" s="307"/>
    </row>
    <row r="564" spans="3:13">
      <c r="C564" s="390" t="s">
        <v>974</v>
      </c>
      <c r="D564" s="396">
        <f>D563/(1+D568)^7</f>
        <v>20354.493241329805</v>
      </c>
      <c r="E564" s="395"/>
      <c r="F564" s="392"/>
      <c r="G564" s="392"/>
      <c r="H564" s="392"/>
      <c r="I564" s="392"/>
      <c r="J564" s="392"/>
      <c r="K564" s="392"/>
      <c r="L564" s="392"/>
      <c r="M564" s="392"/>
    </row>
    <row r="565" spans="3:13" ht="15.75" thickBot="1">
      <c r="C565" s="161" t="s">
        <v>975</v>
      </c>
      <c r="D565" s="393">
        <f>D561+D564</f>
        <v>31149.978110990167</v>
      </c>
      <c r="E565" s="309"/>
      <c r="F565" s="307"/>
      <c r="G565" s="307"/>
      <c r="H565" s="307"/>
      <c r="I565" s="307"/>
      <c r="J565" s="307"/>
      <c r="K565" s="307"/>
      <c r="L565" s="307"/>
      <c r="M565" s="307"/>
    </row>
    <row r="566" spans="3:13" ht="15.75" thickBot="1">
      <c r="C566" s="397" t="s">
        <v>976</v>
      </c>
      <c r="D566" s="398">
        <f>D565/D525</f>
        <v>1811.0452390110563</v>
      </c>
      <c r="E566" s="395"/>
      <c r="F566" s="392"/>
      <c r="G566" s="392"/>
      <c r="H566" s="392"/>
      <c r="I566" s="392"/>
      <c r="J566" s="392"/>
      <c r="K566" s="392"/>
      <c r="L566" s="392"/>
      <c r="M566" s="392"/>
    </row>
    <row r="567" spans="3:13" ht="15.75">
      <c r="C567" s="10"/>
      <c r="D567" s="362"/>
      <c r="E567" s="94"/>
      <c r="F567" s="4"/>
      <c r="G567" s="4"/>
      <c r="H567" s="4"/>
      <c r="I567" s="4"/>
    </row>
    <row r="568" spans="3:13" ht="15.75">
      <c r="C568" s="5" t="s">
        <v>120</v>
      </c>
      <c r="D568" s="115">
        <f>Valuation!C115</f>
        <v>0.1168</v>
      </c>
      <c r="E568" s="94"/>
      <c r="F568" s="4"/>
      <c r="G568" s="4"/>
      <c r="H568" s="4"/>
      <c r="I568" s="4"/>
    </row>
    <row r="569" spans="3:13" ht="15.75">
      <c r="C569" s="5" t="s">
        <v>977</v>
      </c>
      <c r="D569" s="126">
        <v>0.02</v>
      </c>
      <c r="E569" s="94"/>
      <c r="F569" s="4"/>
      <c r="G569" s="4"/>
      <c r="H569" s="4"/>
      <c r="I569" s="4"/>
    </row>
    <row r="570" spans="3:13" ht="15.75">
      <c r="C570" s="5" t="s">
        <v>978</v>
      </c>
      <c r="D570" s="113">
        <f>1/(D568-D569)</f>
        <v>10.330578512396695</v>
      </c>
      <c r="E570" s="94"/>
      <c r="F570" s="4"/>
      <c r="G570" s="4"/>
      <c r="H570" s="4"/>
      <c r="I570" s="4"/>
    </row>
    <row r="571" spans="3:13" ht="15.75">
      <c r="C571" s="10"/>
      <c r="D571" s="362"/>
      <c r="E571" s="94"/>
      <c r="F571" s="4"/>
      <c r="G571" s="4"/>
      <c r="H571" s="4"/>
      <c r="I571" s="4"/>
    </row>
    <row r="572" spans="3:13" ht="15.75">
      <c r="C572" s="5" t="s">
        <v>979</v>
      </c>
      <c r="D572" s="113">
        <f>Analysis!T550*D565</f>
        <v>16359.683648057106</v>
      </c>
      <c r="E572" s="94">
        <f>D572/Valuation!C96</f>
        <v>19.064475120212354</v>
      </c>
      <c r="F572" s="4">
        <f>D565-D572</f>
        <v>14790.294462933061</v>
      </c>
      <c r="G572" s="4">
        <v>17700</v>
      </c>
      <c r="H572" s="4"/>
      <c r="I572" s="4"/>
      <c r="K572">
        <v>2300</v>
      </c>
      <c r="L572" s="17">
        <v>6700</v>
      </c>
    </row>
    <row r="573" spans="3:13" ht="15.75">
      <c r="C573" s="926" t="s">
        <v>980</v>
      </c>
      <c r="D573" s="938">
        <f>V553*0.9</f>
        <v>13500</v>
      </c>
      <c r="E573" s="927">
        <f>D573/Valuation!C96</f>
        <v>15.731992113027953</v>
      </c>
      <c r="F573" s="4"/>
      <c r="G573" s="4"/>
      <c r="H573" s="4"/>
      <c r="I573" s="4"/>
      <c r="K573">
        <f>K572*0.7</f>
        <v>1610</v>
      </c>
      <c r="L573">
        <f>L572*0.7</f>
        <v>4690</v>
      </c>
    </row>
    <row r="574" spans="3:13" ht="15.75">
      <c r="C574" s="5"/>
      <c r="D574" s="113">
        <f>SUM(D572:D573)</f>
        <v>29859.683648057107</v>
      </c>
      <c r="E574" s="94">
        <f>SUM(E572:E573)</f>
        <v>34.796467233240307</v>
      </c>
      <c r="F574" s="4"/>
      <c r="G574" s="4"/>
      <c r="H574" s="4"/>
      <c r="I574" s="4"/>
      <c r="K574">
        <v>17000</v>
      </c>
      <c r="L574">
        <v>38000</v>
      </c>
    </row>
    <row r="575" spans="3:13" ht="15.75">
      <c r="C575" s="5" t="s">
        <v>36</v>
      </c>
      <c r="D575" s="113"/>
      <c r="E575" s="94"/>
      <c r="F575" s="4"/>
      <c r="G575" s="4"/>
      <c r="H575" s="4"/>
      <c r="I575" s="4"/>
    </row>
    <row r="576" spans="3:13" ht="15.75">
      <c r="C576" s="5"/>
      <c r="D576" s="96"/>
      <c r="E576" s="96"/>
      <c r="F576" s="5"/>
      <c r="G576" s="5"/>
      <c r="H576" s="5"/>
      <c r="I576" s="5"/>
      <c r="K576">
        <f>K574/K573</f>
        <v>10.559006211180124</v>
      </c>
      <c r="L576">
        <f>L574/L573</f>
        <v>8.1023454157782524</v>
      </c>
    </row>
    <row r="577" spans="3:13" ht="15.75">
      <c r="C577" s="5" t="s">
        <v>981</v>
      </c>
      <c r="D577" s="94">
        <f>(D565-D572)/18</f>
        <v>821.68302571850336</v>
      </c>
      <c r="E577" s="101">
        <f>D577/573</f>
        <v>1.434001790084648</v>
      </c>
      <c r="F577" s="5"/>
      <c r="G577" s="5"/>
      <c r="H577" s="5"/>
      <c r="I577" s="5"/>
    </row>
    <row r="578" spans="3:13" ht="15.75">
      <c r="C578" s="5"/>
      <c r="D578" s="96"/>
      <c r="E578" s="96"/>
      <c r="F578" s="5"/>
      <c r="G578" s="5"/>
      <c r="H578" s="5"/>
      <c r="I578" s="5"/>
    </row>
    <row r="579" spans="3:13" ht="15.75">
      <c r="C579" s="5" t="s">
        <v>982</v>
      </c>
      <c r="D579" s="113">
        <f>D561*(E544+E545)</f>
        <v>5323.4147874225237</v>
      </c>
      <c r="E579" s="101">
        <f>D579/Valuation!O5</f>
        <v>6.2072133409387336</v>
      </c>
      <c r="F579" s="5"/>
      <c r="G579" s="5"/>
      <c r="H579" s="5"/>
      <c r="I579" s="5"/>
    </row>
    <row r="580" spans="3:13" ht="15.75">
      <c r="C580" s="5" t="s">
        <v>983</v>
      </c>
      <c r="D580" s="113">
        <f>D566*(E542+E543)</f>
        <v>917.99178912502737</v>
      </c>
      <c r="E580" s="101">
        <f>D580/572</f>
        <v>1.6048807502185793</v>
      </c>
      <c r="F580" s="5"/>
      <c r="G580" s="5"/>
      <c r="H580" s="5"/>
      <c r="I580" s="5"/>
    </row>
    <row r="581" spans="3:13" ht="15.75">
      <c r="C581" s="5"/>
      <c r="D581" s="96"/>
      <c r="E581" s="96"/>
      <c r="F581" s="5"/>
      <c r="G581" s="5"/>
      <c r="H581" s="5"/>
      <c r="I581" s="5"/>
    </row>
    <row r="582" spans="3:13" ht="15.75">
      <c r="C582" s="10" t="s">
        <v>984</v>
      </c>
      <c r="D582" s="96"/>
      <c r="E582" s="96"/>
      <c r="F582" s="5"/>
      <c r="G582" s="5"/>
      <c r="H582" s="5"/>
      <c r="I582" s="5"/>
    </row>
    <row r="583" spans="3:13" ht="15.75">
      <c r="C583" s="922" t="s">
        <v>11</v>
      </c>
      <c r="D583" s="923"/>
      <c r="E583" s="932">
        <f t="shared" ref="E583:M583" si="49">E506</f>
        <v>2022</v>
      </c>
      <c r="F583" s="932">
        <f t="shared" si="49"/>
        <v>2023</v>
      </c>
      <c r="G583" s="932">
        <f t="shared" si="49"/>
        <v>2024</v>
      </c>
      <c r="H583" s="932">
        <f t="shared" si="49"/>
        <v>2025</v>
      </c>
      <c r="I583" s="932">
        <f t="shared" si="49"/>
        <v>2026</v>
      </c>
      <c r="J583" s="932">
        <f t="shared" si="49"/>
        <v>2027</v>
      </c>
      <c r="K583" s="932">
        <f t="shared" si="49"/>
        <v>2028</v>
      </c>
      <c r="L583" s="932">
        <f t="shared" si="49"/>
        <v>2029</v>
      </c>
      <c r="M583" s="932">
        <f t="shared" si="49"/>
        <v>2030</v>
      </c>
    </row>
    <row r="584" spans="3:13" ht="15.75">
      <c r="C584" s="5" t="str">
        <f>C507</f>
        <v>Revenue</v>
      </c>
      <c r="D584" s="94"/>
      <c r="E584" s="113">
        <f>E507+Master!V8</f>
        <v>75567.35500000001</v>
      </c>
      <c r="F584" s="113">
        <f>F507+Master!X8</f>
        <v>81978.824999999997</v>
      </c>
      <c r="G584" s="113">
        <f>G507+Master!Y8</f>
        <v>85796.136425000004</v>
      </c>
      <c r="H584" s="113">
        <f>H507+Master!Z8</f>
        <v>90109.918565625005</v>
      </c>
      <c r="I584" s="113">
        <f>I507+Master!AA8</f>
        <v>94113.91783047971</v>
      </c>
      <c r="J584" s="113">
        <f>J507+Master!AB8</f>
        <v>98111.850197004096</v>
      </c>
      <c r="K584" s="113">
        <f>K507+Master!AC8</f>
        <v>102061.3013414374</v>
      </c>
      <c r="L584" s="113">
        <f>L507+Master!AD8</f>
        <v>105826.8720896954</v>
      </c>
      <c r="M584" s="113">
        <f>M507+Master!AJ8</f>
        <v>60430.414764921647</v>
      </c>
    </row>
    <row r="585" spans="3:13" ht="15.75">
      <c r="C585" s="5" t="str">
        <f>C508</f>
        <v>EBITDA</v>
      </c>
      <c r="D585" s="94"/>
      <c r="E585" s="113">
        <f>E508+Master!V13</f>
        <v>32671.817999999999</v>
      </c>
      <c r="F585" s="113">
        <f>F508+Master!X13</f>
        <v>33375.991225499994</v>
      </c>
      <c r="G585" s="113">
        <f>G508+Master!Y13</f>
        <v>35100.459254712499</v>
      </c>
      <c r="H585" s="113">
        <f>H508+Master!Z13</f>
        <v>36909.85946499469</v>
      </c>
      <c r="I585" s="113">
        <f>I508+Master!AA13</f>
        <v>38969.21100748657</v>
      </c>
      <c r="J585" s="113">
        <f>J508+Master!AB13</f>
        <v>41058.679518245473</v>
      </c>
      <c r="K585" s="113">
        <f>K508+Master!AC13</f>
        <v>42978.914932622065</v>
      </c>
      <c r="L585" s="113">
        <f>L508+Master!AD13</f>
        <v>44812.254423937557</v>
      </c>
      <c r="M585" s="113">
        <f>M508+Master!AJ13</f>
        <v>22812.534836833765</v>
      </c>
    </row>
    <row r="586" spans="3:13" ht="15.75">
      <c r="C586" s="5" t="s">
        <v>45</v>
      </c>
      <c r="D586" s="94"/>
      <c r="E586" s="126">
        <f>E585/E584</f>
        <v>0.4323536003079636</v>
      </c>
      <c r="F586" s="126">
        <f t="shared" ref="F586:M586" si="50">F585/F584</f>
        <v>0.40712941696224597</v>
      </c>
      <c r="G586" s="126">
        <f t="shared" si="50"/>
        <v>0.40911468414893132</v>
      </c>
      <c r="H586" s="126">
        <f t="shared" si="50"/>
        <v>0.40960928666375473</v>
      </c>
      <c r="I586" s="126">
        <f t="shared" si="50"/>
        <v>0.41406427344443214</v>
      </c>
      <c r="J586" s="126">
        <f t="shared" si="50"/>
        <v>0.4184884846815296</v>
      </c>
      <c r="K586" s="126">
        <f t="shared" si="50"/>
        <v>0.4211088274177473</v>
      </c>
      <c r="L586" s="126">
        <f t="shared" si="50"/>
        <v>0.42344872846620801</v>
      </c>
      <c r="M586" s="126">
        <f t="shared" si="50"/>
        <v>0.37750088139517246</v>
      </c>
    </row>
    <row r="587" spans="3:13" ht="15.75">
      <c r="C587" s="5" t="str">
        <f>C509</f>
        <v>Capex</v>
      </c>
      <c r="D587" s="94"/>
      <c r="E587" s="113">
        <f>E509+Master!V45</f>
        <v>24825.048999999999</v>
      </c>
      <c r="F587" s="113">
        <f>F509+Master!X45</f>
        <v>21396.044825000001</v>
      </c>
      <c r="G587" s="113">
        <f>G509+Master!Y45</f>
        <v>20268.0058135</v>
      </c>
      <c r="H587" s="113">
        <f>H509+Master!Z45</f>
        <v>21074.922857537502</v>
      </c>
      <c r="I587" s="113">
        <f>I509+Master!AA45</f>
        <v>21526.434464705533</v>
      </c>
      <c r="J587" s="113">
        <f>J509+Master!AB45</f>
        <v>22019.359050787003</v>
      </c>
      <c r="K587" s="113">
        <f>K509+Master!AC45</f>
        <v>22453.486295116229</v>
      </c>
      <c r="L587" s="113">
        <f>L509+Master!AD45</f>
        <v>22807.51086362786</v>
      </c>
      <c r="M587" s="113">
        <f>M509+Master!AJ45</f>
        <v>13294.668093509918</v>
      </c>
    </row>
    <row r="588" spans="3:13" ht="15.75">
      <c r="C588" s="5" t="s">
        <v>148</v>
      </c>
      <c r="D588" s="94"/>
      <c r="E588" s="115">
        <f>E587/E584</f>
        <v>0.32851552102094872</v>
      </c>
      <c r="F588" s="115">
        <f t="shared" ref="F588:M588" si="51">F587/F584</f>
        <v>0.26099477304047725</v>
      </c>
      <c r="G588" s="115">
        <f t="shared" si="51"/>
        <v>0.2362344816216472</v>
      </c>
      <c r="H588" s="115">
        <f t="shared" si="51"/>
        <v>0.23388016761095079</v>
      </c>
      <c r="I588" s="115">
        <f t="shared" si="51"/>
        <v>0.22872742906611829</v>
      </c>
      <c r="J588" s="115">
        <f t="shared" si="51"/>
        <v>0.22443118753313834</v>
      </c>
      <c r="K588" s="115">
        <f t="shared" si="51"/>
        <v>0.22</v>
      </c>
      <c r="L588" s="115">
        <f t="shared" si="51"/>
        <v>0.21551719722280896</v>
      </c>
      <c r="M588" s="115">
        <f t="shared" si="51"/>
        <v>0.21999961683577823</v>
      </c>
    </row>
    <row r="589" spans="3:13" ht="15.75">
      <c r="C589" s="5" t="str">
        <f>C510</f>
        <v>OpFCF</v>
      </c>
      <c r="D589" s="94"/>
      <c r="E589" s="113">
        <f t="shared" ref="E589:M589" si="52">E585-E587</f>
        <v>7846.7690000000002</v>
      </c>
      <c r="F589" s="113">
        <f t="shared" si="52"/>
        <v>11979.946400499994</v>
      </c>
      <c r="G589" s="113">
        <f t="shared" si="52"/>
        <v>14832.453441212499</v>
      </c>
      <c r="H589" s="113">
        <f t="shared" si="52"/>
        <v>15834.936607457188</v>
      </c>
      <c r="I589" s="113">
        <f t="shared" si="52"/>
        <v>17442.776542781037</v>
      </c>
      <c r="J589" s="113">
        <f t="shared" si="52"/>
        <v>19039.32046745847</v>
      </c>
      <c r="K589" s="113">
        <f t="shared" si="52"/>
        <v>20525.428637505836</v>
      </c>
      <c r="L589" s="113">
        <f t="shared" si="52"/>
        <v>22004.743560309696</v>
      </c>
      <c r="M589" s="113">
        <f t="shared" si="52"/>
        <v>9517.8667433238479</v>
      </c>
    </row>
    <row r="590" spans="3:13" ht="15.75">
      <c r="C590" s="5"/>
      <c r="D590" s="94"/>
      <c r="E590" s="113"/>
      <c r="F590" s="113"/>
      <c r="G590" s="113"/>
      <c r="H590" s="113"/>
      <c r="I590" s="113"/>
      <c r="J590" s="113"/>
      <c r="K590" s="113"/>
      <c r="L590" s="113"/>
      <c r="M590" s="113"/>
    </row>
    <row r="591" spans="3:13" ht="15.75">
      <c r="C591" s="5" t="s">
        <v>24</v>
      </c>
      <c r="D591" s="94"/>
      <c r="E591" s="113">
        <f>Valuation!O11+$D$530+E535-E512</f>
        <v>52864.722280000002</v>
      </c>
      <c r="F591" s="113">
        <f>Valuation!Q11+$D$530+F535-F512</f>
        <v>59038.137031639999</v>
      </c>
      <c r="G591" s="113">
        <f>Valuation!R11+$D$530+G535-G512</f>
        <v>55305.901793967001</v>
      </c>
      <c r="H591" s="113">
        <f>Valuation!S11+$D$530+H535-H512</f>
        <v>51525.743358629879</v>
      </c>
      <c r="I591" s="113">
        <f>Valuation!T11+$D$530+I535-I512</f>
        <v>47345.979751779931</v>
      </c>
      <c r="J591" s="113">
        <f>Valuation!U11+$D$530+J535-J512</f>
        <v>29639.060004477156</v>
      </c>
      <c r="K591" s="113">
        <f>Valuation!V11+$D$530+K535-K512</f>
        <v>21746.706291497998</v>
      </c>
      <c r="L591" s="113">
        <f>Valuation!W11+$D$530+L535-L512</f>
        <v>13231.092854901595</v>
      </c>
      <c r="M591" s="113">
        <f>Valuation!AC11+$D$530+M535-M512</f>
        <v>-9384.1357707168208</v>
      </c>
    </row>
    <row r="592" spans="3:13" ht="15.75">
      <c r="C592" s="5" t="s">
        <v>985</v>
      </c>
      <c r="D592" s="156"/>
      <c r="E592" s="158">
        <f t="shared" ref="E592:M592" si="53">E591/E585</f>
        <v>1.6180526678986766</v>
      </c>
      <c r="F592" s="158">
        <f t="shared" si="53"/>
        <v>1.7688804096560751</v>
      </c>
      <c r="G592" s="158">
        <f t="shared" si="53"/>
        <v>1.5756461017398731</v>
      </c>
      <c r="H592" s="158">
        <f t="shared" si="53"/>
        <v>1.3959886086127447</v>
      </c>
      <c r="I592" s="158">
        <f t="shared" si="53"/>
        <v>1.2149586437016664</v>
      </c>
      <c r="J592" s="158">
        <f t="shared" si="53"/>
        <v>0.72187075551970159</v>
      </c>
      <c r="K592" s="158">
        <f t="shared" si="53"/>
        <v>0.50598546579387249</v>
      </c>
      <c r="L592" s="158">
        <f t="shared" si="53"/>
        <v>0.29525613082822016</v>
      </c>
      <c r="M592" s="158">
        <f t="shared" si="53"/>
        <v>-0.41135874806709027</v>
      </c>
    </row>
    <row r="594" spans="3:11">
      <c r="C594" t="s">
        <v>986</v>
      </c>
      <c r="D594"/>
      <c r="E594"/>
    </row>
    <row r="595" spans="3:11" ht="15.75">
      <c r="C595" s="922" t="s">
        <v>902</v>
      </c>
      <c r="D595" s="947"/>
      <c r="E595" s="922">
        <v>2022</v>
      </c>
      <c r="F595" s="922">
        <v>2023</v>
      </c>
      <c r="G595" s="922">
        <f>F595+1</f>
        <v>2024</v>
      </c>
      <c r="H595" s="922">
        <f>G595+1</f>
        <v>2025</v>
      </c>
      <c r="I595" s="922">
        <f>H595+1</f>
        <v>2026</v>
      </c>
    </row>
    <row r="596" spans="3:11" ht="15.75">
      <c r="C596" s="185" t="s">
        <v>43</v>
      </c>
      <c r="D596" s="203"/>
      <c r="E596" s="188">
        <f>Master!V8</f>
        <v>27155.555</v>
      </c>
      <c r="F596" s="188">
        <f>Master!W8</f>
        <v>29870.54</v>
      </c>
      <c r="G596" s="188">
        <f>Master!X8</f>
        <v>32840.847999999998</v>
      </c>
      <c r="H596" s="188">
        <f>Master!Y8</f>
        <v>35429.71</v>
      </c>
      <c r="I596" s="188">
        <f>Master!Z8</f>
        <v>38484.331480000008</v>
      </c>
    </row>
    <row r="597" spans="3:11" ht="15.75">
      <c r="C597" t="s">
        <v>328</v>
      </c>
      <c r="E597" s="7">
        <f>Master!V9</f>
        <v>0.10236076154907847</v>
      </c>
      <c r="F597" s="7">
        <f>Master!W9</f>
        <v>9.9978991407098761E-2</v>
      </c>
      <c r="G597" s="7">
        <f>Master!X9</f>
        <v>9.9439380741024319E-2</v>
      </c>
      <c r="H597" s="7">
        <f>Master!Y9</f>
        <v>7.8830546641182941E-2</v>
      </c>
      <c r="I597" s="7">
        <f>Master!Z9</f>
        <v>8.6216383933145568E-2</v>
      </c>
    </row>
    <row r="598" spans="3:11" ht="15.75">
      <c r="C598" s="185" t="s">
        <v>987</v>
      </c>
      <c r="D598" s="203"/>
      <c r="E598" s="188">
        <f>Master!V45</f>
        <v>11836</v>
      </c>
      <c r="F598" s="188">
        <f>Master!W45</f>
        <v>12949</v>
      </c>
      <c r="G598" s="188">
        <f>Master!X45</f>
        <v>10340</v>
      </c>
      <c r="H598" s="188">
        <f>Master!Y45</f>
        <v>9187.3919999999998</v>
      </c>
      <c r="I598" s="188">
        <f>Master!Z45</f>
        <v>9717.293698700003</v>
      </c>
    </row>
    <row r="599" spans="3:11" ht="15.75">
      <c r="C599" t="s">
        <v>148</v>
      </c>
      <c r="E599" s="3">
        <f>E598/E596</f>
        <v>0.4358592560527671</v>
      </c>
      <c r="F599" s="3">
        <f>F598/F596</f>
        <v>0.43350404780094365</v>
      </c>
      <c r="G599" s="3">
        <f>G598/G596</f>
        <v>0.31485179676237351</v>
      </c>
      <c r="H599" s="3">
        <f>H598/H596</f>
        <v>0.25931321481321751</v>
      </c>
      <c r="I599" s="3">
        <f>I598/I596</f>
        <v>0.2525</v>
      </c>
    </row>
    <row r="600" spans="3:11" ht="15.75">
      <c r="C600" s="185"/>
      <c r="D600" s="203"/>
      <c r="E600" s="204"/>
      <c r="F600" s="204"/>
      <c r="G600" s="204"/>
      <c r="H600" s="204"/>
      <c r="I600" s="204"/>
    </row>
    <row r="601" spans="3:11" ht="15.75">
      <c r="C601" t="s">
        <v>988</v>
      </c>
      <c r="E601" s="3"/>
      <c r="F601" s="7">
        <f>F597</f>
        <v>9.9978991407098761E-2</v>
      </c>
      <c r="G601" s="7">
        <v>0.02</v>
      </c>
      <c r="H601" s="7">
        <v>0.02</v>
      </c>
      <c r="I601" s="7">
        <v>0.02</v>
      </c>
    </row>
    <row r="602" spans="3:11" ht="15.75">
      <c r="C602" s="185" t="s">
        <v>989</v>
      </c>
      <c r="D602" s="203"/>
      <c r="E602" s="204"/>
      <c r="F602" s="188">
        <f>F596</f>
        <v>29870.54</v>
      </c>
      <c r="G602" s="188">
        <f>(1+G601)*F602</f>
        <v>30467.950800000002</v>
      </c>
      <c r="H602" s="188">
        <f>(1+H601)*G602</f>
        <v>31077.309816000005</v>
      </c>
      <c r="I602" s="188">
        <f>(1+I601)*H602</f>
        <v>31698.856012320004</v>
      </c>
    </row>
    <row r="603" spans="3:11" ht="15.75">
      <c r="C603" t="s">
        <v>990</v>
      </c>
      <c r="E603" s="3">
        <v>0.22500000000000001</v>
      </c>
      <c r="F603" s="3">
        <v>0.22500000000000001</v>
      </c>
      <c r="G603" s="3">
        <v>0.22500000000000001</v>
      </c>
      <c r="H603" s="3">
        <v>0.22500000000000001</v>
      </c>
      <c r="I603" s="3">
        <v>0.22500000000000001</v>
      </c>
    </row>
    <row r="604" spans="3:11" ht="15.75">
      <c r="C604" s="185" t="s">
        <v>991</v>
      </c>
      <c r="D604" s="203"/>
      <c r="E604" s="188">
        <f>E603*E596</f>
        <v>6109.9998750000004</v>
      </c>
      <c r="F604" s="188">
        <f>F603*F602</f>
        <v>6720.8715000000002</v>
      </c>
      <c r="G604" s="188">
        <f>G603*G602</f>
        <v>6855.2889300000006</v>
      </c>
      <c r="H604" s="188">
        <f>H603*H602</f>
        <v>6992.3947086000007</v>
      </c>
      <c r="I604" s="188">
        <f>I603*I602</f>
        <v>7132.2426027720012</v>
      </c>
    </row>
    <row r="606" spans="3:11" ht="15.75">
      <c r="C606" s="185" t="s">
        <v>992</v>
      </c>
      <c r="D606" s="203"/>
      <c r="E606" s="203"/>
      <c r="F606" s="188">
        <f>F598-F604</f>
        <v>6228.1284999999998</v>
      </c>
      <c r="G606" s="188">
        <f>G598-G604</f>
        <v>3484.7110699999994</v>
      </c>
      <c r="H606" s="188">
        <f>H598-H604</f>
        <v>2194.9972913999991</v>
      </c>
      <c r="I606" s="188">
        <f>I598-I604</f>
        <v>2585.0510959280018</v>
      </c>
      <c r="K606" t="s">
        <v>993</v>
      </c>
    </row>
    <row r="607" spans="3:11" ht="15.75">
      <c r="C607" t="s">
        <v>994</v>
      </c>
      <c r="F607" s="4">
        <f>F606*0.72</f>
        <v>4484.25252</v>
      </c>
      <c r="G607" s="4">
        <f>G606*0.72</f>
        <v>2508.9919703999994</v>
      </c>
      <c r="H607" s="4">
        <f>H606*0.72</f>
        <v>1580.3980498079993</v>
      </c>
      <c r="I607" s="4">
        <f>I606*0.72</f>
        <v>1861.2367890681612</v>
      </c>
    </row>
    <row r="608" spans="3:11" ht="16.5" thickBot="1">
      <c r="C608" s="185" t="s">
        <v>995</v>
      </c>
      <c r="D608" s="203"/>
      <c r="E608" s="203"/>
      <c r="F608" s="188">
        <f>NPV(10%,F607:I607)</f>
        <v>8608.7664996659787</v>
      </c>
      <c r="G608" s="185"/>
      <c r="H608" s="185"/>
      <c r="I608" s="185"/>
    </row>
    <row r="609" spans="3:11" ht="15.75" thickBot="1">
      <c r="C609" s="205" t="s">
        <v>996</v>
      </c>
      <c r="D609" s="206"/>
      <c r="E609" s="206"/>
      <c r="F609" s="207">
        <f>F608/20</f>
        <v>430.43832498329891</v>
      </c>
    </row>
    <row r="611" spans="3:11" ht="15.75">
      <c r="C611" s="934" t="s">
        <v>363</v>
      </c>
      <c r="D611" s="922">
        <v>2023</v>
      </c>
      <c r="E611" s="922">
        <f>D611+1</f>
        <v>2024</v>
      </c>
      <c r="F611" s="922">
        <f t="shared" ref="F611:K611" si="54">E611+1</f>
        <v>2025</v>
      </c>
      <c r="G611" s="922">
        <f t="shared" si="54"/>
        <v>2026</v>
      </c>
      <c r="H611" s="922">
        <f t="shared" si="54"/>
        <v>2027</v>
      </c>
      <c r="I611" s="922">
        <f t="shared" si="54"/>
        <v>2028</v>
      </c>
      <c r="J611" s="922">
        <f t="shared" si="54"/>
        <v>2029</v>
      </c>
      <c r="K611" s="922">
        <f t="shared" si="54"/>
        <v>2030</v>
      </c>
    </row>
    <row r="612" spans="3:11">
      <c r="C612" t="s">
        <v>122</v>
      </c>
      <c r="D612" s="66">
        <f>Master!W14</f>
        <v>0.44592407770331571</v>
      </c>
      <c r="E612" s="66">
        <f>Master!X14</f>
        <v>0.44547732141386848</v>
      </c>
      <c r="F612" s="66">
        <f>Master!Y14</f>
        <v>0.44979295625055921</v>
      </c>
      <c r="G612" s="66">
        <f>Master!Z14</f>
        <v>0.45000000000000007</v>
      </c>
      <c r="H612" s="66">
        <f>Master!AA14</f>
        <v>0.46000000000000008</v>
      </c>
      <c r="I612" s="66">
        <f>Master!AB14</f>
        <v>0.47</v>
      </c>
      <c r="J612" s="66">
        <f>Master!AC14</f>
        <v>0.47499999999999998</v>
      </c>
      <c r="K612" s="66">
        <f>Master!AD14</f>
        <v>0.48</v>
      </c>
    </row>
    <row r="613" spans="3:11">
      <c r="C613" s="919" t="s">
        <v>36</v>
      </c>
      <c r="D613" s="948">
        <f>F508/F507</f>
        <v>0.38150000000000001</v>
      </c>
      <c r="E613" s="948">
        <f t="shared" ref="E613:K613" si="55">G508/G507</f>
        <v>0.3805</v>
      </c>
      <c r="F613" s="948">
        <f t="shared" si="55"/>
        <v>0.3795</v>
      </c>
      <c r="G613" s="948">
        <f t="shared" si="55"/>
        <v>0.3785</v>
      </c>
      <c r="H613" s="948">
        <f t="shared" si="55"/>
        <v>0.3775</v>
      </c>
      <c r="I613" s="948">
        <f t="shared" si="55"/>
        <v>0.3775</v>
      </c>
      <c r="J613" s="948">
        <f t="shared" si="55"/>
        <v>0.3775</v>
      </c>
      <c r="K613" s="948">
        <f t="shared" si="55"/>
        <v>0.3775</v>
      </c>
    </row>
    <row r="614" spans="3:11">
      <c r="C614" t="s">
        <v>997</v>
      </c>
      <c r="D614" s="66">
        <f>'PF model'!E15</f>
        <v>0.42243535877910476</v>
      </c>
      <c r="E614" s="66">
        <f>'PF model'!F15</f>
        <v>0.42707395804223747</v>
      </c>
      <c r="F614" s="66">
        <f>'PF model'!G15</f>
        <v>0.44959373086232957</v>
      </c>
      <c r="G614" s="66">
        <f>'PF model'!H15</f>
        <v>0.47330599763641779</v>
      </c>
      <c r="H614" s="66">
        <f>'PF model'!I15</f>
        <v>0.47430599763641779</v>
      </c>
      <c r="I614" s="66">
        <f>'PF model'!J15</f>
        <v>0.47530599763641779</v>
      </c>
      <c r="J614" s="66">
        <f>'PF model'!K15</f>
        <v>0.47630599763641779</v>
      </c>
      <c r="K614" s="66">
        <f>'PF model'!L15</f>
        <v>0.47730599763641779</v>
      </c>
    </row>
    <row r="616" spans="3:11" ht="15.75">
      <c r="C616" s="934" t="s">
        <v>798</v>
      </c>
      <c r="D616" s="922">
        <v>2023</v>
      </c>
      <c r="E616" s="922">
        <f>D616+1</f>
        <v>2024</v>
      </c>
      <c r="F616" s="922">
        <f t="shared" ref="F616:K616" si="56">E616+1</f>
        <v>2025</v>
      </c>
      <c r="G616" s="922">
        <f t="shared" si="56"/>
        <v>2026</v>
      </c>
      <c r="H616" s="922">
        <f t="shared" si="56"/>
        <v>2027</v>
      </c>
      <c r="I616" s="922">
        <f t="shared" si="56"/>
        <v>2028</v>
      </c>
      <c r="J616" s="922">
        <f t="shared" si="56"/>
        <v>2029</v>
      </c>
      <c r="K616" s="922">
        <f t="shared" si="56"/>
        <v>2030</v>
      </c>
    </row>
    <row r="617" spans="3:11">
      <c r="C617" t="s">
        <v>122</v>
      </c>
      <c r="D617" s="66">
        <f>Master!W46</f>
        <v>0.43350404780094365</v>
      </c>
      <c r="E617" s="66">
        <f>Master!X46</f>
        <v>0.31485179676237351</v>
      </c>
      <c r="F617" s="66">
        <f>Master!Y46</f>
        <v>0.25931321481321751</v>
      </c>
      <c r="G617" s="66">
        <f>Master!Z46</f>
        <v>0.2525</v>
      </c>
      <c r="H617" s="66">
        <f>Master!AA46</f>
        <v>0.24</v>
      </c>
      <c r="I617" s="66">
        <f>Master!AB46</f>
        <v>0.23</v>
      </c>
      <c r="J617" s="66">
        <f>Master!AC46</f>
        <v>0.21999999999999997</v>
      </c>
      <c r="K617" s="66">
        <f>Master!AD46</f>
        <v>0.20999999999999996</v>
      </c>
    </row>
    <row r="618" spans="3:11">
      <c r="C618" s="919" t="s">
        <v>36</v>
      </c>
      <c r="D618" s="948">
        <f>F509/F507</f>
        <v>0.22500000000000003</v>
      </c>
      <c r="E618" s="948">
        <f t="shared" ref="E618:K618" si="57">G509/G507</f>
        <v>0.22</v>
      </c>
      <c r="F618" s="948">
        <f t="shared" si="57"/>
        <v>0.22</v>
      </c>
      <c r="G618" s="948">
        <f t="shared" si="57"/>
        <v>0.22</v>
      </c>
      <c r="H618" s="948">
        <f t="shared" si="57"/>
        <v>0.22</v>
      </c>
      <c r="I618" s="948">
        <f t="shared" si="57"/>
        <v>0.22</v>
      </c>
      <c r="J618" s="948">
        <f t="shared" si="57"/>
        <v>0.22</v>
      </c>
      <c r="K618" s="948">
        <f t="shared" si="57"/>
        <v>0.22</v>
      </c>
    </row>
    <row r="619" spans="3:11">
      <c r="C619" t="s">
        <v>997</v>
      </c>
      <c r="D619" s="66">
        <f>'PF model'!E21</f>
        <v>0.30382857110202438</v>
      </c>
      <c r="E619" s="66">
        <f>'PF model'!F21</f>
        <v>0.25</v>
      </c>
      <c r="F619" s="66">
        <f>'PF model'!G21</f>
        <v>0.23</v>
      </c>
      <c r="G619" s="66">
        <f>'PF model'!H21</f>
        <v>0.22</v>
      </c>
      <c r="H619" s="66">
        <f>'PF model'!I21</f>
        <v>0.22</v>
      </c>
      <c r="I619" s="66">
        <f>'PF model'!J21</f>
        <v>0.22</v>
      </c>
      <c r="J619" s="66">
        <f>'PF model'!K21</f>
        <v>0.21</v>
      </c>
      <c r="K619" s="66">
        <f>'PF model'!L21</f>
        <v>0.2</v>
      </c>
    </row>
    <row r="656" spans="3:6">
      <c r="C656" t="s">
        <v>998</v>
      </c>
      <c r="D656" s="92">
        <v>39.47</v>
      </c>
      <c r="E656" s="91">
        <f>D658/D656-1</f>
        <v>0.87484165188750951</v>
      </c>
      <c r="F656" s="91">
        <f>D659/D656-1</f>
        <v>0.38501815725023225</v>
      </c>
    </row>
    <row r="657" spans="2:23">
      <c r="C657" t="s">
        <v>999</v>
      </c>
      <c r="D657" s="90">
        <v>45</v>
      </c>
    </row>
    <row r="658" spans="2:23">
      <c r="C658" t="s">
        <v>1000</v>
      </c>
      <c r="D658" s="90">
        <v>74</v>
      </c>
      <c r="E658" s="90">
        <f>D658-D657</f>
        <v>29</v>
      </c>
    </row>
    <row r="659" spans="2:23">
      <c r="C659" t="s">
        <v>1001</v>
      </c>
      <c r="D659" s="92">
        <f>E658/3+D657</f>
        <v>54.666666666666664</v>
      </c>
    </row>
    <row r="662" spans="2:23">
      <c r="C662" t="s">
        <v>998</v>
      </c>
      <c r="D662" s="105">
        <v>2.6</v>
      </c>
      <c r="E662" s="91">
        <f>D664/D662-1</f>
        <v>0.88461538461538458</v>
      </c>
      <c r="F662" s="91">
        <f>D665/D662-1</f>
        <v>0.42307692307692313</v>
      </c>
    </row>
    <row r="663" spans="2:23">
      <c r="C663" t="s">
        <v>999</v>
      </c>
      <c r="D663" s="90">
        <v>3.1</v>
      </c>
    </row>
    <row r="664" spans="2:23">
      <c r="C664" t="s">
        <v>1000</v>
      </c>
      <c r="D664" s="90">
        <v>4.9000000000000004</v>
      </c>
      <c r="E664" s="90">
        <f>D664-D663</f>
        <v>1.8000000000000003</v>
      </c>
    </row>
    <row r="665" spans="2:23">
      <c r="C665" t="s">
        <v>1001</v>
      </c>
      <c r="D665" s="105">
        <f>E664/3+D663</f>
        <v>3.7</v>
      </c>
    </row>
    <row r="669" spans="2:23">
      <c r="C669" s="919"/>
      <c r="D669" s="920" t="str">
        <f>Quarts!AZ4</f>
        <v>1Q21</v>
      </c>
      <c r="E669" s="920" t="str">
        <f>Quarts!BA4</f>
        <v>2Q21</v>
      </c>
      <c r="F669" s="920" t="str">
        <f>Quarts!BB4</f>
        <v>3Q21</v>
      </c>
      <c r="G669" s="920" t="str">
        <f>Quarts!BC4</f>
        <v>4Q21</v>
      </c>
      <c r="H669" s="920" t="str">
        <f>Quarts!BD4</f>
        <v>1Q22</v>
      </c>
      <c r="I669" s="920" t="str">
        <f>Quarts!BE4</f>
        <v>2Q22</v>
      </c>
      <c r="J669" s="920" t="str">
        <f>Quarts!BF4</f>
        <v>3Q22</v>
      </c>
      <c r="K669" s="920" t="str">
        <f>Quarts!BG4</f>
        <v>4Q22</v>
      </c>
      <c r="L669" s="920" t="str">
        <f>Quarts!BH4</f>
        <v>1Q23</v>
      </c>
      <c r="M669" s="920" t="str">
        <f>Quarts!BI4</f>
        <v>2Q23</v>
      </c>
      <c r="N669" s="920" t="str">
        <f>Quarts!BJ4</f>
        <v>3Q23</v>
      </c>
      <c r="O669" s="920" t="str">
        <f>Quarts!BK4</f>
        <v>4Q23</v>
      </c>
      <c r="P669" s="920" t="str">
        <f>Quarts!BL4</f>
        <v>1Q24</v>
      </c>
      <c r="Q669" s="920" t="str">
        <f>Quarts!BM4</f>
        <v>2Q24</v>
      </c>
      <c r="R669" s="920" t="str">
        <f>Quarts!BN4</f>
        <v>3Q24</v>
      </c>
      <c r="S669" s="920" t="str">
        <f>Quarts!BO4</f>
        <v>4Q24</v>
      </c>
      <c r="T669" s="920" t="str">
        <f>Quarts!BP4</f>
        <v>1Q25</v>
      </c>
      <c r="U669" s="920" t="str">
        <f>Quarts!BQ4</f>
        <v>2Q25</v>
      </c>
      <c r="V669" s="920" t="str">
        <f>Quarts!BR4</f>
        <v>3Q25</v>
      </c>
      <c r="W669" s="920" t="str">
        <f>Quarts!BS4</f>
        <v>4Q25</v>
      </c>
    </row>
    <row r="670" spans="2:23">
      <c r="C670" t="s">
        <v>320</v>
      </c>
      <c r="D670" s="119">
        <f>Quarts!AZ9</f>
        <v>51.765999999999622</v>
      </c>
      <c r="E670" s="119">
        <f>Quarts!BA9</f>
        <v>89.777000000000044</v>
      </c>
      <c r="F670" s="119">
        <f>Quarts!BB9</f>
        <v>9.5</v>
      </c>
      <c r="G670" s="119">
        <f>Quarts!BC9</f>
        <v>276.47400000000016</v>
      </c>
      <c r="H670" s="119">
        <f>Quarts!BD9</f>
        <v>117.70499999999993</v>
      </c>
      <c r="I670" s="119">
        <f>Quarts!BE9</f>
        <v>428.20499999999993</v>
      </c>
      <c r="J670" s="119">
        <f>Quarts!BF9</f>
        <v>451.98799999999937</v>
      </c>
      <c r="K670" s="119">
        <f>Quarts!BG9</f>
        <v>993.72000000000116</v>
      </c>
      <c r="L670" s="119">
        <f>Quarts!BH9</f>
        <v>927.35999999999876</v>
      </c>
      <c r="M670" s="119">
        <f>Quarts!BI9</f>
        <v>963.12200000000121</v>
      </c>
      <c r="N670" s="119">
        <f>Quarts!BJ9</f>
        <v>1101.8979999999992</v>
      </c>
      <c r="O670" s="119">
        <f>Quarts!BK9</f>
        <v>885.30899999999929</v>
      </c>
      <c r="P670" s="119">
        <f>Quarts!BL9</f>
        <v>513.51100000000042</v>
      </c>
      <c r="Q670" s="119">
        <f>Quarts!BM9</f>
        <v>557.22700000000077</v>
      </c>
      <c r="R670" s="119">
        <f>Quarts!BN9</f>
        <v>489.48999999999796</v>
      </c>
      <c r="S670" s="119">
        <f>Quarts!BO9</f>
        <v>431.25</v>
      </c>
      <c r="T670" s="119">
        <f>Quarts!BP9</f>
        <v>142.48400000000038</v>
      </c>
      <c r="U670" s="119">
        <f>Quarts!BQ9</f>
        <v>538.5460000000021</v>
      </c>
      <c r="V670" s="119">
        <f>Quarts!BR9</f>
        <v>597.06999999999971</v>
      </c>
      <c r="W670" s="119">
        <f>Quarts!BS9</f>
        <v>538.80099999999948</v>
      </c>
    </row>
    <row r="671" spans="2:23">
      <c r="C671" t="s">
        <v>1002</v>
      </c>
      <c r="D671" s="119">
        <f>Quarts!AZ20</f>
        <v>79.415999999999713</v>
      </c>
      <c r="E671" s="119">
        <f>Quarts!BA20</f>
        <v>58.160000000000309</v>
      </c>
      <c r="F671" s="119">
        <f>Quarts!BB20</f>
        <v>105.01199999999972</v>
      </c>
      <c r="G671" s="119">
        <f>Quarts!BC20</f>
        <v>80.981000000000222</v>
      </c>
      <c r="H671" s="119">
        <f>Quarts!BD20</f>
        <v>59.403999999999996</v>
      </c>
      <c r="I671" s="119">
        <f>Quarts!BE20</f>
        <v>19.177999999999884</v>
      </c>
      <c r="J671" s="119">
        <f>Quarts!BF20</f>
        <v>100.65700000000015</v>
      </c>
      <c r="K671" s="119">
        <f>Quarts!BG20</f>
        <v>124.72799999999961</v>
      </c>
      <c r="L671" s="119">
        <f>Quarts!BH20</f>
        <v>147.30500000000029</v>
      </c>
      <c r="M671" s="119">
        <f>Quarts!BI20</f>
        <v>163.3119999999999</v>
      </c>
      <c r="N671" s="119">
        <f>Quarts!BJ20</f>
        <v>117.12700000000041</v>
      </c>
      <c r="O671" s="119">
        <f>Quarts!BK20</f>
        <v>155.94799999999941</v>
      </c>
      <c r="P671" s="119">
        <f>Quarts!BL20</f>
        <v>151.32999999999993</v>
      </c>
      <c r="Q671" s="119">
        <f>Quarts!BM20</f>
        <v>90.765000000000327</v>
      </c>
      <c r="R671" s="119">
        <f>Quarts!BN20</f>
        <v>181.80000000000018</v>
      </c>
      <c r="S671" s="119">
        <f>Quarts!BO20</f>
        <v>166.5029999999997</v>
      </c>
      <c r="T671" s="119">
        <f>Quarts!BP20</f>
        <v>100.15099999999984</v>
      </c>
      <c r="U671" s="119">
        <f>Quarts!BQ20</f>
        <v>132.44500000000062</v>
      </c>
      <c r="V671" s="119">
        <f>Quarts!BR20</f>
        <v>128.54199999999946</v>
      </c>
      <c r="W671" s="119">
        <f>Quarts!BS20</f>
        <v>132.63100000000031</v>
      </c>
    </row>
    <row r="672" spans="2:23">
      <c r="B672" s="15">
        <f>2%*3</f>
        <v>0.06</v>
      </c>
      <c r="C672" t="s">
        <v>445</v>
      </c>
      <c r="D672" s="119">
        <f>$B$672*Quarts!AV19</f>
        <v>188.78285999999997</v>
      </c>
      <c r="E672" s="119">
        <f>$B$672*Quarts!AW19</f>
        <v>193.76400000000001</v>
      </c>
      <c r="F672" s="119">
        <f>$B$672*Quarts!AX19</f>
        <v>204.83969999999999</v>
      </c>
      <c r="G672" s="119">
        <f>$B$672*Quarts!AY19</f>
        <v>210.61944</v>
      </c>
      <c r="H672" s="119">
        <f>$B$672*Quarts!AZ19</f>
        <v>215.38439999999997</v>
      </c>
      <c r="I672" s="119">
        <f>$B$672*Quarts!BA19</f>
        <v>218.874</v>
      </c>
      <c r="J672" s="119">
        <f>$B$672*Quarts!BB19</f>
        <v>225.17471999999998</v>
      </c>
      <c r="K672" s="119">
        <f>$B$672*Quarts!BC19</f>
        <v>230.03358</v>
      </c>
      <c r="L672" s="119">
        <f>$B$672*Quarts!BD19</f>
        <v>233.59781999999998</v>
      </c>
      <c r="M672" s="119">
        <f>$B$672*Quarts!BE19</f>
        <v>234.74849999999998</v>
      </c>
      <c r="N672" s="119">
        <f>$B$672*Quarts!BF19</f>
        <v>240.78791999999999</v>
      </c>
      <c r="O672" s="119">
        <f>$B$672*Quarts!BG19</f>
        <v>248.27159999999998</v>
      </c>
      <c r="P672" s="119">
        <f>$B$672*Quarts!BH19</f>
        <v>257.10989999999998</v>
      </c>
      <c r="Q672" s="119">
        <f>$B$672*Quarts!BI19</f>
        <v>266.90861999999998</v>
      </c>
      <c r="R672" s="119">
        <f>$B$672*Quarts!BJ19</f>
        <v>273.93624</v>
      </c>
      <c r="S672" s="119">
        <f>$B$672*Quarts!BK19</f>
        <v>283.29311999999999</v>
      </c>
      <c r="T672" s="119">
        <f>$B$672*Quarts!BL19</f>
        <v>292.37291999999997</v>
      </c>
      <c r="U672" s="119">
        <f>$B$672*Quarts!BM19</f>
        <v>297.81881999999996</v>
      </c>
      <c r="V672" s="119">
        <f>$B$672*Quarts!BN19</f>
        <v>308.72681999999998</v>
      </c>
      <c r="W672" s="119">
        <f>$B$672*Quarts!BO19</f>
        <v>318.71699999999998</v>
      </c>
    </row>
    <row r="673" spans="2:23">
      <c r="B673" s="15"/>
      <c r="C673" t="s">
        <v>446</v>
      </c>
      <c r="D673" s="119">
        <f>D671+D672</f>
        <v>268.19885999999968</v>
      </c>
      <c r="E673" s="119">
        <f>E671+E672</f>
        <v>251.92400000000032</v>
      </c>
      <c r="F673" s="119">
        <f>F671+F672</f>
        <v>309.85169999999971</v>
      </c>
      <c r="G673" s="119">
        <f>G671+G672</f>
        <v>291.60044000000022</v>
      </c>
      <c r="H673" s="119">
        <f>H671+H672</f>
        <v>274.78839999999997</v>
      </c>
      <c r="I673" s="119">
        <f t="shared" ref="I673:W673" si="58">I671+I672</f>
        <v>238.05199999999988</v>
      </c>
      <c r="J673" s="119">
        <f t="shared" si="58"/>
        <v>325.83172000000013</v>
      </c>
      <c r="K673" s="119">
        <f t="shared" si="58"/>
        <v>354.76157999999964</v>
      </c>
      <c r="L673" s="119">
        <f t="shared" si="58"/>
        <v>380.90282000000025</v>
      </c>
      <c r="M673" s="119">
        <f t="shared" si="58"/>
        <v>398.06049999999988</v>
      </c>
      <c r="N673" s="119">
        <f t="shared" si="58"/>
        <v>357.91492000000039</v>
      </c>
      <c r="O673" s="119">
        <f t="shared" si="58"/>
        <v>404.21959999999939</v>
      </c>
      <c r="P673" s="119">
        <f t="shared" si="58"/>
        <v>408.43989999999991</v>
      </c>
      <c r="Q673" s="119">
        <f t="shared" si="58"/>
        <v>357.67362000000031</v>
      </c>
      <c r="R673" s="119">
        <f t="shared" si="58"/>
        <v>455.73624000000018</v>
      </c>
      <c r="S673" s="119">
        <f t="shared" si="58"/>
        <v>449.79611999999969</v>
      </c>
      <c r="T673" s="119">
        <f t="shared" si="58"/>
        <v>392.5239199999998</v>
      </c>
      <c r="U673" s="119">
        <f t="shared" si="58"/>
        <v>430.26382000000058</v>
      </c>
      <c r="V673" s="119">
        <f t="shared" si="58"/>
        <v>437.26881999999944</v>
      </c>
      <c r="W673" s="119">
        <f t="shared" si="58"/>
        <v>451.3480000000003</v>
      </c>
    </row>
    <row r="674" spans="2:23">
      <c r="C674" t="s">
        <v>1003</v>
      </c>
      <c r="D674" s="234">
        <v>0.9</v>
      </c>
      <c r="E674" s="234">
        <v>0.9</v>
      </c>
      <c r="F674" s="234">
        <v>0.9</v>
      </c>
      <c r="G674" s="234">
        <v>0.9</v>
      </c>
      <c r="H674" s="234">
        <v>0.9</v>
      </c>
      <c r="I674" s="234">
        <v>0.9</v>
      </c>
      <c r="J674" s="234">
        <v>0.9</v>
      </c>
      <c r="K674" s="234">
        <v>0.9</v>
      </c>
      <c r="L674" s="234">
        <v>0.9</v>
      </c>
      <c r="M674" s="234">
        <v>0.9</v>
      </c>
      <c r="N674" s="234">
        <v>0.9</v>
      </c>
      <c r="O674" s="234">
        <v>0.9</v>
      </c>
      <c r="P674" s="234">
        <v>0.9</v>
      </c>
      <c r="Q674" s="234">
        <v>0.9</v>
      </c>
      <c r="R674" s="234">
        <v>0.9</v>
      </c>
      <c r="S674" s="234">
        <v>0.9</v>
      </c>
      <c r="T674" s="234">
        <v>0.9</v>
      </c>
      <c r="U674" s="234">
        <v>0.9</v>
      </c>
      <c r="V674" s="234">
        <v>0.9</v>
      </c>
      <c r="W674" s="234">
        <v>0.9</v>
      </c>
    </row>
    <row r="675" spans="2:23">
      <c r="C675" t="s">
        <v>1004</v>
      </c>
      <c r="D675" s="119">
        <f>D674*D673</f>
        <v>241.37897399999972</v>
      </c>
      <c r="E675" s="119">
        <f>E674*E673</f>
        <v>226.7316000000003</v>
      </c>
      <c r="F675" s="119">
        <f>F674*F673</f>
        <v>278.86652999999973</v>
      </c>
      <c r="G675" s="119">
        <f>G674*G673</f>
        <v>262.44039600000019</v>
      </c>
      <c r="H675" s="119">
        <f>H674*H673</f>
        <v>247.30955999999998</v>
      </c>
      <c r="I675" s="119">
        <f t="shared" ref="I675:W675" si="59">I674*I673</f>
        <v>214.24679999999989</v>
      </c>
      <c r="J675" s="119">
        <f t="shared" si="59"/>
        <v>293.24854800000014</v>
      </c>
      <c r="K675" s="119">
        <f t="shared" si="59"/>
        <v>319.2854219999997</v>
      </c>
      <c r="L675" s="119">
        <f t="shared" si="59"/>
        <v>342.81253800000025</v>
      </c>
      <c r="M675" s="119">
        <f t="shared" si="59"/>
        <v>358.25444999999991</v>
      </c>
      <c r="N675" s="119">
        <f t="shared" si="59"/>
        <v>322.12342800000039</v>
      </c>
      <c r="O675" s="119">
        <f t="shared" si="59"/>
        <v>363.79763999999943</v>
      </c>
      <c r="P675" s="119">
        <f t="shared" si="59"/>
        <v>367.59590999999995</v>
      </c>
      <c r="Q675" s="119">
        <f t="shared" si="59"/>
        <v>321.90625800000026</v>
      </c>
      <c r="R675" s="119">
        <f t="shared" si="59"/>
        <v>410.16261600000018</v>
      </c>
      <c r="S675" s="119">
        <f t="shared" si="59"/>
        <v>404.81650799999971</v>
      </c>
      <c r="T675" s="119">
        <f t="shared" si="59"/>
        <v>353.27152799999982</v>
      </c>
      <c r="U675" s="119">
        <f t="shared" si="59"/>
        <v>387.23743800000051</v>
      </c>
      <c r="V675" s="119">
        <f t="shared" si="59"/>
        <v>393.5419379999995</v>
      </c>
      <c r="W675" s="119">
        <f t="shared" si="59"/>
        <v>406.21320000000026</v>
      </c>
    </row>
    <row r="676" spans="2:23">
      <c r="D676" s="119"/>
      <c r="E676" s="119"/>
      <c r="F676" s="119"/>
      <c r="G676" s="119"/>
      <c r="H676" s="119"/>
      <c r="I676" s="119"/>
      <c r="J676" s="119"/>
      <c r="K676" s="119"/>
      <c r="L676" s="119"/>
      <c r="M676" s="119"/>
      <c r="N676" s="119"/>
      <c r="O676" s="119"/>
      <c r="P676" s="119"/>
      <c r="Q676" s="119"/>
      <c r="R676" s="119"/>
      <c r="S676" s="119"/>
      <c r="T676" s="119"/>
      <c r="U676" s="119"/>
      <c r="V676" s="119"/>
      <c r="W676" s="119"/>
    </row>
    <row r="677" spans="2:23">
      <c r="C677" t="s">
        <v>847</v>
      </c>
      <c r="D677" s="119"/>
      <c r="E677" s="119"/>
      <c r="F677" s="119"/>
      <c r="G677" s="119"/>
      <c r="H677" s="119"/>
      <c r="I677" s="119"/>
      <c r="J677" s="119"/>
      <c r="K677" s="119"/>
      <c r="L677" s="119"/>
      <c r="M677" s="119"/>
      <c r="N677" s="119"/>
      <c r="O677" s="119"/>
      <c r="P677" s="119"/>
      <c r="Q677" s="119"/>
      <c r="R677" s="119"/>
      <c r="S677" s="119"/>
      <c r="T677" s="119"/>
      <c r="U677" s="119"/>
      <c r="V677" s="119"/>
      <c r="W677" s="119"/>
    </row>
    <row r="678" spans="2:23">
      <c r="C678" t="str">
        <f t="shared" ref="C678:H678" si="60">C670</f>
        <v>Homes passed</v>
      </c>
      <c r="D678" s="119">
        <f t="shared" si="60"/>
        <v>51.765999999999622</v>
      </c>
      <c r="E678" s="119">
        <f t="shared" si="60"/>
        <v>89.777000000000044</v>
      </c>
      <c r="F678" s="119">
        <f t="shared" si="60"/>
        <v>9.5</v>
      </c>
      <c r="G678" s="119">
        <f t="shared" si="60"/>
        <v>276.47400000000016</v>
      </c>
      <c r="H678" s="119">
        <f t="shared" si="60"/>
        <v>117.70499999999993</v>
      </c>
      <c r="I678" s="119">
        <f>H678+I670</f>
        <v>545.90999999999985</v>
      </c>
      <c r="J678" s="119">
        <f t="shared" ref="J678:W678" si="61">I678+J670</f>
        <v>997.89799999999923</v>
      </c>
      <c r="K678" s="119">
        <f t="shared" si="61"/>
        <v>1991.6180000000004</v>
      </c>
      <c r="L678" s="119">
        <f t="shared" si="61"/>
        <v>2918.9779999999992</v>
      </c>
      <c r="M678" s="119">
        <f t="shared" si="61"/>
        <v>3882.1000000000004</v>
      </c>
      <c r="N678" s="119">
        <f t="shared" si="61"/>
        <v>4983.9979999999996</v>
      </c>
      <c r="O678" s="119">
        <f t="shared" si="61"/>
        <v>5869.3069999999989</v>
      </c>
      <c r="P678" s="119">
        <f t="shared" si="61"/>
        <v>6382.8179999999993</v>
      </c>
      <c r="Q678" s="119">
        <f t="shared" si="61"/>
        <v>6940.0450000000001</v>
      </c>
      <c r="R678" s="119">
        <f t="shared" si="61"/>
        <v>7429.534999999998</v>
      </c>
      <c r="S678" s="119">
        <f t="shared" si="61"/>
        <v>7860.784999999998</v>
      </c>
      <c r="T678" s="119">
        <f t="shared" si="61"/>
        <v>8003.2689999999984</v>
      </c>
      <c r="U678" s="119">
        <f t="shared" si="61"/>
        <v>8541.8150000000005</v>
      </c>
      <c r="V678" s="119">
        <f t="shared" si="61"/>
        <v>9138.8850000000002</v>
      </c>
      <c r="W678" s="119">
        <f t="shared" si="61"/>
        <v>9677.6859999999997</v>
      </c>
    </row>
    <row r="679" spans="2:23">
      <c r="C679" t="str">
        <f>C671</f>
        <v>Net customer adds</v>
      </c>
      <c r="D679" s="119">
        <f>D671</f>
        <v>79.415999999999713</v>
      </c>
      <c r="E679" s="119">
        <f>E671</f>
        <v>58.160000000000309</v>
      </c>
      <c r="F679" s="119">
        <f>F671</f>
        <v>105.01199999999972</v>
      </c>
      <c r="G679" s="119">
        <f>G671</f>
        <v>80.981000000000222</v>
      </c>
      <c r="H679" s="119">
        <f>H673</f>
        <v>274.78839999999997</v>
      </c>
      <c r="I679" s="119">
        <f t="shared" ref="I679:W679" si="62">I673</f>
        <v>238.05199999999988</v>
      </c>
      <c r="J679" s="119">
        <f t="shared" si="62"/>
        <v>325.83172000000013</v>
      </c>
      <c r="K679" s="119">
        <f t="shared" si="62"/>
        <v>354.76157999999964</v>
      </c>
      <c r="L679" s="119">
        <f t="shared" si="62"/>
        <v>380.90282000000025</v>
      </c>
      <c r="M679" s="119">
        <f t="shared" si="62"/>
        <v>398.06049999999988</v>
      </c>
      <c r="N679" s="119">
        <f t="shared" si="62"/>
        <v>357.91492000000039</v>
      </c>
      <c r="O679" s="119">
        <f t="shared" si="62"/>
        <v>404.21959999999939</v>
      </c>
      <c r="P679" s="119">
        <f t="shared" si="62"/>
        <v>408.43989999999991</v>
      </c>
      <c r="Q679" s="119">
        <f t="shared" si="62"/>
        <v>357.67362000000031</v>
      </c>
      <c r="R679" s="119">
        <f t="shared" si="62"/>
        <v>455.73624000000018</v>
      </c>
      <c r="S679" s="119">
        <f t="shared" si="62"/>
        <v>449.79611999999969</v>
      </c>
      <c r="T679" s="119">
        <f t="shared" si="62"/>
        <v>392.5239199999998</v>
      </c>
      <c r="U679" s="119">
        <f t="shared" si="62"/>
        <v>430.26382000000058</v>
      </c>
      <c r="V679" s="119">
        <f t="shared" si="62"/>
        <v>437.26881999999944</v>
      </c>
      <c r="W679" s="119">
        <f t="shared" si="62"/>
        <v>451.3480000000003</v>
      </c>
    </row>
    <row r="680" spans="2:23">
      <c r="C680" t="s">
        <v>1005</v>
      </c>
      <c r="D680" s="234">
        <f t="shared" ref="D680:W680" si="63">D679/D678</f>
        <v>1.534134373913385</v>
      </c>
      <c r="E680" s="234">
        <f t="shared" si="63"/>
        <v>0.64782739454426275</v>
      </c>
      <c r="F680" s="234">
        <f t="shared" si="63"/>
        <v>11.053894736842075</v>
      </c>
      <c r="G680" s="234">
        <f t="shared" si="63"/>
        <v>0.29290638541056363</v>
      </c>
      <c r="H680" s="234">
        <f t="shared" si="63"/>
        <v>2.3345516333205909</v>
      </c>
      <c r="I680" s="234">
        <f t="shared" si="63"/>
        <v>0.43606455276510769</v>
      </c>
      <c r="J680" s="234">
        <f t="shared" si="63"/>
        <v>0.32651806096414704</v>
      </c>
      <c r="K680" s="234">
        <f t="shared" si="63"/>
        <v>0.17812732160484571</v>
      </c>
      <c r="L680" s="234">
        <f t="shared" si="63"/>
        <v>0.13049184337805916</v>
      </c>
      <c r="M680" s="234">
        <f t="shared" si="63"/>
        <v>0.1025374153164524</v>
      </c>
      <c r="N680" s="234">
        <f t="shared" si="63"/>
        <v>7.1812813729058567E-2</v>
      </c>
      <c r="O680" s="234">
        <f t="shared" si="63"/>
        <v>6.8870072736014573E-2</v>
      </c>
      <c r="P680" s="234">
        <f t="shared" si="63"/>
        <v>6.3990528948185577E-2</v>
      </c>
      <c r="Q680" s="234">
        <f t="shared" si="63"/>
        <v>5.1537651412923158E-2</v>
      </c>
      <c r="R680" s="234">
        <f t="shared" si="63"/>
        <v>6.1341152575497701E-2</v>
      </c>
      <c r="S680" s="234">
        <f t="shared" si="63"/>
        <v>5.7220254720107444E-2</v>
      </c>
      <c r="T680" s="234">
        <f t="shared" si="63"/>
        <v>4.9045448803482661E-2</v>
      </c>
      <c r="U680" s="234">
        <f t="shared" si="63"/>
        <v>5.0371474914874717E-2</v>
      </c>
      <c r="V680" s="234">
        <f t="shared" si="63"/>
        <v>4.7847064494191516E-2</v>
      </c>
      <c r="W680" s="234">
        <f t="shared" si="63"/>
        <v>4.6638008300744653E-2</v>
      </c>
    </row>
    <row r="681" spans="2:23">
      <c r="D681" s="119"/>
      <c r="E681" s="119"/>
      <c r="F681" s="119"/>
      <c r="G681" s="119"/>
      <c r="H681" s="119"/>
      <c r="I681" s="119"/>
      <c r="J681" s="119"/>
      <c r="K681" s="119"/>
      <c r="L681" s="119"/>
      <c r="M681" s="119"/>
      <c r="N681" s="119"/>
      <c r="O681" s="119"/>
      <c r="P681" s="119"/>
      <c r="Q681" s="119"/>
      <c r="R681" s="119"/>
      <c r="S681" s="119"/>
      <c r="T681" s="119"/>
      <c r="U681" s="119"/>
      <c r="V681" s="119"/>
      <c r="W681" s="119"/>
    </row>
    <row r="682" spans="2:23">
      <c r="C682" t="s">
        <v>1006</v>
      </c>
      <c r="D682" s="119">
        <f t="shared" ref="D682:M682" si="64">E682+2</f>
        <v>95</v>
      </c>
      <c r="E682" s="119">
        <f t="shared" si="64"/>
        <v>93</v>
      </c>
      <c r="F682" s="119">
        <f t="shared" si="64"/>
        <v>91</v>
      </c>
      <c r="G682" s="119">
        <f t="shared" si="64"/>
        <v>89</v>
      </c>
      <c r="H682" s="119">
        <f t="shared" si="64"/>
        <v>87</v>
      </c>
      <c r="I682" s="119">
        <f t="shared" si="64"/>
        <v>85</v>
      </c>
      <c r="J682" s="119">
        <f t="shared" si="64"/>
        <v>83</v>
      </c>
      <c r="K682" s="119">
        <f t="shared" si="64"/>
        <v>81</v>
      </c>
      <c r="L682" s="119">
        <f t="shared" si="64"/>
        <v>79</v>
      </c>
      <c r="M682" s="119">
        <f t="shared" si="64"/>
        <v>77</v>
      </c>
      <c r="N682" s="119">
        <v>75</v>
      </c>
      <c r="O682" s="119">
        <v>75</v>
      </c>
      <c r="P682" s="119">
        <v>75</v>
      </c>
      <c r="Q682" s="119">
        <v>75</v>
      </c>
      <c r="R682" s="119">
        <v>75</v>
      </c>
      <c r="S682" s="119">
        <v>75</v>
      </c>
      <c r="T682" s="119">
        <v>75</v>
      </c>
      <c r="U682" s="119">
        <v>75</v>
      </c>
      <c r="V682" s="119">
        <v>75</v>
      </c>
      <c r="W682" s="119">
        <v>75</v>
      </c>
    </row>
    <row r="683" spans="2:23">
      <c r="C683" s="919" t="s">
        <v>1007</v>
      </c>
      <c r="D683" s="921">
        <f t="shared" ref="D683:M683" si="65">E683+3</f>
        <v>155</v>
      </c>
      <c r="E683" s="921">
        <f t="shared" si="65"/>
        <v>152</v>
      </c>
      <c r="F683" s="921">
        <f t="shared" si="65"/>
        <v>149</v>
      </c>
      <c r="G683" s="921">
        <f t="shared" si="65"/>
        <v>146</v>
      </c>
      <c r="H683" s="921">
        <f t="shared" si="65"/>
        <v>143</v>
      </c>
      <c r="I683" s="921">
        <f t="shared" si="65"/>
        <v>140</v>
      </c>
      <c r="J683" s="921">
        <f t="shared" si="65"/>
        <v>137</v>
      </c>
      <c r="K683" s="921">
        <f t="shared" si="65"/>
        <v>134</v>
      </c>
      <c r="L683" s="921">
        <f t="shared" si="65"/>
        <v>131</v>
      </c>
      <c r="M683" s="921">
        <f t="shared" si="65"/>
        <v>128</v>
      </c>
      <c r="N683" s="921">
        <v>125</v>
      </c>
      <c r="O683" s="921">
        <v>125</v>
      </c>
      <c r="P683" s="921">
        <v>125</v>
      </c>
      <c r="Q683" s="921">
        <v>125</v>
      </c>
      <c r="R683" s="921">
        <v>125</v>
      </c>
      <c r="S683" s="921">
        <v>125</v>
      </c>
      <c r="T683" s="921">
        <v>125</v>
      </c>
      <c r="U683" s="921">
        <v>125</v>
      </c>
      <c r="V683" s="921">
        <v>125</v>
      </c>
      <c r="W683" s="921">
        <v>125</v>
      </c>
    </row>
    <row r="684" spans="2:23">
      <c r="C684" t="s">
        <v>1008</v>
      </c>
      <c r="D684" s="119">
        <f>D682+D683</f>
        <v>250</v>
      </c>
      <c r="E684" s="119">
        <f>E682+E683</f>
        <v>245</v>
      </c>
      <c r="F684" s="119">
        <f>F682+F683</f>
        <v>240</v>
      </c>
      <c r="G684" s="119">
        <f>G682+G683</f>
        <v>235</v>
      </c>
      <c r="H684" s="119">
        <f>H682+H683</f>
        <v>230</v>
      </c>
      <c r="I684" s="119">
        <f t="shared" ref="I684:W684" si="66">I682+I683</f>
        <v>225</v>
      </c>
      <c r="J684" s="119">
        <f t="shared" si="66"/>
        <v>220</v>
      </c>
      <c r="K684" s="119">
        <f t="shared" si="66"/>
        <v>215</v>
      </c>
      <c r="L684" s="119">
        <f t="shared" si="66"/>
        <v>210</v>
      </c>
      <c r="M684" s="119">
        <f t="shared" si="66"/>
        <v>205</v>
      </c>
      <c r="N684" s="119">
        <f t="shared" si="66"/>
        <v>200</v>
      </c>
      <c r="O684" s="119">
        <f t="shared" si="66"/>
        <v>200</v>
      </c>
      <c r="P684" s="119">
        <f t="shared" si="66"/>
        <v>200</v>
      </c>
      <c r="Q684" s="119">
        <f t="shared" si="66"/>
        <v>200</v>
      </c>
      <c r="R684" s="119">
        <f t="shared" si="66"/>
        <v>200</v>
      </c>
      <c r="S684" s="119">
        <f t="shared" si="66"/>
        <v>200</v>
      </c>
      <c r="T684" s="119">
        <f t="shared" si="66"/>
        <v>200</v>
      </c>
      <c r="U684" s="119">
        <f t="shared" si="66"/>
        <v>200</v>
      </c>
      <c r="V684" s="119">
        <f t="shared" si="66"/>
        <v>200</v>
      </c>
      <c r="W684" s="119">
        <f t="shared" si="66"/>
        <v>200</v>
      </c>
    </row>
    <row r="685" spans="2:23">
      <c r="D685" s="13"/>
      <c r="E685" s="13"/>
      <c r="F685" s="13"/>
      <c r="G685" s="13"/>
      <c r="H685" s="13"/>
      <c r="I685" s="13"/>
      <c r="J685" s="13"/>
      <c r="K685" s="13"/>
      <c r="L685" s="13"/>
      <c r="M685" s="13"/>
      <c r="N685" s="13"/>
      <c r="O685" s="13"/>
      <c r="P685" s="13"/>
      <c r="Q685" s="13"/>
      <c r="R685" s="13"/>
      <c r="S685" s="13"/>
      <c r="T685" s="13"/>
      <c r="U685" s="13"/>
      <c r="V685" s="13"/>
      <c r="W685" s="13"/>
    </row>
    <row r="686" spans="2:23">
      <c r="C686" t="s">
        <v>1009</v>
      </c>
      <c r="D686" s="119">
        <f t="shared" ref="D686:W686" si="67">D670*D682/1000</f>
        <v>4.9177699999999644</v>
      </c>
      <c r="E686" s="119">
        <f t="shared" si="67"/>
        <v>8.3492610000000038</v>
      </c>
      <c r="F686" s="119">
        <f t="shared" si="67"/>
        <v>0.86450000000000005</v>
      </c>
      <c r="G686" s="119">
        <f t="shared" si="67"/>
        <v>24.606186000000015</v>
      </c>
      <c r="H686" s="119">
        <f t="shared" si="67"/>
        <v>10.240334999999993</v>
      </c>
      <c r="I686" s="119">
        <f t="shared" si="67"/>
        <v>36.397424999999998</v>
      </c>
      <c r="J686" s="119">
        <f t="shared" si="67"/>
        <v>37.515003999999948</v>
      </c>
      <c r="K686" s="119">
        <f t="shared" si="67"/>
        <v>80.491320000000101</v>
      </c>
      <c r="L686" s="119">
        <f t="shared" si="67"/>
        <v>73.261439999999894</v>
      </c>
      <c r="M686" s="119">
        <f t="shared" si="67"/>
        <v>74.160394000000082</v>
      </c>
      <c r="N686" s="119">
        <f t="shared" si="67"/>
        <v>82.642349999999951</v>
      </c>
      <c r="O686" s="119">
        <f>O670*O682/1000</f>
        <v>66.398174999999938</v>
      </c>
      <c r="P686" s="119">
        <f t="shared" si="67"/>
        <v>38.51332500000003</v>
      </c>
      <c r="Q686" s="119">
        <f t="shared" si="67"/>
        <v>41.792025000000059</v>
      </c>
      <c r="R686" s="119">
        <f t="shared" si="67"/>
        <v>36.711749999999846</v>
      </c>
      <c r="S686" s="119">
        <f t="shared" si="67"/>
        <v>32.34375</v>
      </c>
      <c r="T686" s="119">
        <f t="shared" si="67"/>
        <v>10.686300000000028</v>
      </c>
      <c r="U686" s="119">
        <f t="shared" si="67"/>
        <v>40.39095000000016</v>
      </c>
      <c r="V686" s="119">
        <f t="shared" si="67"/>
        <v>44.780249999999981</v>
      </c>
      <c r="W686" s="119">
        <f t="shared" si="67"/>
        <v>40.410074999999964</v>
      </c>
    </row>
    <row r="687" spans="2:23">
      <c r="C687" s="919" t="s">
        <v>1010</v>
      </c>
      <c r="D687" s="949">
        <f>D675*D683/1000</f>
        <v>37.413740969999957</v>
      </c>
      <c r="E687" s="949">
        <f>E675*E683/1000</f>
        <v>34.463203200000045</v>
      </c>
      <c r="F687" s="949">
        <f>F675*F683/1000</f>
        <v>41.551112969999956</v>
      </c>
      <c r="G687" s="949">
        <f>G675*G683/1000</f>
        <v>38.316297816000031</v>
      </c>
      <c r="H687" s="949">
        <f>H675*H683/1000</f>
        <v>35.365267079999995</v>
      </c>
      <c r="I687" s="949">
        <f t="shared" ref="I687:W687" si="68">I675*I683/1000</f>
        <v>29.994551999999985</v>
      </c>
      <c r="J687" s="949">
        <f t="shared" si="68"/>
        <v>40.175051076000017</v>
      </c>
      <c r="K687" s="949">
        <f t="shared" si="68"/>
        <v>42.784246547999956</v>
      </c>
      <c r="L687" s="949">
        <f t="shared" si="68"/>
        <v>44.908442478000033</v>
      </c>
      <c r="M687" s="949">
        <f t="shared" si="68"/>
        <v>45.856569599999986</v>
      </c>
      <c r="N687" s="949">
        <f t="shared" si="68"/>
        <v>40.265428500000048</v>
      </c>
      <c r="O687" s="949">
        <f t="shared" si="68"/>
        <v>45.474704999999929</v>
      </c>
      <c r="P687" s="949">
        <f t="shared" si="68"/>
        <v>45.949488749999993</v>
      </c>
      <c r="Q687" s="949">
        <f t="shared" si="68"/>
        <v>40.238282250000033</v>
      </c>
      <c r="R687" s="949">
        <f t="shared" si="68"/>
        <v>51.270327000000023</v>
      </c>
      <c r="S687" s="949">
        <f t="shared" si="68"/>
        <v>50.602063499999964</v>
      </c>
      <c r="T687" s="949">
        <f t="shared" si="68"/>
        <v>44.158940999999977</v>
      </c>
      <c r="U687" s="949">
        <f t="shared" si="68"/>
        <v>48.404679750000064</v>
      </c>
      <c r="V687" s="949">
        <f t="shared" si="68"/>
        <v>49.192742249999938</v>
      </c>
      <c r="W687" s="949">
        <f t="shared" si="68"/>
        <v>50.776650000000032</v>
      </c>
    </row>
    <row r="688" spans="2:23">
      <c r="C688" t="s">
        <v>1011</v>
      </c>
      <c r="D688" s="119">
        <f>D686+D687</f>
        <v>42.331510969999918</v>
      </c>
      <c r="E688" s="119">
        <f>E686+E687</f>
        <v>42.812464200000051</v>
      </c>
      <c r="F688" s="119">
        <f>F686+F687</f>
        <v>42.415612969999955</v>
      </c>
      <c r="G688" s="119">
        <f>G686+G687</f>
        <v>62.922483816000046</v>
      </c>
      <c r="H688" s="119">
        <f>H686+H687</f>
        <v>45.60560207999999</v>
      </c>
      <c r="I688" s="119">
        <f t="shared" ref="I688:W688" si="69">I686+I687</f>
        <v>66.391976999999983</v>
      </c>
      <c r="J688" s="119">
        <f t="shared" si="69"/>
        <v>77.690055075999965</v>
      </c>
      <c r="K688" s="119">
        <f t="shared" si="69"/>
        <v>123.27556654800006</v>
      </c>
      <c r="L688" s="119">
        <f t="shared" si="69"/>
        <v>118.16988247799992</v>
      </c>
      <c r="M688" s="119">
        <f t="shared" si="69"/>
        <v>120.01696360000007</v>
      </c>
      <c r="N688" s="119">
        <f t="shared" si="69"/>
        <v>122.90777850000001</v>
      </c>
      <c r="O688" s="119">
        <f t="shared" si="69"/>
        <v>111.87287999999987</v>
      </c>
      <c r="P688" s="119">
        <f t="shared" si="69"/>
        <v>84.462813750000024</v>
      </c>
      <c r="Q688" s="119">
        <f t="shared" si="69"/>
        <v>82.030307250000092</v>
      </c>
      <c r="R688" s="119">
        <f t="shared" si="69"/>
        <v>87.982076999999862</v>
      </c>
      <c r="S688" s="119">
        <f t="shared" si="69"/>
        <v>82.945813499999957</v>
      </c>
      <c r="T688" s="119">
        <f t="shared" si="69"/>
        <v>54.845241000000001</v>
      </c>
      <c r="U688" s="119">
        <f t="shared" si="69"/>
        <v>88.795629750000217</v>
      </c>
      <c r="V688" s="119">
        <f t="shared" si="69"/>
        <v>93.972992249999919</v>
      </c>
      <c r="W688" s="119">
        <f t="shared" si="69"/>
        <v>91.186724999999996</v>
      </c>
    </row>
    <row r="689" spans="3:23">
      <c r="D689" s="13"/>
      <c r="E689" s="13"/>
      <c r="F689" s="13"/>
      <c r="G689" s="13"/>
      <c r="H689" s="13"/>
      <c r="I689" s="13"/>
      <c r="J689" s="13"/>
      <c r="K689" s="13"/>
      <c r="L689" s="13"/>
      <c r="M689" s="13"/>
      <c r="N689" s="13"/>
      <c r="O689" s="13"/>
      <c r="P689" s="13"/>
      <c r="Q689" s="13"/>
      <c r="R689" s="13"/>
      <c r="S689" s="13"/>
      <c r="T689" s="13"/>
      <c r="U689" s="13"/>
      <c r="V689" s="13"/>
      <c r="W689" s="13"/>
    </row>
    <row r="690" spans="3:23">
      <c r="C690" t="s">
        <v>1012</v>
      </c>
      <c r="D690" s="119">
        <f>Quarts!AZ159</f>
        <v>1875.7049999999999</v>
      </c>
      <c r="E690" s="119">
        <f>Quarts!BA159</f>
        <v>2033</v>
      </c>
      <c r="F690" s="119">
        <f>Quarts!BB159</f>
        <v>2393.6480000000001</v>
      </c>
      <c r="G690" s="119">
        <f>Quarts!BC159</f>
        <v>3164.22</v>
      </c>
      <c r="H690" s="119">
        <f>Quarts!BD159</f>
        <v>2340</v>
      </c>
      <c r="I690" s="119">
        <f>Quarts!BE159</f>
        <v>2796</v>
      </c>
      <c r="J690" s="119">
        <f>Quarts!BF159</f>
        <v>2744.5770000000002</v>
      </c>
      <c r="K690" s="119">
        <f>Quarts!BG159</f>
        <v>3955</v>
      </c>
      <c r="L690" s="119">
        <f>Quarts!BH159</f>
        <v>2235</v>
      </c>
      <c r="M690" s="119">
        <f>Quarts!BI159</f>
        <v>2930</v>
      </c>
      <c r="N690" s="119">
        <f>Quarts!BJ159</f>
        <v>3794</v>
      </c>
      <c r="O690" s="119">
        <f>Quarts!BK159</f>
        <v>3990</v>
      </c>
      <c r="P690" s="119">
        <f>Quarts!BL159</f>
        <v>2354</v>
      </c>
      <c r="Q690" s="119">
        <f>Quarts!BM159</f>
        <v>2747.8359999999998</v>
      </c>
      <c r="R690" s="119">
        <f>Quarts!BN159</f>
        <v>2754.819</v>
      </c>
      <c r="S690" s="119">
        <f>Quarts!BO159</f>
        <v>2483</v>
      </c>
      <c r="T690" s="119">
        <f>Quarts!BP159</f>
        <v>2308</v>
      </c>
      <c r="U690" s="119">
        <f>Quarts!BQ159</f>
        <v>1910.212</v>
      </c>
      <c r="V690" s="119">
        <f>Quarts!BR159</f>
        <v>2377</v>
      </c>
      <c r="W690" s="119">
        <f>Quarts!BS159</f>
        <v>2592.1799999999998</v>
      </c>
    </row>
    <row r="691" spans="3:23">
      <c r="C691" t="s">
        <v>1013</v>
      </c>
      <c r="D691" s="59">
        <v>16.501793750000001</v>
      </c>
      <c r="E691" s="59">
        <v>17.501793750000001</v>
      </c>
      <c r="F691" s="59">
        <v>18.501793750000001</v>
      </c>
      <c r="G691" s="59">
        <v>19.501793750000001</v>
      </c>
      <c r="H691" s="59">
        <v>20.501793749999983</v>
      </c>
      <c r="I691" s="59">
        <v>20.030058461538459</v>
      </c>
      <c r="J691" s="59">
        <v>20.23374545454546</v>
      </c>
      <c r="K691" s="59">
        <v>19.670035384615385</v>
      </c>
      <c r="L691" s="59">
        <v>18.651975384615387</v>
      </c>
      <c r="M691" s="59">
        <v>17.673632307692309</v>
      </c>
      <c r="N691" s="59">
        <v>17.070366153846152</v>
      </c>
      <c r="O691" s="59">
        <v>17.553212307692313</v>
      </c>
      <c r="P691" s="59">
        <v>16.97</v>
      </c>
      <c r="Q691" s="59">
        <v>17.25</v>
      </c>
      <c r="R691" s="59">
        <v>17.082599999999999</v>
      </c>
      <c r="S691" s="59">
        <v>17.082599999999999</v>
      </c>
      <c r="T691" s="59">
        <f>S691</f>
        <v>17.082599999999999</v>
      </c>
      <c r="U691" s="59">
        <f>T691</f>
        <v>17.082599999999999</v>
      </c>
      <c r="V691" s="59">
        <f>U691</f>
        <v>17.082599999999999</v>
      </c>
      <c r="W691" s="59">
        <f>V691</f>
        <v>17.082599999999999</v>
      </c>
    </row>
    <row r="692" spans="3:23">
      <c r="C692" t="s">
        <v>1014</v>
      </c>
      <c r="D692" s="119">
        <f>D690/D691</f>
        <v>113.66673395733115</v>
      </c>
      <c r="E692" s="119">
        <f>E690/E691</f>
        <v>116.15952222040097</v>
      </c>
      <c r="F692" s="119">
        <f>F690/F691</f>
        <v>129.37383436133049</v>
      </c>
      <c r="G692" s="119">
        <f>G690/G691</f>
        <v>162.25276713327972</v>
      </c>
      <c r="H692" s="119">
        <f>H690/H691</f>
        <v>114.13635453239314</v>
      </c>
      <c r="I692" s="119">
        <f t="shared" ref="I692:S692" si="70">I690/I691</f>
        <v>139.59020665710258</v>
      </c>
      <c r="J692" s="119">
        <f t="shared" si="70"/>
        <v>135.64354687398907</v>
      </c>
      <c r="K692" s="119">
        <f t="shared" si="70"/>
        <v>201.06725395589996</v>
      </c>
      <c r="L692" s="119">
        <f t="shared" si="70"/>
        <v>119.8264502237915</v>
      </c>
      <c r="M692" s="119">
        <f t="shared" si="70"/>
        <v>165.78369115016275</v>
      </c>
      <c r="N692" s="119">
        <f t="shared" si="70"/>
        <v>222.25650966163766</v>
      </c>
      <c r="O692" s="119">
        <f t="shared" si="70"/>
        <v>227.3088213176496</v>
      </c>
      <c r="P692" s="119">
        <f t="shared" si="70"/>
        <v>138.71538008249854</v>
      </c>
      <c r="Q692" s="119">
        <f t="shared" si="70"/>
        <v>159.29484057971013</v>
      </c>
      <c r="R692" s="119">
        <f t="shared" si="70"/>
        <v>161.26462013979136</v>
      </c>
      <c r="S692" s="119">
        <f t="shared" si="70"/>
        <v>145.35258098884245</v>
      </c>
      <c r="T692" s="119">
        <f>T690/T691</f>
        <v>135.10823879268963</v>
      </c>
      <c r="U692" s="119">
        <f>U690/U691</f>
        <v>111.82208797255687</v>
      </c>
      <c r="V692" s="119">
        <f>V690/V691</f>
        <v>139.14743657288705</v>
      </c>
      <c r="W692" s="119">
        <f>W690/W691</f>
        <v>151.74387973727653</v>
      </c>
    </row>
    <row r="693" spans="3:23">
      <c r="D693" s="119"/>
      <c r="E693" s="119"/>
      <c r="F693" s="119"/>
      <c r="G693" s="119"/>
      <c r="H693" s="119"/>
      <c r="I693" s="119"/>
      <c r="J693" s="119"/>
      <c r="K693" s="119"/>
      <c r="L693" s="119"/>
      <c r="M693" s="119"/>
      <c r="N693" s="119"/>
      <c r="O693" s="119"/>
      <c r="P693" s="119"/>
      <c r="Q693" s="119"/>
      <c r="R693" s="119"/>
      <c r="S693" s="119"/>
      <c r="T693" s="13"/>
      <c r="U693" s="13"/>
      <c r="V693" s="13"/>
      <c r="W693" s="13"/>
    </row>
    <row r="694" spans="3:23">
      <c r="C694" t="s">
        <v>1015</v>
      </c>
      <c r="D694" s="119">
        <f>D692-D686-D687</f>
        <v>71.335222987331235</v>
      </c>
      <c r="E694" s="119">
        <f>E692-E686-E687</f>
        <v>73.347058020400937</v>
      </c>
      <c r="F694" s="119">
        <f>F692-F686-F687</f>
        <v>86.95822139133054</v>
      </c>
      <c r="G694" s="119">
        <f>G692-G686-G687</f>
        <v>99.33028331727968</v>
      </c>
      <c r="H694" s="119">
        <f>H692-H686-H687</f>
        <v>68.530752452393159</v>
      </c>
      <c r="I694" s="119">
        <f t="shared" ref="I694:S694" si="71">I692-I686-I687</f>
        <v>73.198229657102601</v>
      </c>
      <c r="J694" s="119">
        <f t="shared" si="71"/>
        <v>57.953491797989102</v>
      </c>
      <c r="K694" s="119">
        <f t="shared" si="71"/>
        <v>77.7916874078999</v>
      </c>
      <c r="L694" s="119">
        <f t="shared" si="71"/>
        <v>1.6565677457915697</v>
      </c>
      <c r="M694" s="119">
        <f t="shared" si="71"/>
        <v>45.766727550162685</v>
      </c>
      <c r="N694" s="119">
        <f t="shared" si="71"/>
        <v>99.348731161637659</v>
      </c>
      <c r="O694" s="119">
        <f t="shared" si="71"/>
        <v>115.43594131764972</v>
      </c>
      <c r="P694" s="119">
        <f t="shared" si="71"/>
        <v>54.25256633249851</v>
      </c>
      <c r="Q694" s="119">
        <f t="shared" si="71"/>
        <v>77.264533329710048</v>
      </c>
      <c r="R694" s="119">
        <f t="shared" si="71"/>
        <v>73.282543139791485</v>
      </c>
      <c r="S694" s="119">
        <f t="shared" si="71"/>
        <v>62.406767488842483</v>
      </c>
      <c r="T694" s="119">
        <f>T692-T686-T687</f>
        <v>80.262997792689617</v>
      </c>
      <c r="U694" s="119">
        <f>U692-U686-U687</f>
        <v>23.026458222556649</v>
      </c>
      <c r="V694" s="119">
        <f>V692-V686-V687</f>
        <v>45.174444322887126</v>
      </c>
      <c r="W694" s="119">
        <f>W692-W686-W687</f>
        <v>60.557154737276534</v>
      </c>
    </row>
    <row r="695" spans="3:23">
      <c r="C695" t="s">
        <v>1016</v>
      </c>
      <c r="D695" s="119"/>
      <c r="E695" s="119"/>
      <c r="F695" s="119"/>
      <c r="G695" s="119">
        <f>AVERAGE(D694:G694)</f>
        <v>82.742696429085598</v>
      </c>
      <c r="H695" s="119">
        <f t="shared" ref="H695:W695" si="72">AVERAGE(E694:H694)</f>
        <v>82.041578795351086</v>
      </c>
      <c r="I695" s="119">
        <f t="shared" si="72"/>
        <v>82.004371704526491</v>
      </c>
      <c r="J695" s="119">
        <f t="shared" si="72"/>
        <v>74.753189306191132</v>
      </c>
      <c r="K695" s="119">
        <f t="shared" si="72"/>
        <v>69.368540328846194</v>
      </c>
      <c r="L695" s="119">
        <f t="shared" si="72"/>
        <v>52.649994152195795</v>
      </c>
      <c r="M695" s="119">
        <f t="shared" si="72"/>
        <v>45.792118625460816</v>
      </c>
      <c r="N695" s="119">
        <f t="shared" si="72"/>
        <v>56.140928466372955</v>
      </c>
      <c r="O695" s="119">
        <f t="shared" si="72"/>
        <v>65.551991943810407</v>
      </c>
      <c r="P695" s="119">
        <f t="shared" si="72"/>
        <v>78.700991590487149</v>
      </c>
      <c r="Q695" s="119">
        <f t="shared" si="72"/>
        <v>86.575443035373993</v>
      </c>
      <c r="R695" s="119">
        <f t="shared" si="72"/>
        <v>80.058896029912447</v>
      </c>
      <c r="S695" s="119">
        <f t="shared" si="72"/>
        <v>66.801602572710635</v>
      </c>
      <c r="T695" s="119">
        <f t="shared" si="72"/>
        <v>73.3042104377584</v>
      </c>
      <c r="U695" s="119">
        <f t="shared" si="72"/>
        <v>59.744691660970055</v>
      </c>
      <c r="V695" s="119">
        <f t="shared" si="72"/>
        <v>52.717666956743969</v>
      </c>
      <c r="W695" s="119">
        <f t="shared" si="72"/>
        <v>52.25526376885248</v>
      </c>
    </row>
    <row r="696" spans="3:23">
      <c r="C696" t="s">
        <v>1017</v>
      </c>
      <c r="D696" s="119">
        <f>D694*D691</f>
        <v>1177.1591368471991</v>
      </c>
      <c r="E696" s="119">
        <f>E694*E691</f>
        <v>1283.7050816423405</v>
      </c>
      <c r="F696" s="119">
        <f>F694*F691</f>
        <v>1608.8830770492357</v>
      </c>
      <c r="G696" s="119">
        <f>G694*G691</f>
        <v>1937.1186983826542</v>
      </c>
      <c r="H696" s="119">
        <f>H694*H691</f>
        <v>1405.0033523112702</v>
      </c>
      <c r="I696" s="119">
        <f t="shared" ref="I696:W696" si="73">I694*I691</f>
        <v>1466.1648193128833</v>
      </c>
      <c r="J696" s="119">
        <f t="shared" si="73"/>
        <v>1172.6162012425996</v>
      </c>
      <c r="K696" s="119">
        <f t="shared" si="73"/>
        <v>1530.1652439423301</v>
      </c>
      <c r="L696" s="119">
        <f t="shared" si="73"/>
        <v>30.898260817452158</v>
      </c>
      <c r="M696" s="119">
        <f t="shared" si="73"/>
        <v>808.86431464790689</v>
      </c>
      <c r="N696" s="119">
        <f t="shared" si="73"/>
        <v>1695.9192178491799</v>
      </c>
      <c r="O696" s="119">
        <f t="shared" si="73"/>
        <v>2026.2715858870167</v>
      </c>
      <c r="P696" s="119">
        <f t="shared" si="73"/>
        <v>920.66605066249963</v>
      </c>
      <c r="Q696" s="119">
        <f t="shared" si="73"/>
        <v>1332.8131999374982</v>
      </c>
      <c r="R696" s="119">
        <f t="shared" si="73"/>
        <v>1251.8563714398019</v>
      </c>
      <c r="S696" s="119">
        <f t="shared" si="73"/>
        <v>1066.0698463049005</v>
      </c>
      <c r="T696" s="119">
        <f t="shared" si="73"/>
        <v>1371.1006860933996</v>
      </c>
      <c r="U696" s="119">
        <f t="shared" si="73"/>
        <v>393.35177523264616</v>
      </c>
      <c r="V696" s="119">
        <f t="shared" si="73"/>
        <v>771.69696259015154</v>
      </c>
      <c r="W696" s="119">
        <f t="shared" si="73"/>
        <v>1034.473651515</v>
      </c>
    </row>
    <row r="697" spans="3:23">
      <c r="C697" t="s">
        <v>1018</v>
      </c>
      <c r="D697" s="119">
        <f>Quarts!AZ72</f>
        <v>5951.9790000000003</v>
      </c>
      <c r="E697" s="119">
        <f>Quarts!BA72</f>
        <v>6063.8</v>
      </c>
      <c r="F697" s="119">
        <f>Quarts!BB72</f>
        <v>6144.9260000000004</v>
      </c>
      <c r="G697" s="119">
        <f>Quarts!BC72</f>
        <v>6473.45</v>
      </c>
      <c r="H697" s="119">
        <f>Quarts!BD72</f>
        <v>6562.4260000000004</v>
      </c>
      <c r="I697" s="119">
        <f>Quarts!BE72</f>
        <v>6681.1859999999997</v>
      </c>
      <c r="J697" s="119">
        <f>Quarts!BF72</f>
        <v>6736.8850000000002</v>
      </c>
      <c r="K697" s="119">
        <f>Quarts!BG72</f>
        <v>7175.058</v>
      </c>
      <c r="L697" s="119">
        <f>Quarts!BH72</f>
        <v>7152.1880000000001</v>
      </c>
      <c r="M697" s="119">
        <f>Quarts!BI72</f>
        <v>7373.6940000000004</v>
      </c>
      <c r="N697" s="119">
        <f>Quarts!BJ72</f>
        <v>7490.7309999999998</v>
      </c>
      <c r="O697" s="119">
        <f>Quarts!BK72</f>
        <v>7853.9269999999997</v>
      </c>
      <c r="P697" s="119">
        <f>Quarts!BL72</f>
        <v>7984.6030000000001</v>
      </c>
      <c r="Q697" s="119">
        <f>Quarts!BM72</f>
        <v>8135.7120000000004</v>
      </c>
      <c r="R697" s="119">
        <f>Quarts!BN72</f>
        <v>8215.8770000000004</v>
      </c>
      <c r="S697" s="119">
        <f>Quarts!BO72</f>
        <v>8504.6560000000009</v>
      </c>
      <c r="T697" s="119">
        <f>Quarts!BP72</f>
        <v>8607.0949999999993</v>
      </c>
      <c r="U697" s="119">
        <f>Quarts!BQ72</f>
        <v>8699.5190000000002</v>
      </c>
      <c r="V697" s="119">
        <f>Quarts!BR72</f>
        <v>8921.018</v>
      </c>
      <c r="W697" s="119">
        <f>Quarts!BS72</f>
        <v>9202.0789999999997</v>
      </c>
    </row>
    <row r="698" spans="3:23">
      <c r="C698" t="s">
        <v>148</v>
      </c>
      <c r="D698" s="234">
        <f>D696/D697</f>
        <v>0.19777609041416291</v>
      </c>
      <c r="E698" s="234">
        <f>E696/E697</f>
        <v>0.21169977269077814</v>
      </c>
      <c r="F698" s="234">
        <f>F696/F697</f>
        <v>0.26182301903216337</v>
      </c>
      <c r="G698" s="234">
        <f>G696/G697</f>
        <v>0.29924054381862131</v>
      </c>
      <c r="H698" s="234">
        <f>H696/H697</f>
        <v>0.21409816313529023</v>
      </c>
      <c r="I698" s="234">
        <f t="shared" ref="I698:W698" si="74">I696/I697</f>
        <v>0.21944678973357176</v>
      </c>
      <c r="J698" s="234">
        <f t="shared" si="74"/>
        <v>0.17405910910496461</v>
      </c>
      <c r="K698" s="234">
        <f t="shared" si="74"/>
        <v>0.21326172470554663</v>
      </c>
      <c r="L698" s="234">
        <f t="shared" si="74"/>
        <v>4.320113064345087E-3</v>
      </c>
      <c r="M698" s="234">
        <f t="shared" si="74"/>
        <v>0.10969594271852166</v>
      </c>
      <c r="N698" s="234">
        <f t="shared" si="74"/>
        <v>0.22640236551668722</v>
      </c>
      <c r="O698" s="234">
        <f t="shared" si="74"/>
        <v>0.25799470581876005</v>
      </c>
      <c r="P698" s="234">
        <f>P696/P697</f>
        <v>0.11530517555631753</v>
      </c>
      <c r="Q698" s="234">
        <f t="shared" si="74"/>
        <v>0.16382256401621617</v>
      </c>
      <c r="R698" s="234">
        <f t="shared" si="74"/>
        <v>0.15237038863164601</v>
      </c>
      <c r="S698" s="234">
        <f t="shared" si="74"/>
        <v>0.12535131888989989</v>
      </c>
      <c r="T698" s="234">
        <f t="shared" si="74"/>
        <v>0.15929889075157178</v>
      </c>
      <c r="U698" s="234">
        <f t="shared" si="74"/>
        <v>4.5215347564922397E-2</v>
      </c>
      <c r="V698" s="234">
        <f t="shared" si="74"/>
        <v>8.6503240167226603E-2</v>
      </c>
      <c r="W698" s="234">
        <f t="shared" si="74"/>
        <v>0.11241738432315133</v>
      </c>
    </row>
    <row r="699" spans="3:23">
      <c r="C699" t="s">
        <v>1019</v>
      </c>
      <c r="D699" s="234"/>
      <c r="E699" s="234"/>
      <c r="F699" s="234"/>
      <c r="G699" s="234"/>
      <c r="H699" s="234">
        <f t="shared" ref="H699:U699" si="75">SUM(E690:H690)/SUM(E697:H697)</f>
        <v>0.39338580184389521</v>
      </c>
      <c r="I699" s="234">
        <f t="shared" si="75"/>
        <v>0.41349752385624805</v>
      </c>
      <c r="J699" s="234">
        <f t="shared" si="75"/>
        <v>0.41751036244232281</v>
      </c>
      <c r="K699" s="234">
        <f t="shared" si="75"/>
        <v>0.4358436791293715</v>
      </c>
      <c r="L699" s="234">
        <f t="shared" si="75"/>
        <v>0.42279484498230818</v>
      </c>
      <c r="M699" s="234">
        <f t="shared" si="75"/>
        <v>0.41721112637833591</v>
      </c>
      <c r="N699" s="234">
        <f t="shared" si="75"/>
        <v>0.44238646016529853</v>
      </c>
      <c r="O699" s="234">
        <f t="shared" si="75"/>
        <v>0.43350404780094365</v>
      </c>
      <c r="P699" s="234">
        <f t="shared" si="75"/>
        <v>0.42562678413201599</v>
      </c>
      <c r="Q699" s="234">
        <f t="shared" si="75"/>
        <v>0.40952954258057045</v>
      </c>
      <c r="R699" s="234">
        <f t="shared" si="75"/>
        <v>0.36802147267613394</v>
      </c>
      <c r="S699" s="234">
        <f t="shared" si="75"/>
        <v>0.31484129155252011</v>
      </c>
      <c r="T699" s="234">
        <f t="shared" si="75"/>
        <v>0.30760990982968223</v>
      </c>
      <c r="U699" s="234">
        <f t="shared" si="75"/>
        <v>0.27789667467566403</v>
      </c>
      <c r="V699" s="234">
        <f>SUM(S690:V690)/SUM(S697:V697)</f>
        <v>0.261376733948538</v>
      </c>
      <c r="W699" s="234">
        <f>SUM(T690:W690)/SUM(T697:W697)</f>
        <v>0.25931320749412828</v>
      </c>
    </row>
    <row r="700" spans="3:23">
      <c r="F700" s="90"/>
      <c r="G700" s="90"/>
      <c r="H700" s="90"/>
      <c r="I700" s="90"/>
    </row>
    <row r="701" spans="3:23">
      <c r="C701" t="s">
        <v>448</v>
      </c>
      <c r="D701" s="92">
        <f>Quarts!AZ53</f>
        <v>0</v>
      </c>
      <c r="E701" s="92">
        <f>Quarts!BA53</f>
        <v>0</v>
      </c>
      <c r="F701" s="92">
        <f>Quarts!BB53</f>
        <v>0</v>
      </c>
      <c r="G701" s="92">
        <f>Quarts!BC53</f>
        <v>0</v>
      </c>
      <c r="H701" s="92">
        <f>Quarts!BD53</f>
        <v>421.58844477233521</v>
      </c>
      <c r="I701" s="92">
        <f>Quarts!BE53</f>
        <v>426.53259218544633</v>
      </c>
      <c r="J701" s="92">
        <f>Quarts!BF53</f>
        <v>414.59510496219292</v>
      </c>
      <c r="K701" s="92">
        <f>Quarts!BG53</f>
        <v>418.05123181588925</v>
      </c>
      <c r="L701" s="92">
        <f>Quarts!BH53</f>
        <v>419.27671334306126</v>
      </c>
      <c r="M701" s="92">
        <f>Quarts!BI53</f>
        <v>419.93030131669445</v>
      </c>
      <c r="N701" s="92">
        <f>Quarts!BJ53</f>
        <v>418.04254578103314</v>
      </c>
      <c r="O701" s="92">
        <f>Quarts!BK53</f>
        <v>426.13060254689788</v>
      </c>
      <c r="P701" s="92">
        <f>Quarts!BL53</f>
        <v>422.1350337415455</v>
      </c>
      <c r="Q701" s="92">
        <f>Quarts!BM53</f>
        <v>422.48655539111769</v>
      </c>
      <c r="R701" s="92">
        <f>Quarts!BN53</f>
        <v>418.91028774621202</v>
      </c>
      <c r="S701" s="92">
        <f>Quarts!BO53</f>
        <v>421.63499354622712</v>
      </c>
    </row>
    <row r="702" spans="3:23">
      <c r="C702" t="s">
        <v>1020</v>
      </c>
      <c r="D702" s="91">
        <v>-3.5</v>
      </c>
      <c r="E702" s="91">
        <v>-2.5</v>
      </c>
      <c r="F702" s="91">
        <v>-1.5</v>
      </c>
      <c r="G702" s="91">
        <v>-0.5</v>
      </c>
      <c r="H702" s="91">
        <v>0.5</v>
      </c>
      <c r="I702" s="91">
        <v>0.5</v>
      </c>
      <c r="J702" s="91">
        <v>0.3</v>
      </c>
      <c r="K702" s="91">
        <v>0.3</v>
      </c>
      <c r="L702" s="91">
        <v>0.15</v>
      </c>
      <c r="M702" s="91">
        <v>0.15</v>
      </c>
      <c r="N702" s="91">
        <v>0.12</v>
      </c>
      <c r="O702" s="91">
        <v>0.1</v>
      </c>
      <c r="P702" s="91">
        <f>O702-0.5%</f>
        <v>9.5000000000000001E-2</v>
      </c>
      <c r="Q702" s="91">
        <f>P702-0.5%</f>
        <v>0.09</v>
      </c>
      <c r="R702" s="91">
        <f>Q702-0.5%</f>
        <v>8.4999999999999992E-2</v>
      </c>
      <c r="S702" s="91">
        <f>R702-0.5%</f>
        <v>7.9999999999999988E-2</v>
      </c>
    </row>
    <row r="703" spans="3:23">
      <c r="C703" t="s">
        <v>1021</v>
      </c>
      <c r="D703" s="92">
        <f>D701*(1-D702)</f>
        <v>0</v>
      </c>
      <c r="E703" s="92">
        <f>E701*(1-E702)</f>
        <v>0</v>
      </c>
      <c r="F703" s="92">
        <f>F701*(1-F702)</f>
        <v>0</v>
      </c>
      <c r="G703" s="92">
        <f>G701*(1-G702)</f>
        <v>0</v>
      </c>
      <c r="H703" s="92">
        <f>H701*(1-H702)</f>
        <v>210.7942223861676</v>
      </c>
      <c r="I703" s="92">
        <f t="shared" ref="I703:S703" si="76">I701*(1-I702)</f>
        <v>213.26629609272317</v>
      </c>
      <c r="J703" s="92">
        <f t="shared" si="76"/>
        <v>290.21657347353505</v>
      </c>
      <c r="K703" s="92">
        <f t="shared" si="76"/>
        <v>292.63586227112245</v>
      </c>
      <c r="L703" s="92">
        <f t="shared" si="76"/>
        <v>356.38520634160204</v>
      </c>
      <c r="M703" s="92">
        <f t="shared" si="76"/>
        <v>356.94075611919027</v>
      </c>
      <c r="N703" s="92">
        <f t="shared" si="76"/>
        <v>367.87744028730918</v>
      </c>
      <c r="O703" s="92">
        <f t="shared" si="76"/>
        <v>383.51754229220808</v>
      </c>
      <c r="P703" s="92">
        <f t="shared" si="76"/>
        <v>382.03220553609867</v>
      </c>
      <c r="Q703" s="92">
        <f t="shared" si="76"/>
        <v>384.46276540591714</v>
      </c>
      <c r="R703" s="92">
        <f t="shared" si="76"/>
        <v>383.30291328778401</v>
      </c>
      <c r="S703" s="92">
        <f t="shared" si="76"/>
        <v>387.90419406252897</v>
      </c>
    </row>
    <row r="734" spans="3:11" ht="15.75">
      <c r="C734" s="10" t="s">
        <v>1022</v>
      </c>
    </row>
    <row r="735" spans="3:11" ht="15.75">
      <c r="C735" s="950" t="s">
        <v>11</v>
      </c>
      <c r="D735" s="951" t="s">
        <v>1023</v>
      </c>
      <c r="E735" s="951" t="s">
        <v>735</v>
      </c>
      <c r="F735" s="1"/>
      <c r="G735" s="1"/>
      <c r="H735" s="1"/>
      <c r="I735" s="1"/>
      <c r="J735" s="1"/>
      <c r="K735" s="1"/>
    </row>
    <row r="736" spans="3:11" ht="15.75">
      <c r="C736" s="89" t="s">
        <v>726</v>
      </c>
      <c r="D736" s="112">
        <f>Master!V9</f>
        <v>0.10236076154907847</v>
      </c>
      <c r="E736" s="112" t="s">
        <v>1024</v>
      </c>
    </row>
    <row r="737" spans="3:11" ht="15.75">
      <c r="C737" s="1" t="s">
        <v>295</v>
      </c>
      <c r="D737" s="113">
        <f>Master!V13</f>
        <v>12769.018</v>
      </c>
      <c r="E737" s="113" t="s">
        <v>1024</v>
      </c>
    </row>
    <row r="738" spans="3:11" ht="15.75">
      <c r="C738" s="89" t="s">
        <v>1025</v>
      </c>
      <c r="D738" s="114">
        <v>8292</v>
      </c>
      <c r="E738" s="114"/>
    </row>
    <row r="739" spans="3:11" ht="15.75">
      <c r="C739" s="1" t="s">
        <v>148</v>
      </c>
      <c r="D739" s="115">
        <v>0.34</v>
      </c>
      <c r="E739" s="115">
        <v>0.4</v>
      </c>
    </row>
    <row r="740" spans="3:11" ht="15.75">
      <c r="C740" s="952" t="s">
        <v>42</v>
      </c>
      <c r="D740" s="938" t="e">
        <f>SUM(Quarts!#REF!)</f>
        <v>#REF!</v>
      </c>
      <c r="E740" s="938"/>
    </row>
    <row r="744" spans="3:11" ht="15.75">
      <c r="C744" s="922" t="s">
        <v>1026</v>
      </c>
      <c r="D744" s="932">
        <v>2022</v>
      </c>
      <c r="E744" s="932">
        <f t="shared" ref="E744:K744" si="77">D744+1</f>
        <v>2023</v>
      </c>
      <c r="F744" s="932">
        <f t="shared" si="77"/>
        <v>2024</v>
      </c>
      <c r="G744" s="932">
        <f t="shared" si="77"/>
        <v>2025</v>
      </c>
      <c r="H744" s="932">
        <f t="shared" si="77"/>
        <v>2026</v>
      </c>
      <c r="I744" s="932">
        <f t="shared" si="77"/>
        <v>2027</v>
      </c>
      <c r="J744" s="932">
        <f t="shared" si="77"/>
        <v>2028</v>
      </c>
      <c r="K744" s="932">
        <f t="shared" si="77"/>
        <v>2029</v>
      </c>
    </row>
    <row r="745" spans="3:11" ht="15.75">
      <c r="C745" s="68" t="s">
        <v>320</v>
      </c>
      <c r="D745" s="114">
        <f>Fixed!Q7</f>
        <v>1991.6180000000004</v>
      </c>
      <c r="E745" s="114">
        <f>Fixed!R7</f>
        <v>3877.6889999999985</v>
      </c>
      <c r="F745" s="114">
        <f>Fixed!S7</f>
        <v>1991.4779999999992</v>
      </c>
      <c r="G745" s="114">
        <f>Fixed!T7</f>
        <v>1816.9010000000017</v>
      </c>
      <c r="H745" s="114">
        <f>Fixed!U7</f>
        <v>1105</v>
      </c>
      <c r="I745" s="114">
        <f>Fixed!V7</f>
        <v>400</v>
      </c>
      <c r="J745" s="114">
        <f>Fixed!W7</f>
        <v>350</v>
      </c>
      <c r="K745" s="114">
        <f>Fixed!X7</f>
        <v>300</v>
      </c>
    </row>
    <row r="746" spans="3:11" ht="15.75">
      <c r="C746" s="5"/>
      <c r="D746" s="113"/>
      <c r="E746" s="113"/>
      <c r="F746" s="113"/>
      <c r="G746" s="113"/>
      <c r="H746" s="113"/>
      <c r="I746" s="113"/>
      <c r="J746" s="113"/>
      <c r="K746" s="113"/>
    </row>
    <row r="747" spans="3:11" ht="16.5" thickBot="1">
      <c r="C747" s="129" t="s">
        <v>47</v>
      </c>
      <c r="D747" s="114"/>
      <c r="E747" s="114"/>
      <c r="F747" s="114"/>
      <c r="G747" s="114"/>
      <c r="H747" s="114"/>
      <c r="I747" s="114"/>
      <c r="J747" s="114"/>
      <c r="K747" s="114"/>
    </row>
    <row r="748" spans="3:11" ht="15.75">
      <c r="C748" s="5" t="s">
        <v>1027</v>
      </c>
      <c r="D748" s="127">
        <v>0.1</v>
      </c>
      <c r="E748" s="115">
        <f>D748</f>
        <v>0.1</v>
      </c>
      <c r="F748" s="115">
        <f t="shared" ref="F748:K750" si="78">E748</f>
        <v>0.1</v>
      </c>
      <c r="G748" s="115">
        <f t="shared" si="78"/>
        <v>0.1</v>
      </c>
      <c r="H748" s="115">
        <f t="shared" si="78"/>
        <v>0.1</v>
      </c>
      <c r="I748" s="115">
        <f t="shared" si="78"/>
        <v>0.1</v>
      </c>
      <c r="J748" s="115">
        <f t="shared" si="78"/>
        <v>0.1</v>
      </c>
      <c r="K748" s="115">
        <f t="shared" si="78"/>
        <v>0.1</v>
      </c>
    </row>
    <row r="749" spans="3:11" ht="15.75">
      <c r="C749" s="68" t="s">
        <v>1028</v>
      </c>
      <c r="D749" s="130">
        <v>0.1</v>
      </c>
      <c r="E749" s="131">
        <f>D749</f>
        <v>0.1</v>
      </c>
      <c r="F749" s="131">
        <f t="shared" si="78"/>
        <v>0.1</v>
      </c>
      <c r="G749" s="131">
        <f t="shared" si="78"/>
        <v>0.1</v>
      </c>
      <c r="H749" s="131">
        <f t="shared" si="78"/>
        <v>0.1</v>
      </c>
      <c r="I749" s="131">
        <f t="shared" si="78"/>
        <v>0.1</v>
      </c>
      <c r="J749" s="131">
        <f t="shared" si="78"/>
        <v>0.1</v>
      </c>
      <c r="K749" s="131">
        <f t="shared" si="78"/>
        <v>0.1</v>
      </c>
    </row>
    <row r="750" spans="3:11" ht="16.5" thickBot="1">
      <c r="C750" s="926" t="s">
        <v>1029</v>
      </c>
      <c r="D750" s="128">
        <v>0.05</v>
      </c>
      <c r="E750" s="939">
        <f>D750</f>
        <v>0.05</v>
      </c>
      <c r="F750" s="939">
        <f t="shared" si="78"/>
        <v>0.05</v>
      </c>
      <c r="G750" s="939">
        <f t="shared" si="78"/>
        <v>0.05</v>
      </c>
      <c r="H750" s="939">
        <f t="shared" si="78"/>
        <v>0.05</v>
      </c>
      <c r="I750" s="939">
        <f t="shared" si="78"/>
        <v>0.05</v>
      </c>
      <c r="J750" s="939">
        <f t="shared" si="78"/>
        <v>0.05</v>
      </c>
      <c r="K750" s="939">
        <f t="shared" si="78"/>
        <v>0.05</v>
      </c>
    </row>
    <row r="751" spans="3:11" ht="15.75">
      <c r="C751" s="68" t="s">
        <v>1030</v>
      </c>
      <c r="D751" s="132">
        <f>SUM(D748:D750)</f>
        <v>0.25</v>
      </c>
      <c r="E751" s="132">
        <f>SUM(E748:E750)</f>
        <v>0.25</v>
      </c>
      <c r="F751" s="132">
        <f t="shared" ref="F751:K751" si="79">SUM(F748:F750)</f>
        <v>0.25</v>
      </c>
      <c r="G751" s="132">
        <f t="shared" si="79"/>
        <v>0.25</v>
      </c>
      <c r="H751" s="132">
        <f t="shared" si="79"/>
        <v>0.25</v>
      </c>
      <c r="I751" s="132">
        <f t="shared" si="79"/>
        <v>0.25</v>
      </c>
      <c r="J751" s="132">
        <f t="shared" si="79"/>
        <v>0.25</v>
      </c>
      <c r="K751" s="132">
        <f t="shared" si="79"/>
        <v>0.25</v>
      </c>
    </row>
    <row r="752" spans="3:11" ht="15.75">
      <c r="C752" s="5"/>
      <c r="D752" s="123"/>
      <c r="E752" s="123"/>
      <c r="F752" s="123"/>
      <c r="G752" s="123"/>
      <c r="H752" s="123"/>
      <c r="I752" s="123"/>
      <c r="J752" s="123"/>
      <c r="K752" s="123"/>
    </row>
    <row r="753" spans="3:11" ht="15.75">
      <c r="C753" s="129" t="s">
        <v>452</v>
      </c>
      <c r="D753" s="109"/>
      <c r="E753" s="109"/>
      <c r="F753" s="68"/>
      <c r="G753" s="68"/>
      <c r="H753" s="68"/>
      <c r="I753" s="68"/>
      <c r="J753" s="68"/>
      <c r="K753" s="68"/>
    </row>
    <row r="754" spans="3:11" ht="15.75">
      <c r="C754" s="5" t="s">
        <v>1031</v>
      </c>
      <c r="D754" s="9">
        <f>D745*D748</f>
        <v>199.16180000000006</v>
      </c>
      <c r="E754" s="9">
        <f>E745*E748</f>
        <v>387.76889999999986</v>
      </c>
      <c r="F754" s="9">
        <f t="shared" ref="F754:K754" si="80">F745*F748</f>
        <v>199.14779999999993</v>
      </c>
      <c r="G754" s="9">
        <f t="shared" si="80"/>
        <v>181.69010000000017</v>
      </c>
      <c r="H754" s="9">
        <f t="shared" si="80"/>
        <v>110.5</v>
      </c>
      <c r="I754" s="9">
        <f t="shared" si="80"/>
        <v>40</v>
      </c>
      <c r="J754" s="9">
        <f t="shared" si="80"/>
        <v>35</v>
      </c>
      <c r="K754" s="9">
        <f t="shared" si="80"/>
        <v>30</v>
      </c>
    </row>
    <row r="755" spans="3:11" ht="15.75">
      <c r="C755" s="68" t="s">
        <v>1032</v>
      </c>
      <c r="D755" s="109"/>
      <c r="E755" s="133">
        <f t="shared" ref="E755:K755" si="81">D745*D749</f>
        <v>199.16180000000006</v>
      </c>
      <c r="F755" s="133">
        <f t="shared" si="81"/>
        <v>387.76889999999986</v>
      </c>
      <c r="G755" s="133">
        <f t="shared" si="81"/>
        <v>199.14779999999993</v>
      </c>
      <c r="H755" s="133">
        <f t="shared" si="81"/>
        <v>181.69010000000017</v>
      </c>
      <c r="I755" s="133">
        <f t="shared" si="81"/>
        <v>110.5</v>
      </c>
      <c r="J755" s="133">
        <f t="shared" si="81"/>
        <v>40</v>
      </c>
      <c r="K755" s="133">
        <f t="shared" si="81"/>
        <v>35</v>
      </c>
    </row>
    <row r="756" spans="3:11" ht="15.75">
      <c r="C756" s="926" t="s">
        <v>1033</v>
      </c>
      <c r="D756" s="925"/>
      <c r="E756" s="925"/>
      <c r="F756" s="933">
        <f>E745*E750</f>
        <v>193.88444999999993</v>
      </c>
      <c r="G756" s="933">
        <f>F745*F750</f>
        <v>99.573899999999966</v>
      </c>
      <c r="H756" s="933">
        <f>F745*F750</f>
        <v>99.573899999999966</v>
      </c>
      <c r="I756" s="933">
        <f>G745*G750</f>
        <v>90.845050000000086</v>
      </c>
      <c r="J756" s="953">
        <f>H745*H750</f>
        <v>55.25</v>
      </c>
      <c r="K756" s="953">
        <f>I745*I750</f>
        <v>20</v>
      </c>
    </row>
    <row r="757" spans="3:11" ht="15.75">
      <c r="C757" s="68" t="s">
        <v>42</v>
      </c>
      <c r="D757" s="133">
        <f>SUM(D754:D756)</f>
        <v>199.16180000000006</v>
      </c>
      <c r="E757" s="133">
        <f t="shared" ref="E757:K757" si="82">SUM(E754:E756)</f>
        <v>586.93069999999989</v>
      </c>
      <c r="F757" s="133">
        <f t="shared" si="82"/>
        <v>780.80114999999967</v>
      </c>
      <c r="G757" s="133">
        <f t="shared" si="82"/>
        <v>480.41180000000008</v>
      </c>
      <c r="H757" s="133">
        <f t="shared" si="82"/>
        <v>391.76400000000012</v>
      </c>
      <c r="I757" s="133">
        <f t="shared" si="82"/>
        <v>241.34505000000007</v>
      </c>
      <c r="J757" s="134">
        <f t="shared" si="82"/>
        <v>130.25</v>
      </c>
      <c r="K757" s="134">
        <f t="shared" si="82"/>
        <v>85</v>
      </c>
    </row>
    <row r="758" spans="3:11" ht="16.5" thickBot="1">
      <c r="C758" s="5"/>
      <c r="D758" s="96"/>
      <c r="E758" s="96"/>
      <c r="F758" s="96"/>
      <c r="G758" s="9"/>
      <c r="H758" s="5"/>
      <c r="I758" s="5"/>
      <c r="J758" s="5"/>
      <c r="K758" s="5"/>
    </row>
    <row r="759" spans="3:11" ht="15.75">
      <c r="C759" s="68" t="s">
        <v>1034</v>
      </c>
      <c r="D759" s="137">
        <v>50</v>
      </c>
      <c r="E759" s="133">
        <f>D759</f>
        <v>50</v>
      </c>
      <c r="F759" s="133">
        <f t="shared" ref="F759:K759" si="83">E759</f>
        <v>50</v>
      </c>
      <c r="G759" s="133">
        <f t="shared" si="83"/>
        <v>50</v>
      </c>
      <c r="H759" s="133">
        <f t="shared" si="83"/>
        <v>50</v>
      </c>
      <c r="I759" s="133">
        <f t="shared" si="83"/>
        <v>50</v>
      </c>
      <c r="J759" s="133">
        <f t="shared" si="83"/>
        <v>50</v>
      </c>
      <c r="K759" s="133">
        <f t="shared" si="83"/>
        <v>50</v>
      </c>
    </row>
    <row r="760" spans="3:11" ht="16.5" thickBot="1">
      <c r="C760" s="5" t="s">
        <v>1035</v>
      </c>
      <c r="D760" s="138">
        <v>150</v>
      </c>
      <c r="E760" s="9">
        <f>D760</f>
        <v>150</v>
      </c>
      <c r="F760" s="9">
        <f t="shared" ref="F760:K760" si="84">E760</f>
        <v>150</v>
      </c>
      <c r="G760" s="9">
        <f t="shared" si="84"/>
        <v>150</v>
      </c>
      <c r="H760" s="9">
        <f t="shared" si="84"/>
        <v>150</v>
      </c>
      <c r="I760" s="9">
        <f t="shared" si="84"/>
        <v>150</v>
      </c>
      <c r="J760" s="9">
        <f t="shared" si="84"/>
        <v>150</v>
      </c>
      <c r="K760" s="9">
        <f t="shared" si="84"/>
        <v>150</v>
      </c>
    </row>
    <row r="761" spans="3:11" ht="16.5" thickBot="1">
      <c r="C761" s="68"/>
      <c r="D761" s="109"/>
      <c r="E761" s="109"/>
      <c r="F761" s="133"/>
      <c r="G761" s="133"/>
      <c r="H761" s="68"/>
      <c r="I761" s="68"/>
      <c r="J761" s="68"/>
      <c r="K761" s="68"/>
    </row>
    <row r="762" spans="3:11" ht="15.75">
      <c r="C762" s="139" t="s">
        <v>1036</v>
      </c>
      <c r="D762" s="140">
        <f>D759*D745/1000</f>
        <v>99.580900000000028</v>
      </c>
      <c r="E762" s="140">
        <f t="shared" ref="E762:K762" si="85">E759*E745/1000</f>
        <v>193.88444999999993</v>
      </c>
      <c r="F762" s="140">
        <f t="shared" si="85"/>
        <v>99.573899999999966</v>
      </c>
      <c r="G762" s="140">
        <f t="shared" si="85"/>
        <v>90.845050000000072</v>
      </c>
      <c r="H762" s="140">
        <f t="shared" si="85"/>
        <v>55.25</v>
      </c>
      <c r="I762" s="140">
        <f t="shared" si="85"/>
        <v>20</v>
      </c>
      <c r="J762" s="140">
        <f t="shared" si="85"/>
        <v>17.5</v>
      </c>
      <c r="K762" s="141">
        <f t="shared" si="85"/>
        <v>15</v>
      </c>
    </row>
    <row r="763" spans="3:11" ht="15.75">
      <c r="C763" s="142" t="s">
        <v>1037</v>
      </c>
      <c r="D763" s="954">
        <f>D760*D757/1000</f>
        <v>29.874270000000006</v>
      </c>
      <c r="E763" s="954">
        <f t="shared" ref="E763:K763" si="86">E760*E757/1000</f>
        <v>88.03960499999998</v>
      </c>
      <c r="F763" s="954">
        <f t="shared" si="86"/>
        <v>117.12017249999995</v>
      </c>
      <c r="G763" s="954">
        <f t="shared" si="86"/>
        <v>72.061770000000024</v>
      </c>
      <c r="H763" s="954">
        <f t="shared" si="86"/>
        <v>58.764600000000023</v>
      </c>
      <c r="I763" s="954">
        <f t="shared" si="86"/>
        <v>36.201757500000014</v>
      </c>
      <c r="J763" s="954">
        <f t="shared" si="86"/>
        <v>19.537500000000001</v>
      </c>
      <c r="K763" s="143">
        <f t="shared" si="86"/>
        <v>12.75</v>
      </c>
    </row>
    <row r="764" spans="3:11" ht="16.5" thickBot="1">
      <c r="C764" s="144" t="s">
        <v>1038</v>
      </c>
      <c r="D764" s="145">
        <f>D762+D763</f>
        <v>129.45517000000004</v>
      </c>
      <c r="E764" s="145">
        <f t="shared" ref="E764:K764" si="87">E762+E763</f>
        <v>281.9240549999999</v>
      </c>
      <c r="F764" s="145">
        <f t="shared" si="87"/>
        <v>216.69407249999992</v>
      </c>
      <c r="G764" s="145">
        <f t="shared" si="87"/>
        <v>162.9068200000001</v>
      </c>
      <c r="H764" s="145">
        <f t="shared" si="87"/>
        <v>114.01460000000003</v>
      </c>
      <c r="I764" s="145">
        <f t="shared" si="87"/>
        <v>56.201757500000014</v>
      </c>
      <c r="J764" s="145">
        <f t="shared" si="87"/>
        <v>37.037500000000001</v>
      </c>
      <c r="K764" s="146">
        <f t="shared" si="87"/>
        <v>27.75</v>
      </c>
    </row>
    <row r="765" spans="3:11" ht="15.75">
      <c r="C765" s="124"/>
      <c r="D765" s="39"/>
      <c r="E765" s="39"/>
      <c r="F765" s="39"/>
      <c r="G765" s="39"/>
      <c r="H765" s="39"/>
      <c r="I765" s="39"/>
      <c r="J765" s="39"/>
      <c r="K765" s="39"/>
    </row>
    <row r="766" spans="3:11" ht="15.75">
      <c r="C766" s="124"/>
      <c r="D766" s="9"/>
      <c r="E766" s="9"/>
      <c r="F766" s="9"/>
      <c r="G766" s="9"/>
      <c r="H766" s="9"/>
      <c r="I766" s="9"/>
      <c r="J766" s="9"/>
      <c r="K766" s="9"/>
    </row>
    <row r="767" spans="3:11" ht="15.75">
      <c r="C767" s="135" t="s">
        <v>1039</v>
      </c>
      <c r="D767" s="134">
        <f>Quarts!BC49</f>
        <v>422.6</v>
      </c>
      <c r="E767" s="133"/>
      <c r="F767" s="133"/>
      <c r="G767" s="133"/>
      <c r="H767" s="133"/>
      <c r="I767" s="9"/>
      <c r="J767" s="9"/>
      <c r="K767" s="9"/>
    </row>
    <row r="768" spans="3:11" ht="15.75">
      <c r="C768" s="124" t="s">
        <v>1040</v>
      </c>
      <c r="D768" s="125">
        <f>D767/Fixed!Q116</f>
        <v>21.024875621890548</v>
      </c>
      <c r="E768" s="125"/>
      <c r="F768" s="125"/>
      <c r="G768" s="125"/>
      <c r="H768" s="125"/>
      <c r="I768" s="9"/>
      <c r="J768" s="9"/>
      <c r="K768" s="9"/>
    </row>
    <row r="769" spans="3:17" ht="15.75">
      <c r="C769" s="135" t="s">
        <v>1041</v>
      </c>
      <c r="D769" s="147">
        <v>0.25</v>
      </c>
      <c r="E769" s="133"/>
      <c r="F769" s="133"/>
      <c r="G769" s="133"/>
      <c r="H769" s="133"/>
      <c r="I769" s="9"/>
      <c r="J769" s="9"/>
      <c r="K769" s="9"/>
    </row>
    <row r="770" spans="3:17" ht="15.75">
      <c r="C770" s="124" t="s">
        <v>1042</v>
      </c>
      <c r="D770" s="126">
        <v>2.1999999999999999E-2</v>
      </c>
      <c r="E770" s="9"/>
      <c r="F770" s="9"/>
      <c r="G770" s="9"/>
      <c r="H770" s="9"/>
      <c r="I770" s="9"/>
      <c r="J770" s="9"/>
      <c r="K770" s="9"/>
    </row>
    <row r="771" spans="3:17" ht="15.75">
      <c r="C771" s="135" t="s">
        <v>1043</v>
      </c>
      <c r="D771" s="112">
        <f>D770*12</f>
        <v>0.26400000000000001</v>
      </c>
      <c r="E771" s="133"/>
      <c r="F771" s="133"/>
      <c r="G771" s="133"/>
      <c r="H771" s="133"/>
      <c r="I771" s="9"/>
      <c r="J771" s="9"/>
      <c r="K771" s="9"/>
      <c r="L771" s="5"/>
      <c r="M771" s="1063" t="s">
        <v>47</v>
      </c>
      <c r="N771" s="1063"/>
      <c r="O771" s="1063"/>
      <c r="P771" s="1063"/>
      <c r="Q771" s="1063"/>
    </row>
    <row r="772" spans="3:17" ht="15.75">
      <c r="C772" s="124" t="s">
        <v>1044</v>
      </c>
      <c r="D772" s="125">
        <f>1/D771</f>
        <v>3.7878787878787876</v>
      </c>
      <c r="E772" s="9"/>
      <c r="F772" s="9"/>
      <c r="G772" s="9"/>
      <c r="H772" s="9"/>
      <c r="I772" s="9"/>
      <c r="J772" s="9"/>
      <c r="K772" s="9"/>
      <c r="L772" s="148">
        <f>D786</f>
        <v>0.19948698195852368</v>
      </c>
      <c r="M772" s="955">
        <f>15%</f>
        <v>0.15</v>
      </c>
      <c r="N772" s="955">
        <f>M772+5%</f>
        <v>0.2</v>
      </c>
      <c r="O772" s="955">
        <f>N772+5%</f>
        <v>0.25</v>
      </c>
      <c r="P772" s="955">
        <f>O772+5%</f>
        <v>0.3</v>
      </c>
      <c r="Q772" s="955">
        <f>P772+5%</f>
        <v>0.35</v>
      </c>
    </row>
    <row r="773" spans="3:17" ht="14.65" customHeight="1">
      <c r="C773" s="135" t="s">
        <v>1045</v>
      </c>
      <c r="D773" s="136">
        <v>1</v>
      </c>
      <c r="E773" s="136">
        <v>1</v>
      </c>
      <c r="F773" s="136">
        <v>1</v>
      </c>
      <c r="G773" s="136">
        <f>D772-D773-E773-F773</f>
        <v>0.78787878787878762</v>
      </c>
      <c r="H773" s="133">
        <v>0</v>
      </c>
      <c r="I773" s="9"/>
      <c r="J773" s="9"/>
      <c r="K773" s="1064" t="s">
        <v>1046</v>
      </c>
      <c r="L773" s="149">
        <v>0.3</v>
      </c>
      <c r="M773" s="3">
        <f t="dataTable" ref="M773:Q777" dt2D="1" dtr="1" r1="D769" r2="D777"/>
        <v>-0.19966081992033907</v>
      </c>
      <c r="N773" s="3">
        <v>-0.13968077304592147</v>
      </c>
      <c r="O773" s="3">
        <v>-8.9921863044968173E-2</v>
      </c>
      <c r="P773" s="3">
        <v>-4.7497343471417361E-2</v>
      </c>
      <c r="Q773" s="3">
        <v>-1.0652626769078397E-2</v>
      </c>
    </row>
    <row r="774" spans="3:17" ht="15.75">
      <c r="C774" s="124"/>
      <c r="D774" s="9"/>
      <c r="E774" s="9"/>
      <c r="F774" s="9"/>
      <c r="G774" s="9"/>
      <c r="H774" s="9"/>
      <c r="I774" s="13"/>
      <c r="J774" s="13"/>
      <c r="K774" s="1064"/>
      <c r="L774" s="149">
        <v>0.4</v>
      </c>
      <c r="M774" s="3">
        <v>-0.10369510176058198</v>
      </c>
      <c r="N774" s="3">
        <v>-2.2395046262831675E-2</v>
      </c>
      <c r="O774" s="3">
        <v>4.7584231512586679E-2</v>
      </c>
      <c r="P774" s="3">
        <v>0.10925141639509366</v>
      </c>
      <c r="Q774" s="3">
        <v>0.16443010262502736</v>
      </c>
    </row>
    <row r="775" spans="3:17" ht="15.75">
      <c r="C775" s="956" t="s">
        <v>1047</v>
      </c>
      <c r="D775" s="932" t="s">
        <v>1048</v>
      </c>
      <c r="E775" s="932" t="s">
        <v>1049</v>
      </c>
      <c r="F775" s="932" t="s">
        <v>1050</v>
      </c>
      <c r="G775" s="932" t="s">
        <v>1051</v>
      </c>
      <c r="H775" s="932" t="s">
        <v>1052</v>
      </c>
      <c r="I775" s="13"/>
      <c r="J775" s="13"/>
      <c r="K775" s="1064"/>
      <c r="L775" s="149">
        <f>L774+10%</f>
        <v>0.5</v>
      </c>
      <c r="M775" s="3">
        <v>-5.7714027678075026E-3</v>
      </c>
      <c r="N775" s="3">
        <v>0.10236161770555087</v>
      </c>
      <c r="O775" s="3">
        <v>0.19948698195852368</v>
      </c>
      <c r="P775" s="3">
        <v>0.28852990116360611</v>
      </c>
      <c r="Q775" s="3">
        <v>0.37120475316430995</v>
      </c>
    </row>
    <row r="776" spans="3:17" ht="15.75">
      <c r="C776" s="135" t="s">
        <v>43</v>
      </c>
      <c r="D776" s="134">
        <f>$D$768*12*D773</f>
        <v>252.29850746268659</v>
      </c>
      <c r="E776" s="134">
        <f>$D$768*12*E773</f>
        <v>252.29850746268659</v>
      </c>
      <c r="F776" s="134">
        <f>$D$768*12*F773</f>
        <v>252.29850746268659</v>
      </c>
      <c r="G776" s="134">
        <f>$D$768*12*G773</f>
        <v>198.78064224332877</v>
      </c>
      <c r="H776" s="134">
        <f>$D$768*12*H773</f>
        <v>0</v>
      </c>
      <c r="I776" s="13"/>
      <c r="J776" s="13"/>
      <c r="K776" s="1064"/>
      <c r="L776" s="149">
        <f>L775+10%</f>
        <v>0.6</v>
      </c>
      <c r="M776" s="3">
        <v>9.7868154369136581E-2</v>
      </c>
      <c r="N776" s="3">
        <v>0.24084134036574048</v>
      </c>
      <c r="O776" s="3">
        <v>0.37589550446486614</v>
      </c>
      <c r="P776" s="3">
        <v>0.50591111870813332</v>
      </c>
      <c r="Q776" s="3">
        <v>0.63250900677745237</v>
      </c>
    </row>
    <row r="777" spans="3:17" ht="15.75">
      <c r="C777" s="124" t="s">
        <v>1046</v>
      </c>
      <c r="D777" s="122">
        <v>0.5</v>
      </c>
      <c r="E777" s="115">
        <f>D777</f>
        <v>0.5</v>
      </c>
      <c r="F777" s="115">
        <f>E777</f>
        <v>0.5</v>
      </c>
      <c r="G777" s="115">
        <f>F777</f>
        <v>0.5</v>
      </c>
      <c r="H777" s="115">
        <f>G777</f>
        <v>0.5</v>
      </c>
      <c r="I777" s="13"/>
      <c r="J777" s="13"/>
      <c r="K777" s="1064"/>
      <c r="L777" s="149">
        <f>L776+10%</f>
        <v>0.7</v>
      </c>
      <c r="M777" s="3">
        <v>0.2107363924951921</v>
      </c>
      <c r="N777" s="3">
        <v>0.40029266200654384</v>
      </c>
      <c r="O777" s="3">
        <v>0.59061871685478551</v>
      </c>
      <c r="P777" s="3">
        <v>0.78563759279846102</v>
      </c>
      <c r="Q777" s="3">
        <v>0.98807517096235742</v>
      </c>
    </row>
    <row r="778" spans="3:17" ht="15.75">
      <c r="C778" s="135" t="s">
        <v>295</v>
      </c>
      <c r="D778" s="134">
        <f>D776*D777</f>
        <v>126.14925373134329</v>
      </c>
      <c r="E778" s="134">
        <f>E776*E777</f>
        <v>126.14925373134329</v>
      </c>
      <c r="F778" s="134">
        <f>F776*F777</f>
        <v>126.14925373134329</v>
      </c>
      <c r="G778" s="134">
        <f>G776*G777</f>
        <v>99.390321121664385</v>
      </c>
      <c r="H778" s="134">
        <f>H776*H777</f>
        <v>0</v>
      </c>
      <c r="I778" s="13"/>
      <c r="J778" s="13"/>
      <c r="K778" s="13"/>
    </row>
    <row r="779" spans="3:17" ht="15.75">
      <c r="C779" s="124"/>
      <c r="D779" s="9"/>
      <c r="E779" s="9"/>
      <c r="F779" s="9"/>
      <c r="G779" s="9"/>
      <c r="H779" s="9"/>
      <c r="I779" s="13"/>
      <c r="J779" s="13"/>
      <c r="K779" s="13"/>
    </row>
    <row r="780" spans="3:17" ht="15.75">
      <c r="C780" s="135" t="s">
        <v>1053</v>
      </c>
      <c r="D780" s="134">
        <f>D759*(1/D769)</f>
        <v>200</v>
      </c>
      <c r="E780" s="133"/>
      <c r="F780" s="133"/>
      <c r="G780" s="133"/>
      <c r="H780" s="133"/>
      <c r="I780" s="13"/>
      <c r="J780" s="13"/>
      <c r="K780" s="13"/>
    </row>
    <row r="781" spans="3:17" ht="15.75">
      <c r="C781" s="124" t="s">
        <v>1054</v>
      </c>
      <c r="D781" s="39">
        <f>D760</f>
        <v>150</v>
      </c>
      <c r="E781" s="9"/>
      <c r="F781" s="9"/>
      <c r="G781" s="9"/>
      <c r="H781" s="9"/>
      <c r="I781" s="13"/>
      <c r="J781" s="13"/>
      <c r="K781" s="13"/>
    </row>
    <row r="782" spans="3:17" ht="15.75">
      <c r="C782" s="135" t="s">
        <v>1055</v>
      </c>
      <c r="D782" s="134">
        <f>D780+D781</f>
        <v>350</v>
      </c>
      <c r="E782" s="133"/>
      <c r="F782" s="133"/>
      <c r="G782" s="133"/>
      <c r="H782" s="133"/>
      <c r="I782" s="13"/>
      <c r="J782" s="13"/>
      <c r="K782" s="13"/>
    </row>
    <row r="783" spans="3:17" ht="15.75">
      <c r="C783" s="124"/>
      <c r="D783" s="9"/>
      <c r="E783" s="9"/>
      <c r="F783" s="9"/>
      <c r="G783" s="9"/>
      <c r="H783" s="9"/>
      <c r="I783" s="13"/>
      <c r="J783" s="13"/>
      <c r="K783" s="13"/>
    </row>
    <row r="784" spans="3:17" ht="15.75">
      <c r="C784" s="135" t="s">
        <v>92</v>
      </c>
      <c r="D784" s="134">
        <f>D778-D782</f>
        <v>-223.85074626865671</v>
      </c>
      <c r="E784" s="134">
        <f>E778-E782</f>
        <v>126.14925373134329</v>
      </c>
      <c r="F784" s="134">
        <f>F778-F782</f>
        <v>126.14925373134329</v>
      </c>
      <c r="G784" s="134">
        <f>G778-G782</f>
        <v>99.390321121664385</v>
      </c>
      <c r="H784" s="134">
        <f>H778-H782</f>
        <v>0</v>
      </c>
      <c r="I784" s="13"/>
      <c r="J784" s="13"/>
      <c r="K784" s="13"/>
    </row>
    <row r="785" spans="3:13" ht="15.75">
      <c r="C785" s="124" t="s">
        <v>1056</v>
      </c>
      <c r="D785" s="115">
        <f>IRR(D784:G784)</f>
        <v>0.2770652527201718</v>
      </c>
      <c r="E785" s="9"/>
      <c r="F785" s="9"/>
      <c r="G785" s="9"/>
      <c r="H785" s="9"/>
      <c r="I785" s="13"/>
      <c r="J785" s="13"/>
      <c r="K785" s="13"/>
    </row>
    <row r="786" spans="3:13" ht="15.75">
      <c r="C786" s="135" t="s">
        <v>1057</v>
      </c>
      <c r="D786" s="131">
        <f>D785*0.72</f>
        <v>0.19948698195852368</v>
      </c>
      <c r="E786" s="133"/>
      <c r="F786" s="133"/>
      <c r="G786" s="133"/>
      <c r="H786" s="133"/>
      <c r="I786" s="13"/>
      <c r="J786" s="13"/>
      <c r="K786" s="13"/>
    </row>
    <row r="787" spans="3:13">
      <c r="C787" s="13"/>
      <c r="D787" s="13"/>
      <c r="E787" s="13"/>
      <c r="F787" s="13"/>
      <c r="G787" s="13"/>
      <c r="H787" s="13"/>
      <c r="I787" s="13"/>
      <c r="J787" s="13"/>
      <c r="K787" s="13"/>
    </row>
    <row r="788" spans="3:13">
      <c r="C788" s="117" t="s">
        <v>1058</v>
      </c>
      <c r="D788" s="13"/>
      <c r="E788" s="13"/>
      <c r="F788" s="13"/>
      <c r="G788" s="13"/>
      <c r="H788" s="13"/>
      <c r="I788" s="13"/>
      <c r="J788" s="13"/>
      <c r="K788" s="13"/>
    </row>
    <row r="789" spans="3:13">
      <c r="C789" s="13"/>
      <c r="D789" s="13"/>
      <c r="E789" s="13"/>
      <c r="F789" s="13"/>
      <c r="G789" s="13"/>
      <c r="H789" s="13"/>
      <c r="I789" s="13"/>
      <c r="J789" s="13"/>
      <c r="K789" s="13"/>
    </row>
    <row r="790" spans="3:13">
      <c r="C790" s="118" t="s">
        <v>1059</v>
      </c>
      <c r="D790" s="13"/>
      <c r="E790" s="13"/>
      <c r="F790" s="13"/>
      <c r="G790" s="13"/>
      <c r="H790" s="13"/>
      <c r="I790" s="13"/>
      <c r="J790" s="13"/>
      <c r="K790" s="13"/>
    </row>
    <row r="791" spans="3:13" ht="15.75">
      <c r="C791" s="956" t="s">
        <v>902</v>
      </c>
      <c r="D791" s="932">
        <v>2022</v>
      </c>
      <c r="E791" s="932">
        <f>D791+1</f>
        <v>2023</v>
      </c>
      <c r="F791" s="932">
        <f t="shared" ref="F791:K791" si="88">E791+1</f>
        <v>2024</v>
      </c>
      <c r="G791" s="932">
        <f t="shared" si="88"/>
        <v>2025</v>
      </c>
      <c r="H791" s="932">
        <f t="shared" si="88"/>
        <v>2026</v>
      </c>
      <c r="I791" s="932">
        <f t="shared" si="88"/>
        <v>2027</v>
      </c>
      <c r="J791" s="932">
        <f t="shared" si="88"/>
        <v>2028</v>
      </c>
      <c r="K791" s="932">
        <f t="shared" si="88"/>
        <v>2029</v>
      </c>
      <c r="L791" s="932">
        <f>K791+1</f>
        <v>2030</v>
      </c>
      <c r="M791" s="932" t="s">
        <v>1060</v>
      </c>
    </row>
    <row r="792" spans="3:13" ht="15.75">
      <c r="C792" s="190" t="s">
        <v>43</v>
      </c>
      <c r="D792" s="202">
        <f>Master!V8</f>
        <v>27155.555</v>
      </c>
      <c r="E792" s="202">
        <f>Master!W8</f>
        <v>29870.54</v>
      </c>
      <c r="F792" s="202">
        <f>Master!X8</f>
        <v>32840.847999999998</v>
      </c>
      <c r="G792" s="202">
        <f>Master!Y8</f>
        <v>35429.71</v>
      </c>
      <c r="H792" s="202">
        <f>Master!Z8</f>
        <v>38484.331480000008</v>
      </c>
      <c r="I792" s="202">
        <f>Master!AA8</f>
        <v>41068.627100000012</v>
      </c>
      <c r="J792" s="202">
        <f>Master!AB8</f>
        <v>43475.200744610011</v>
      </c>
      <c r="K792" s="202">
        <f>Master!AC8</f>
        <v>45648.960781840506</v>
      </c>
      <c r="L792" s="202">
        <f>Master!AD8</f>
        <v>47440.099610512625</v>
      </c>
      <c r="M792" s="202">
        <f>SUM(D792:H792)</f>
        <v>163780.98447999998</v>
      </c>
    </row>
    <row r="793" spans="3:13" ht="15.75">
      <c r="C793" s="150"/>
      <c r="D793" s="9"/>
      <c r="E793" s="9"/>
      <c r="F793" s="9"/>
      <c r="G793" s="9"/>
      <c r="H793" s="9"/>
      <c r="I793" s="9"/>
      <c r="J793" s="9"/>
      <c r="K793" s="9"/>
      <c r="L793" s="9"/>
      <c r="M793" s="9"/>
    </row>
    <row r="794" spans="3:13" ht="15.75">
      <c r="C794" s="251" t="s">
        <v>1061</v>
      </c>
      <c r="D794" s="202">
        <f>Fixed!Q43</f>
        <v>11217.599999999999</v>
      </c>
      <c r="E794" s="202">
        <f>Fixed!R43</f>
        <v>12717.697</v>
      </c>
      <c r="F794" s="202">
        <f>Fixed!S43</f>
        <v>13928.063</v>
      </c>
      <c r="G794" s="202">
        <f>Fixed!T43</f>
        <v>14974.089</v>
      </c>
      <c r="H794" s="202">
        <f>Fixed!U43</f>
        <v>15721.089</v>
      </c>
      <c r="I794" s="202">
        <f>Fixed!V43</f>
        <v>16201.089</v>
      </c>
      <c r="J794" s="202">
        <f>Fixed!W43</f>
        <v>16616.089</v>
      </c>
      <c r="K794" s="202">
        <f>Fixed!X43</f>
        <v>16941.089</v>
      </c>
      <c r="L794" s="202">
        <f>Fixed!Y43</f>
        <v>17196.089</v>
      </c>
      <c r="M794" s="202">
        <f>L794</f>
        <v>17196.089</v>
      </c>
    </row>
    <row r="795" spans="3:13" ht="15.75">
      <c r="C795" s="150" t="s">
        <v>1062</v>
      </c>
      <c r="D795" s="113">
        <f>Fixed!Q25</f>
        <v>4137.8599999999997</v>
      </c>
      <c r="E795" s="113">
        <f>Fixed!R25</f>
        <v>4721.5519999999997</v>
      </c>
      <c r="F795" s="113">
        <f>Fixed!S25</f>
        <v>5311.95</v>
      </c>
      <c r="G795" s="113">
        <f>Fixed!T25</f>
        <v>5805.7190000000001</v>
      </c>
      <c r="H795" s="113">
        <f>Fixed!U25</f>
        <v>6205.7190000000001</v>
      </c>
      <c r="I795" s="113">
        <f>Fixed!V25</f>
        <v>6405.7190000000001</v>
      </c>
      <c r="J795" s="113">
        <f>Fixed!W25</f>
        <v>6580.7190000000001</v>
      </c>
      <c r="K795" s="113">
        <f>Fixed!X25</f>
        <v>6730.7190000000001</v>
      </c>
      <c r="L795" s="113">
        <f>Fixed!Y25</f>
        <v>6855.7190000000001</v>
      </c>
      <c r="M795" s="113">
        <f>L795</f>
        <v>6855.7190000000001</v>
      </c>
    </row>
    <row r="796" spans="3:13" ht="15.75">
      <c r="C796" s="251" t="s">
        <v>800</v>
      </c>
      <c r="D796" s="202">
        <f>Fixed!Q46</f>
        <v>4397.9939999999997</v>
      </c>
      <c r="E796" s="202">
        <f>Fixed!R46</f>
        <v>4945.826</v>
      </c>
      <c r="F796" s="202">
        <f>Fixed!S46</f>
        <v>5520.1790000000001</v>
      </c>
      <c r="G796" s="202">
        <f>Fixed!T46</f>
        <v>5953.912127236581</v>
      </c>
      <c r="H796" s="202">
        <f>Fixed!U46</f>
        <v>6250.9300198807159</v>
      </c>
      <c r="I796" s="202">
        <f>Fixed!V46</f>
        <v>6441.7848906560639</v>
      </c>
      <c r="J796" s="202">
        <f>Fixed!W46</f>
        <v>6606.7948310139163</v>
      </c>
      <c r="K796" s="202">
        <f>Fixed!X46</f>
        <v>6736.0194831013914</v>
      </c>
      <c r="L796" s="202">
        <f>Fixed!Y46</f>
        <v>6837.4111332007951</v>
      </c>
      <c r="M796" s="202">
        <f>L796</f>
        <v>6837.4111332007951</v>
      </c>
    </row>
    <row r="797" spans="3:13" ht="15.75">
      <c r="C797" s="150"/>
      <c r="D797" s="9"/>
      <c r="E797" s="9"/>
      <c r="F797" s="9"/>
      <c r="G797" s="9"/>
      <c r="H797" s="9"/>
      <c r="I797" s="9"/>
      <c r="J797" s="9"/>
      <c r="K797" s="9"/>
      <c r="L797" s="9"/>
      <c r="M797" s="9"/>
    </row>
    <row r="798" spans="3:13" ht="15.75">
      <c r="C798" s="190" t="s">
        <v>295</v>
      </c>
      <c r="D798" s="202">
        <f>Master!V13</f>
        <v>12769.018</v>
      </c>
      <c r="E798" s="202">
        <f>Master!W13</f>
        <v>13319.993</v>
      </c>
      <c r="F798" s="202">
        <f>Master!X13</f>
        <v>14629.852999999999</v>
      </c>
      <c r="G798" s="202">
        <f>Master!Y13</f>
        <v>15936.034</v>
      </c>
      <c r="H798" s="202">
        <f>Master!Z13</f>
        <v>17317.949166000006</v>
      </c>
      <c r="I798" s="202">
        <f>Master!AA13</f>
        <v>18891.568466000008</v>
      </c>
      <c r="J798" s="202">
        <f>Master!AB13</f>
        <v>20433.344349966705</v>
      </c>
      <c r="K798" s="202">
        <f>Master!AC13</f>
        <v>21683.256371374238</v>
      </c>
      <c r="L798" s="202">
        <f>Master!AD13</f>
        <v>22771.247813046059</v>
      </c>
      <c r="M798" s="202">
        <f>SUM(D798:H798)</f>
        <v>73972.847166000007</v>
      </c>
    </row>
    <row r="799" spans="3:13" ht="15.75">
      <c r="C799" s="124" t="s">
        <v>45</v>
      </c>
      <c r="D799" s="126">
        <f>D798/D792</f>
        <v>0.47021753007810002</v>
      </c>
      <c r="E799" s="126">
        <f>E798/E792</f>
        <v>0.44592407770331571</v>
      </c>
      <c r="F799" s="126">
        <f t="shared" ref="F799:L799" si="89">F798/F792</f>
        <v>0.44547732141386848</v>
      </c>
      <c r="G799" s="126">
        <f t="shared" si="89"/>
        <v>0.44979295625055921</v>
      </c>
      <c r="H799" s="126">
        <f t="shared" si="89"/>
        <v>0.45000000000000007</v>
      </c>
      <c r="I799" s="126">
        <f t="shared" si="89"/>
        <v>0.46000000000000008</v>
      </c>
      <c r="J799" s="126">
        <f t="shared" si="89"/>
        <v>0.47</v>
      </c>
      <c r="K799" s="126">
        <f t="shared" si="89"/>
        <v>0.47499999999999998</v>
      </c>
      <c r="L799" s="126">
        <f t="shared" si="89"/>
        <v>0.48</v>
      </c>
      <c r="M799" s="9"/>
    </row>
    <row r="800" spans="3:13" ht="15.75">
      <c r="C800" s="190"/>
      <c r="D800" s="252"/>
      <c r="E800" s="252"/>
      <c r="F800" s="252"/>
      <c r="G800" s="252"/>
      <c r="H800" s="252"/>
      <c r="I800" s="252"/>
      <c r="J800" s="252"/>
      <c r="K800" s="252"/>
      <c r="L800" s="252"/>
      <c r="M800" s="252"/>
    </row>
    <row r="801" spans="3:13" ht="15.75">
      <c r="C801" s="124" t="s">
        <v>147</v>
      </c>
      <c r="D801" s="113">
        <f>Master!V45</f>
        <v>11836</v>
      </c>
      <c r="E801" s="113">
        <f>Master!W45</f>
        <v>12949</v>
      </c>
      <c r="F801" s="113">
        <f>Master!X45</f>
        <v>10340</v>
      </c>
      <c r="G801" s="113">
        <f>Master!Y45</f>
        <v>9187.3919999999998</v>
      </c>
      <c r="H801" s="113">
        <f>Master!Z45</f>
        <v>9717.293698700003</v>
      </c>
      <c r="I801" s="113">
        <f>Master!AA45</f>
        <v>9856.4705040000026</v>
      </c>
      <c r="J801" s="113">
        <f>Master!AB45</f>
        <v>9999.2961712603028</v>
      </c>
      <c r="K801" s="113">
        <f>Master!AC45</f>
        <v>10042.771372004911</v>
      </c>
      <c r="L801" s="113">
        <f>Master!AD45</f>
        <v>9962.4209182076502</v>
      </c>
      <c r="M801" s="113">
        <f>SUM(D801:H801)</f>
        <v>54029.685698700006</v>
      </c>
    </row>
    <row r="802" spans="3:13" ht="15.75">
      <c r="C802" s="253" t="s">
        <v>1063</v>
      </c>
      <c r="D802" s="254">
        <f>Master!V48</f>
        <v>588.85572139303474</v>
      </c>
      <c r="E802" s="254">
        <f>Master!W48</f>
        <v>730.34404963338977</v>
      </c>
      <c r="F802" s="254">
        <f>Master!X48</f>
        <v>565.0273224043716</v>
      </c>
      <c r="G802" s="254">
        <f>Master!Y48</f>
        <v>478.51</v>
      </c>
      <c r="H802" s="254">
        <f>Master!Z48</f>
        <v>559.59076871292848</v>
      </c>
      <c r="I802" s="254">
        <f>Master!AA48</f>
        <v>556.47603665249585</v>
      </c>
      <c r="J802" s="254">
        <f>Master!AB48</f>
        <v>553.47027435461678</v>
      </c>
      <c r="K802" s="254">
        <f>Master!AC48</f>
        <v>544.97712436452014</v>
      </c>
      <c r="L802" s="254">
        <f>Master!AD48</f>
        <v>530.01652735024493</v>
      </c>
      <c r="M802" s="254">
        <f>SUM(D802:H802)</f>
        <v>2922.3278621437248</v>
      </c>
    </row>
    <row r="803" spans="3:13" ht="15.75">
      <c r="C803" s="124" t="s">
        <v>148</v>
      </c>
      <c r="D803" s="115">
        <f>D801/D792</f>
        <v>0.4358592560527671</v>
      </c>
      <c r="E803" s="115">
        <f>E801/E792</f>
        <v>0.43350404780094365</v>
      </c>
      <c r="F803" s="115">
        <f t="shared" ref="F803:K803" si="90">F801/F792</f>
        <v>0.31485179676237351</v>
      </c>
      <c r="G803" s="115">
        <f t="shared" si="90"/>
        <v>0.25931321481321751</v>
      </c>
      <c r="H803" s="115">
        <f t="shared" si="90"/>
        <v>0.2525</v>
      </c>
      <c r="I803" s="115">
        <f t="shared" si="90"/>
        <v>0.24</v>
      </c>
      <c r="J803" s="115">
        <f t="shared" si="90"/>
        <v>0.23</v>
      </c>
      <c r="K803" s="115">
        <f t="shared" si="90"/>
        <v>0.21999999999999997</v>
      </c>
      <c r="L803" s="115">
        <f>L801/L792</f>
        <v>0.20999999999999996</v>
      </c>
      <c r="M803" s="5"/>
    </row>
    <row r="804" spans="3:13" ht="15.75">
      <c r="C804" s="190" t="s">
        <v>92</v>
      </c>
      <c r="D804" s="202">
        <f>D798-D801</f>
        <v>933.01800000000003</v>
      </c>
      <c r="E804" s="202">
        <f>E798-E801</f>
        <v>370.99300000000039</v>
      </c>
      <c r="F804" s="202">
        <f t="shared" ref="F804:K804" si="91">F798-F801</f>
        <v>4289.8529999999992</v>
      </c>
      <c r="G804" s="202">
        <f t="shared" si="91"/>
        <v>6748.6419999999998</v>
      </c>
      <c r="H804" s="202">
        <f t="shared" si="91"/>
        <v>7600.6554673000028</v>
      </c>
      <c r="I804" s="202">
        <f t="shared" si="91"/>
        <v>9035.0979620000053</v>
      </c>
      <c r="J804" s="202">
        <f t="shared" si="91"/>
        <v>10434.048178706402</v>
      </c>
      <c r="K804" s="202">
        <f t="shared" si="91"/>
        <v>11640.484999369328</v>
      </c>
      <c r="L804" s="202">
        <f>L798-L801</f>
        <v>12808.826894838408</v>
      </c>
      <c r="M804" s="189"/>
    </row>
    <row r="805" spans="3:13" ht="15.75">
      <c r="C805" s="124" t="s">
        <v>45</v>
      </c>
      <c r="D805" s="115">
        <f>D804/D792</f>
        <v>3.4358274025332938E-2</v>
      </c>
      <c r="E805" s="115">
        <f>E804/E792</f>
        <v>1.2420029902372049E-2</v>
      </c>
      <c r="F805" s="115">
        <f t="shared" ref="F805:L805" si="92">F804/F792</f>
        <v>0.13062552465149496</v>
      </c>
      <c r="G805" s="115">
        <f t="shared" si="92"/>
        <v>0.1904797414373417</v>
      </c>
      <c r="H805" s="115">
        <f t="shared" si="92"/>
        <v>0.19750000000000004</v>
      </c>
      <c r="I805" s="115">
        <f t="shared" si="92"/>
        <v>0.22000000000000006</v>
      </c>
      <c r="J805" s="115">
        <f t="shared" si="92"/>
        <v>0.24</v>
      </c>
      <c r="K805" s="115">
        <f t="shared" si="92"/>
        <v>0.25499999999999995</v>
      </c>
      <c r="L805" s="115">
        <f t="shared" si="92"/>
        <v>0.27</v>
      </c>
      <c r="M805" s="5"/>
    </row>
    <row r="806" spans="3:13" ht="15.75">
      <c r="C806" s="190"/>
      <c r="D806" s="252"/>
      <c r="E806" s="252"/>
      <c r="F806" s="252"/>
      <c r="G806" s="252"/>
      <c r="H806" s="252"/>
      <c r="I806" s="252"/>
      <c r="J806" s="252"/>
      <c r="K806" s="252"/>
      <c r="L806" s="189"/>
      <c r="M806" s="189"/>
    </row>
    <row r="807" spans="3:13" ht="15.75" outlineLevel="1">
      <c r="C807" s="152" t="s">
        <v>1064</v>
      </c>
      <c r="D807" s="9"/>
      <c r="E807" s="9"/>
      <c r="F807" s="9"/>
      <c r="G807" s="9"/>
      <c r="H807" s="9"/>
      <c r="I807" s="9"/>
      <c r="J807" s="9"/>
      <c r="K807" s="9"/>
      <c r="L807" s="5"/>
      <c r="M807" s="5"/>
    </row>
    <row r="808" spans="3:13" ht="15.75" outlineLevel="1">
      <c r="C808" s="956" t="s">
        <v>902</v>
      </c>
      <c r="D808" s="932">
        <v>2022</v>
      </c>
      <c r="E808" s="932">
        <f>D808+1</f>
        <v>2023</v>
      </c>
      <c r="F808" s="932">
        <f t="shared" ref="F808:L808" si="93">E808+1</f>
        <v>2024</v>
      </c>
      <c r="G808" s="932">
        <f t="shared" si="93"/>
        <v>2025</v>
      </c>
      <c r="H808" s="932">
        <f t="shared" si="93"/>
        <v>2026</v>
      </c>
      <c r="I808" s="932">
        <f t="shared" si="93"/>
        <v>2027</v>
      </c>
      <c r="J808" s="932">
        <f t="shared" si="93"/>
        <v>2028</v>
      </c>
      <c r="K808" s="932">
        <f t="shared" si="93"/>
        <v>2029</v>
      </c>
      <c r="L808" s="932">
        <f t="shared" si="93"/>
        <v>2030</v>
      </c>
      <c r="M808" s="5"/>
    </row>
    <row r="809" spans="3:13" ht="15.75" outlineLevel="1">
      <c r="C809" s="190" t="s">
        <v>43</v>
      </c>
      <c r="D809" s="202">
        <v>27155.555</v>
      </c>
      <c r="E809" s="202">
        <v>29655.320710804073</v>
      </c>
      <c r="F809" s="202">
        <v>32677.826293296472</v>
      </c>
      <c r="G809" s="202">
        <v>35778.094703507391</v>
      </c>
      <c r="H809" s="202">
        <v>38486.917499743155</v>
      </c>
      <c r="I809" s="202">
        <v>40684.583452397972</v>
      </c>
      <c r="J809" s="202">
        <v>42721.934927825758</v>
      </c>
      <c r="K809" s="202">
        <v>44721.678454322282</v>
      </c>
      <c r="L809" s="202">
        <v>46765.759890292567</v>
      </c>
      <c r="M809" s="202">
        <v>163753.71420735109</v>
      </c>
    </row>
    <row r="810" spans="3:13" ht="15.75" outlineLevel="1">
      <c r="C810" s="150"/>
      <c r="D810" s="9"/>
      <c r="E810" s="9"/>
      <c r="F810" s="9"/>
      <c r="G810" s="9"/>
      <c r="H810" s="9"/>
      <c r="I810" s="9"/>
      <c r="J810" s="9"/>
      <c r="K810" s="9"/>
      <c r="L810" s="9"/>
      <c r="M810" s="9"/>
    </row>
    <row r="811" spans="3:13" ht="15.75" outlineLevel="1">
      <c r="C811" s="251" t="s">
        <v>1065</v>
      </c>
      <c r="D811" s="202">
        <v>11217.599999999999</v>
      </c>
      <c r="E811" s="202">
        <v>12682.599999999999</v>
      </c>
      <c r="F811" s="202">
        <v>14032.599999999999</v>
      </c>
      <c r="G811" s="202">
        <v>15017.599999999999</v>
      </c>
      <c r="H811" s="202">
        <v>15557.599999999999</v>
      </c>
      <c r="I811" s="202">
        <v>15987.599999999999</v>
      </c>
      <c r="J811" s="202">
        <v>16307.599999999999</v>
      </c>
      <c r="K811" s="202">
        <v>16617.599999999999</v>
      </c>
      <c r="L811" s="202">
        <v>16917.599999999999</v>
      </c>
      <c r="M811" s="202">
        <v>16917.599999999999</v>
      </c>
    </row>
    <row r="812" spans="3:13" ht="15.75" outlineLevel="1">
      <c r="C812" s="150" t="s">
        <v>1066</v>
      </c>
      <c r="D812" s="113">
        <v>4137.8599999999997</v>
      </c>
      <c r="E812" s="113">
        <v>4697.8599999999997</v>
      </c>
      <c r="F812" s="113">
        <v>5297.86</v>
      </c>
      <c r="G812" s="113">
        <v>5797.86</v>
      </c>
      <c r="H812" s="113">
        <v>6097.86</v>
      </c>
      <c r="I812" s="113">
        <v>6297.86</v>
      </c>
      <c r="J812" s="113">
        <v>6447.86</v>
      </c>
      <c r="K812" s="113">
        <v>6597.86</v>
      </c>
      <c r="L812" s="113">
        <v>6747.86</v>
      </c>
      <c r="M812" s="113">
        <v>6747.86</v>
      </c>
    </row>
    <row r="813" spans="3:13" ht="15.75" outlineLevel="1">
      <c r="C813" s="251" t="s">
        <v>338</v>
      </c>
      <c r="D813" s="202">
        <v>4397.9939999999997</v>
      </c>
      <c r="E813" s="202">
        <v>4915.7364341085267</v>
      </c>
      <c r="F813" s="202">
        <v>5438.9922480620153</v>
      </c>
      <c r="G813" s="202">
        <v>5820.7751937984494</v>
      </c>
      <c r="H813" s="202">
        <v>6030.0775193798445</v>
      </c>
      <c r="I813" s="202">
        <v>6196.7441860465115</v>
      </c>
      <c r="J813" s="202">
        <v>6320.7751937984494</v>
      </c>
      <c r="K813" s="202">
        <v>6440.9302325581384</v>
      </c>
      <c r="L813" s="202">
        <v>6557.2093023255802</v>
      </c>
      <c r="M813" s="202">
        <v>6557.2093023255802</v>
      </c>
    </row>
    <row r="814" spans="3:13" ht="15.75" outlineLevel="1">
      <c r="C814" s="150"/>
      <c r="D814" s="9"/>
      <c r="E814" s="9"/>
      <c r="F814" s="9"/>
      <c r="G814" s="9"/>
      <c r="H814" s="9"/>
      <c r="I814" s="9"/>
      <c r="J814" s="9"/>
      <c r="K814" s="9"/>
      <c r="L814" s="9"/>
      <c r="M814" s="9"/>
    </row>
    <row r="815" spans="3:13" ht="15.75" outlineLevel="1">
      <c r="C815" s="190" t="s">
        <v>295</v>
      </c>
      <c r="D815" s="202">
        <v>12769.018</v>
      </c>
      <c r="E815" s="202">
        <v>13127.996725192865</v>
      </c>
      <c r="F815" s="202">
        <v>14289.695963449894</v>
      </c>
      <c r="G815" s="202">
        <v>15887.583463613404</v>
      </c>
      <c r="H815" s="202">
        <v>17097.070312881853</v>
      </c>
      <c r="I815" s="202">
        <v>18068.599339613065</v>
      </c>
      <c r="J815" s="202">
        <v>18963.313206752551</v>
      </c>
      <c r="K815" s="202">
        <v>19837.389419623127</v>
      </c>
      <c r="L815" s="202">
        <v>20728.230725059442</v>
      </c>
      <c r="M815" s="202">
        <v>73171.364465138016</v>
      </c>
    </row>
    <row r="816" spans="3:13" ht="15.75" outlineLevel="1">
      <c r="C816" s="124" t="s">
        <v>45</v>
      </c>
      <c r="D816" s="126">
        <v>0.47021753007810002</v>
      </c>
      <c r="E816" s="126">
        <v>0.44268604791753446</v>
      </c>
      <c r="F816" s="126">
        <v>0.4372902847084808</v>
      </c>
      <c r="G816" s="126">
        <v>0.4440589582892438</v>
      </c>
      <c r="H816" s="126">
        <v>0.44423070028915546</v>
      </c>
      <c r="I816" s="126">
        <v>0.44411415347913785</v>
      </c>
      <c r="J816" s="126">
        <v>0.44387767639244541</v>
      </c>
      <c r="K816" s="126">
        <v>0.44357434929202377</v>
      </c>
      <c r="L816" s="126">
        <v>0.44323519544396667</v>
      </c>
      <c r="M816" s="9"/>
    </row>
    <row r="817" spans="3:13" ht="15.75" outlineLevel="1">
      <c r="C817" s="190"/>
      <c r="D817" s="252"/>
      <c r="E817" s="252"/>
      <c r="F817" s="252"/>
      <c r="G817" s="252"/>
      <c r="H817" s="252"/>
      <c r="I817" s="252"/>
      <c r="J817" s="252"/>
      <c r="K817" s="252"/>
      <c r="L817" s="252"/>
      <c r="M817" s="252"/>
    </row>
    <row r="818" spans="3:13" ht="15.75" outlineLevel="1">
      <c r="C818" s="124" t="s">
        <v>147</v>
      </c>
      <c r="D818" s="113">
        <v>11836</v>
      </c>
      <c r="E818" s="113">
        <v>12677.649603868742</v>
      </c>
      <c r="F818" s="113">
        <v>11110.460939720801</v>
      </c>
      <c r="G818" s="113">
        <v>9302.3046229119227</v>
      </c>
      <c r="H818" s="113">
        <v>9236.8601999383573</v>
      </c>
      <c r="I818" s="113">
        <v>9357.4541940515337</v>
      </c>
      <c r="J818" s="113">
        <v>9398.8256841216662</v>
      </c>
      <c r="K818" s="113">
        <v>9838.7692599509028</v>
      </c>
      <c r="L818" s="113">
        <v>10288.467175864365</v>
      </c>
      <c r="M818" s="113">
        <v>54163.275366439819</v>
      </c>
    </row>
    <row r="819" spans="3:13" ht="15.75" outlineLevel="1">
      <c r="C819" s="253" t="s">
        <v>1063</v>
      </c>
      <c r="D819" s="254">
        <v>588.85572139303474</v>
      </c>
      <c r="E819" s="254">
        <v>745.74409434522011</v>
      </c>
      <c r="F819" s="254">
        <v>653.55652586592942</v>
      </c>
      <c r="G819" s="254">
        <v>547.19438958305432</v>
      </c>
      <c r="H819" s="254">
        <v>543.34471764343277</v>
      </c>
      <c r="I819" s="254">
        <v>550.43848200303137</v>
      </c>
      <c r="J819" s="254">
        <v>552.87209906598036</v>
      </c>
      <c r="K819" s="254">
        <v>578.75113293828838</v>
      </c>
      <c r="L819" s="254">
        <v>605.20395152143328</v>
      </c>
      <c r="M819" s="254">
        <v>3078.6954488306715</v>
      </c>
    </row>
    <row r="820" spans="3:13" ht="15.75" outlineLevel="1">
      <c r="C820" s="124" t="s">
        <v>148</v>
      </c>
      <c r="D820" s="115">
        <v>0.4358592560527671</v>
      </c>
      <c r="E820" s="115">
        <v>0.42750000000000005</v>
      </c>
      <c r="F820" s="115">
        <v>0.34</v>
      </c>
      <c r="G820" s="115">
        <v>0.26</v>
      </c>
      <c r="H820" s="115">
        <v>0.24</v>
      </c>
      <c r="I820" s="115">
        <v>0.23</v>
      </c>
      <c r="J820" s="115">
        <v>0.22</v>
      </c>
      <c r="K820" s="115">
        <v>0.22000000000000003</v>
      </c>
      <c r="L820" s="115">
        <v>0.22</v>
      </c>
      <c r="M820" s="5"/>
    </row>
    <row r="821" spans="3:13" ht="15.75" outlineLevel="1">
      <c r="C821" s="190" t="s">
        <v>92</v>
      </c>
      <c r="D821" s="202">
        <v>933.01800000000003</v>
      </c>
      <c r="E821" s="202">
        <v>450.34712132412278</v>
      </c>
      <c r="F821" s="202">
        <v>3179.2350237290939</v>
      </c>
      <c r="G821" s="202">
        <v>6585.2788407014814</v>
      </c>
      <c r="H821" s="202">
        <v>7860.2101129434959</v>
      </c>
      <c r="I821" s="202">
        <v>8711.1451455615315</v>
      </c>
      <c r="J821" s="202">
        <v>9564.487522630885</v>
      </c>
      <c r="K821" s="202">
        <v>9998.620159672224</v>
      </c>
      <c r="L821" s="202">
        <v>10439.763549195077</v>
      </c>
      <c r="M821" s="189"/>
    </row>
    <row r="822" spans="3:13" ht="15.75" outlineLevel="1">
      <c r="C822" s="124" t="s">
        <v>45</v>
      </c>
      <c r="D822" s="115">
        <v>3.4358274025332938E-2</v>
      </c>
      <c r="E822" s="115">
        <v>1.5186047917534461E-2</v>
      </c>
      <c r="F822" s="115">
        <v>9.7290284708480806E-2</v>
      </c>
      <c r="G822" s="115">
        <v>0.18405895828924379</v>
      </c>
      <c r="H822" s="115">
        <v>0.20423070028915544</v>
      </c>
      <c r="I822" s="115">
        <v>0.21411415347913784</v>
      </c>
      <c r="J822" s="115">
        <v>0.22387767639244541</v>
      </c>
      <c r="K822" s="115">
        <v>0.22357434929202377</v>
      </c>
      <c r="L822" s="115">
        <v>0.22323519544396664</v>
      </c>
      <c r="M822" s="5"/>
    </row>
    <row r="823" spans="3:13" ht="15.75" outlineLevel="1">
      <c r="C823" s="190"/>
      <c r="D823" s="252"/>
      <c r="E823" s="252"/>
      <c r="F823" s="252"/>
      <c r="G823" s="252"/>
      <c r="H823" s="252"/>
      <c r="I823" s="252"/>
      <c r="J823" s="252"/>
      <c r="K823" s="252"/>
      <c r="L823" s="189"/>
      <c r="M823" s="189"/>
    </row>
    <row r="824" spans="3:13" outlineLevel="1">
      <c r="D824"/>
      <c r="E824"/>
    </row>
    <row r="825" spans="3:13" ht="15.75">
      <c r="C825" s="956" t="s">
        <v>131</v>
      </c>
      <c r="D825" s="932">
        <v>2022</v>
      </c>
      <c r="E825" s="932">
        <f>D825+1</f>
        <v>2023</v>
      </c>
      <c r="F825" s="932">
        <f t="shared" ref="F825:L825" si="94">E825+1</f>
        <v>2024</v>
      </c>
      <c r="G825" s="932">
        <f t="shared" si="94"/>
        <v>2025</v>
      </c>
      <c r="H825" s="932">
        <f t="shared" si="94"/>
        <v>2026</v>
      </c>
      <c r="I825" s="932">
        <f t="shared" si="94"/>
        <v>2027</v>
      </c>
      <c r="J825" s="932">
        <f t="shared" si="94"/>
        <v>2028</v>
      </c>
      <c r="K825" s="932">
        <f t="shared" si="94"/>
        <v>2029</v>
      </c>
      <c r="L825" s="932">
        <f t="shared" si="94"/>
        <v>2030</v>
      </c>
      <c r="M825" s="9"/>
    </row>
    <row r="826" spans="3:13" ht="15.75">
      <c r="C826" s="190" t="s">
        <v>43</v>
      </c>
      <c r="D826" s="255">
        <f>D792/D809-1</f>
        <v>0</v>
      </c>
      <c r="E826" s="255">
        <f>E792/E809-1</f>
        <v>7.2573583437092193E-3</v>
      </c>
      <c r="F826" s="255">
        <f>F792/F809-1</f>
        <v>4.9887561443144879E-3</v>
      </c>
      <c r="G826" s="255">
        <f t="shared" ref="G826:L826" si="95">G792/G809-1</f>
        <v>-9.7373744016960861E-3</v>
      </c>
      <c r="H826" s="255">
        <f t="shared" si="95"/>
        <v>-6.7192176228858536E-5</v>
      </c>
      <c r="I826" s="255">
        <f t="shared" si="95"/>
        <v>9.4395374122824283E-3</v>
      </c>
      <c r="J826" s="255">
        <f t="shared" si="95"/>
        <v>1.763182819450515E-2</v>
      </c>
      <c r="K826" s="255">
        <f t="shared" si="95"/>
        <v>2.0734515330530945E-2</v>
      </c>
      <c r="L826" s="255">
        <f t="shared" si="95"/>
        <v>1.4419518079081595E-2</v>
      </c>
      <c r="M826" s="202">
        <f>M792-M809</f>
        <v>27.270272648893297</v>
      </c>
    </row>
    <row r="827" spans="3:13" ht="15.75">
      <c r="C827" s="150"/>
      <c r="D827" s="9"/>
      <c r="E827" s="9"/>
      <c r="F827" s="9"/>
      <c r="G827" s="9"/>
      <c r="H827" s="9"/>
      <c r="I827" s="9"/>
      <c r="J827" s="9"/>
      <c r="K827" s="9"/>
      <c r="L827" s="9"/>
      <c r="M827" s="9"/>
    </row>
    <row r="828" spans="3:13" ht="15.75">
      <c r="C828" s="251" t="s">
        <v>1061</v>
      </c>
      <c r="D828" s="202">
        <f t="shared" ref="D828:F830" si="96">D794-D811</f>
        <v>0</v>
      </c>
      <c r="E828" s="202">
        <f t="shared" si="96"/>
        <v>35.097000000001572</v>
      </c>
      <c r="F828" s="202">
        <f t="shared" si="96"/>
        <v>-104.53699999999844</v>
      </c>
      <c r="G828" s="202">
        <f t="shared" ref="G828:L828" si="97">G794-G811</f>
        <v>-43.510999999998603</v>
      </c>
      <c r="H828" s="202">
        <f t="shared" si="97"/>
        <v>163.4890000000014</v>
      </c>
      <c r="I828" s="202">
        <f t="shared" si="97"/>
        <v>213.4890000000014</v>
      </c>
      <c r="J828" s="202">
        <f t="shared" si="97"/>
        <v>308.4890000000014</v>
      </c>
      <c r="K828" s="202">
        <f t="shared" si="97"/>
        <v>323.4890000000014</v>
      </c>
      <c r="L828" s="202">
        <f t="shared" si="97"/>
        <v>278.4890000000014</v>
      </c>
      <c r="M828" s="202">
        <f>M794-M811</f>
        <v>278.4890000000014</v>
      </c>
    </row>
    <row r="829" spans="3:13" ht="15.75">
      <c r="C829" s="150" t="s">
        <v>1062</v>
      </c>
      <c r="D829" s="113">
        <f t="shared" si="96"/>
        <v>0</v>
      </c>
      <c r="E829" s="113">
        <f t="shared" si="96"/>
        <v>23.692000000000007</v>
      </c>
      <c r="F829" s="113">
        <f t="shared" si="96"/>
        <v>14.090000000000146</v>
      </c>
      <c r="G829" s="113">
        <f t="shared" ref="G829:L829" si="98">G795-G812</f>
        <v>7.8590000000003783</v>
      </c>
      <c r="H829" s="113">
        <f t="shared" si="98"/>
        <v>107.85900000000038</v>
      </c>
      <c r="I829" s="113">
        <f t="shared" si="98"/>
        <v>107.85900000000038</v>
      </c>
      <c r="J829" s="113">
        <f t="shared" si="98"/>
        <v>132.85900000000038</v>
      </c>
      <c r="K829" s="113">
        <f t="shared" si="98"/>
        <v>132.85900000000038</v>
      </c>
      <c r="L829" s="113">
        <f t="shared" si="98"/>
        <v>107.85900000000038</v>
      </c>
      <c r="M829" s="113">
        <f>M795-M812</f>
        <v>107.85900000000038</v>
      </c>
    </row>
    <row r="830" spans="3:13" ht="15.75">
      <c r="C830" s="251" t="s">
        <v>800</v>
      </c>
      <c r="D830" s="202">
        <f t="shared" si="96"/>
        <v>0</v>
      </c>
      <c r="E830" s="202">
        <f t="shared" si="96"/>
        <v>30.089565891473285</v>
      </c>
      <c r="F830" s="202">
        <f t="shared" si="96"/>
        <v>81.186751937984809</v>
      </c>
      <c r="G830" s="202">
        <f t="shared" ref="G830:L830" si="99">G796-G813</f>
        <v>133.13693343813156</v>
      </c>
      <c r="H830" s="202">
        <f t="shared" si="99"/>
        <v>220.85250050087143</v>
      </c>
      <c r="I830" s="202">
        <f t="shared" si="99"/>
        <v>245.04070460955245</v>
      </c>
      <c r="J830" s="202">
        <f t="shared" si="99"/>
        <v>286.0196372154669</v>
      </c>
      <c r="K830" s="202">
        <f t="shared" si="99"/>
        <v>295.089250543253</v>
      </c>
      <c r="L830" s="202">
        <f t="shared" si="99"/>
        <v>280.20183087521491</v>
      </c>
      <c r="M830" s="202">
        <f>M796-M813</f>
        <v>280.20183087521491</v>
      </c>
    </row>
    <row r="831" spans="3:13" ht="15.75">
      <c r="C831" s="150"/>
      <c r="D831" s="9"/>
      <c r="E831" s="9"/>
      <c r="F831" s="9"/>
      <c r="G831" s="9"/>
      <c r="H831" s="9"/>
      <c r="I831" s="9"/>
      <c r="J831" s="9"/>
      <c r="K831" s="9"/>
      <c r="L831" s="9"/>
      <c r="M831" s="5"/>
    </row>
    <row r="832" spans="3:13" ht="15.75">
      <c r="C832" s="190" t="s">
        <v>295</v>
      </c>
      <c r="D832" s="255">
        <f>D798/D815-1</f>
        <v>0</v>
      </c>
      <c r="E832" s="255">
        <f>E798/E815-1</f>
        <v>1.4624948408060723E-2</v>
      </c>
      <c r="F832" s="255">
        <f>F798/F815-1</f>
        <v>2.3804357868785875E-2</v>
      </c>
      <c r="G832" s="255">
        <f t="shared" ref="G832:L832" si="100">G798/G815-1</f>
        <v>3.0495850106819766E-3</v>
      </c>
      <c r="H832" s="255">
        <f t="shared" si="100"/>
        <v>1.2919105383319973E-2</v>
      </c>
      <c r="I832" s="255">
        <f t="shared" si="100"/>
        <v>4.5546924303240699E-2</v>
      </c>
      <c r="J832" s="255">
        <f t="shared" si="100"/>
        <v>7.7519741787036356E-2</v>
      </c>
      <c r="K832" s="255">
        <f t="shared" si="100"/>
        <v>9.3049892438224813E-2</v>
      </c>
      <c r="L832" s="255">
        <f t="shared" si="100"/>
        <v>9.8562058435441191E-2</v>
      </c>
      <c r="M832" s="202">
        <f>M798-M815</f>
        <v>801.48270086199045</v>
      </c>
    </row>
    <row r="833" spans="1:13" ht="15.75">
      <c r="C833" s="124" t="s">
        <v>1067</v>
      </c>
      <c r="D833" s="125">
        <f>(D799-D816)*100</f>
        <v>0</v>
      </c>
      <c r="E833" s="125">
        <f>(E799-E816)*100</f>
        <v>0.3238029785781249</v>
      </c>
      <c r="F833" s="125">
        <f>(F799-F816)*100</f>
        <v>0.81870367053876736</v>
      </c>
      <c r="G833" s="125">
        <f t="shared" ref="G833:L833" si="101">(G799-G816)*100</f>
        <v>0.57339979613154068</v>
      </c>
      <c r="H833" s="125">
        <f t="shared" si="101"/>
        <v>0.57692997108446109</v>
      </c>
      <c r="I833" s="125">
        <f t="shared" si="101"/>
        <v>1.5885846520862223</v>
      </c>
      <c r="J833" s="125">
        <f t="shared" si="101"/>
        <v>2.6122323607554563</v>
      </c>
      <c r="K833" s="125">
        <f t="shared" si="101"/>
        <v>3.1425650707976205</v>
      </c>
      <c r="L833" s="125">
        <f t="shared" si="101"/>
        <v>3.6764804556033317</v>
      </c>
      <c r="M833" s="115"/>
    </row>
    <row r="834" spans="1:13" ht="15.75">
      <c r="C834" s="190"/>
      <c r="D834" s="252"/>
      <c r="E834" s="252"/>
      <c r="F834" s="252"/>
      <c r="G834" s="252"/>
      <c r="H834" s="252"/>
      <c r="I834" s="252"/>
      <c r="J834" s="252"/>
      <c r="K834" s="252"/>
      <c r="L834" s="252"/>
      <c r="M834" s="189"/>
    </row>
    <row r="835" spans="1:13" ht="15.75">
      <c r="C835" s="124" t="s">
        <v>147</v>
      </c>
      <c r="D835" s="126">
        <f>D801/D818-1</f>
        <v>0</v>
      </c>
      <c r="E835" s="126">
        <f>E801/E818-1</f>
        <v>2.1403840980780187E-2</v>
      </c>
      <c r="F835" s="126">
        <f>F801/F818-1</f>
        <v>-6.934554235876389E-2</v>
      </c>
      <c r="G835" s="126">
        <f t="shared" ref="G835:L835" si="102">G801/G818-1</f>
        <v>-1.2353134795101028E-2</v>
      </c>
      <c r="H835" s="126">
        <f t="shared" si="102"/>
        <v>5.2012641564592732E-2</v>
      </c>
      <c r="I835" s="126">
        <f t="shared" si="102"/>
        <v>5.3328212951947007E-2</v>
      </c>
      <c r="J835" s="126">
        <f t="shared" si="102"/>
        <v>6.3887820385164495E-2</v>
      </c>
      <c r="K835" s="126">
        <f t="shared" si="102"/>
        <v>2.0734515330530945E-2</v>
      </c>
      <c r="L835" s="126">
        <f t="shared" si="102"/>
        <v>-3.1690460015422417E-2</v>
      </c>
      <c r="M835" s="113">
        <f>M801-M818</f>
        <v>-133.58966773981228</v>
      </c>
    </row>
    <row r="836" spans="1:13" ht="15.75">
      <c r="C836" s="190" t="s">
        <v>1068</v>
      </c>
      <c r="D836" s="256">
        <f>(D803-D820)*100</f>
        <v>0</v>
      </c>
      <c r="E836" s="256">
        <f>(E803-E820)*100</f>
        <v>0.60040478009436016</v>
      </c>
      <c r="F836" s="256">
        <f>(F803-F820)*100</f>
        <v>-2.5148203237626507</v>
      </c>
      <c r="G836" s="256">
        <f t="shared" ref="G836:L836" si="103">(G803-G820)*100</f>
        <v>-6.8678518678250144E-2</v>
      </c>
      <c r="H836" s="256">
        <f t="shared" si="103"/>
        <v>1.2500000000000011</v>
      </c>
      <c r="I836" s="256">
        <f t="shared" si="103"/>
        <v>0.99999999999999811</v>
      </c>
      <c r="J836" s="256">
        <f t="shared" si="103"/>
        <v>1.0000000000000009</v>
      </c>
      <c r="K836" s="256">
        <f t="shared" si="103"/>
        <v>-5.5511151231257827E-15</v>
      </c>
      <c r="L836" s="256">
        <f t="shared" si="103"/>
        <v>-1.0000000000000036</v>
      </c>
      <c r="M836" s="254">
        <f>M802-M819</f>
        <v>-156.36758668694665</v>
      </c>
    </row>
    <row r="837" spans="1:13" ht="15.75">
      <c r="C837" s="124" t="s">
        <v>92</v>
      </c>
      <c r="D837" s="126">
        <f>D804/D821-1</f>
        <v>0</v>
      </c>
      <c r="E837" s="126">
        <f>E804/E821-1</f>
        <v>-0.17620656948090008</v>
      </c>
      <c r="F837" s="126">
        <f>F804/F821-1</f>
        <v>0.34933497145744274</v>
      </c>
      <c r="G837" s="126">
        <f t="shared" ref="G837:L837" si="104">G804/G821-1</f>
        <v>2.4807326044999467E-2</v>
      </c>
      <c r="H837" s="126">
        <f t="shared" si="104"/>
        <v>-3.3021336823564229E-2</v>
      </c>
      <c r="I837" s="126">
        <f t="shared" si="104"/>
        <v>3.7188315775398717E-2</v>
      </c>
      <c r="J837" s="126">
        <f t="shared" si="104"/>
        <v>9.0915551305599696E-2</v>
      </c>
      <c r="K837" s="126">
        <f t="shared" si="104"/>
        <v>0.16420914220937144</v>
      </c>
      <c r="L837" s="126">
        <f t="shared" si="104"/>
        <v>0.22692691596698</v>
      </c>
      <c r="M837" s="5"/>
    </row>
    <row r="838" spans="1:13" ht="15.75">
      <c r="C838" s="190" t="s">
        <v>1067</v>
      </c>
      <c r="D838" s="256">
        <f>(D805-D822)*100</f>
        <v>0</v>
      </c>
      <c r="E838" s="256">
        <f>(E805-E822)*100</f>
        <v>-0.27660180151624114</v>
      </c>
      <c r="F838" s="256">
        <f>(F805-F822)*100</f>
        <v>3.3335239943014154</v>
      </c>
      <c r="G838" s="256">
        <f t="shared" ref="G838:L838" si="105">(G805-G822)*100</f>
        <v>0.64207831480979083</v>
      </c>
      <c r="H838" s="256">
        <f t="shared" si="105"/>
        <v>-0.67307002891554002</v>
      </c>
      <c r="I838" s="256">
        <f t="shared" si="105"/>
        <v>0.58858465208622146</v>
      </c>
      <c r="J838" s="256">
        <f t="shared" si="105"/>
        <v>1.6122323607554585</v>
      </c>
      <c r="K838" s="256">
        <f t="shared" si="105"/>
        <v>3.1425650707976178</v>
      </c>
      <c r="L838" s="256">
        <f t="shared" si="105"/>
        <v>4.6764804556033379</v>
      </c>
      <c r="M838" s="189"/>
    </row>
    <row r="839" spans="1:13">
      <c r="C839" s="43"/>
    </row>
    <row r="840" spans="1:13">
      <c r="C840" s="43" t="s">
        <v>1069</v>
      </c>
    </row>
    <row r="841" spans="1:13">
      <c r="C841" s="43"/>
    </row>
    <row r="842" spans="1:13">
      <c r="C842" s="957" t="s">
        <v>1070</v>
      </c>
      <c r="D842" s="921" t="s">
        <v>1071</v>
      </c>
      <c r="E842" s="921" t="s">
        <v>1072</v>
      </c>
    </row>
    <row r="843" spans="1:13">
      <c r="C843" s="43" t="s">
        <v>1073</v>
      </c>
      <c r="D843" s="119">
        <f>160/A844</f>
        <v>29.09090909090909</v>
      </c>
      <c r="E843" s="119">
        <f>800/A844</f>
        <v>145.45454545454547</v>
      </c>
    </row>
    <row r="844" spans="1:13">
      <c r="A844">
        <v>5.5</v>
      </c>
      <c r="C844" s="43" t="s">
        <v>1074</v>
      </c>
      <c r="D844" s="119">
        <f>300*0.75/A844</f>
        <v>40.909090909090907</v>
      </c>
      <c r="E844" s="119">
        <f>600*0.9/A844</f>
        <v>98.181818181818187</v>
      </c>
    </row>
    <row r="845" spans="1:13">
      <c r="C845" s="43" t="s">
        <v>1075</v>
      </c>
      <c r="D845" s="119">
        <v>50</v>
      </c>
      <c r="E845" s="119">
        <v>150</v>
      </c>
    </row>
    <row r="846" spans="1:13">
      <c r="C846" s="43" t="s">
        <v>1076</v>
      </c>
      <c r="D846" s="119">
        <v>75</v>
      </c>
      <c r="E846" s="119">
        <v>150</v>
      </c>
    </row>
    <row r="847" spans="1:13">
      <c r="C847" s="43" t="s">
        <v>1077</v>
      </c>
      <c r="D847" s="119">
        <v>100</v>
      </c>
      <c r="E847" s="119">
        <v>150</v>
      </c>
    </row>
    <row r="848" spans="1:13">
      <c r="C848" s="43" t="s">
        <v>1078</v>
      </c>
      <c r="D848" s="119">
        <f>100/(820/1000)</f>
        <v>121.95121951219512</v>
      </c>
      <c r="E848" s="119">
        <f>200/(820/1000)</f>
        <v>243.90243902439025</v>
      </c>
    </row>
    <row r="849" spans="3:6">
      <c r="C849" s="43" t="s">
        <v>697</v>
      </c>
    </row>
    <row r="850" spans="3:6">
      <c r="C850" s="43"/>
    </row>
    <row r="851" spans="3:6">
      <c r="C851" s="43"/>
    </row>
    <row r="852" spans="3:6">
      <c r="C852" s="43"/>
    </row>
    <row r="853" spans="3:6">
      <c r="C853" s="43"/>
    </row>
    <row r="854" spans="3:6">
      <c r="C854" s="43"/>
    </row>
    <row r="855" spans="3:6">
      <c r="C855" s="43"/>
    </row>
    <row r="856" spans="3:6">
      <c r="C856" s="43"/>
    </row>
    <row r="857" spans="3:6">
      <c r="C857" s="43"/>
    </row>
    <row r="858" spans="3:6">
      <c r="C858" s="43"/>
    </row>
    <row r="859" spans="3:6">
      <c r="C859" s="43"/>
    </row>
    <row r="860" spans="3:6">
      <c r="C860" s="919"/>
      <c r="D860" s="921">
        <v>2017</v>
      </c>
      <c r="E860" s="921">
        <f>D860+1</f>
        <v>2018</v>
      </c>
      <c r="F860" s="921" t="e">
        <f>#REF!+1</f>
        <v>#REF!</v>
      </c>
    </row>
    <row r="861" spans="3:6">
      <c r="C861" t="s">
        <v>122</v>
      </c>
      <c r="D861" s="13"/>
      <c r="E861" s="13"/>
    </row>
    <row r="862" spans="3:6">
      <c r="C862" s="43" t="s">
        <v>1079</v>
      </c>
      <c r="F862">
        <v>3193</v>
      </c>
    </row>
    <row r="863" spans="3:6">
      <c r="C863" s="43" t="s">
        <v>1080</v>
      </c>
      <c r="F863">
        <v>317</v>
      </c>
    </row>
    <row r="865" spans="3:6">
      <c r="C865" t="s">
        <v>1081</v>
      </c>
    </row>
    <row r="866" spans="3:6">
      <c r="C866" s="43" t="s">
        <v>1079</v>
      </c>
      <c r="F866">
        <v>0</v>
      </c>
    </row>
    <row r="867" spans="3:6">
      <c r="C867" s="43" t="s">
        <v>1080</v>
      </c>
      <c r="F867">
        <v>14</v>
      </c>
    </row>
    <row r="869" spans="3:6">
      <c r="C869" t="s">
        <v>856</v>
      </c>
    </row>
    <row r="870" spans="3:6">
      <c r="C870" s="43" t="s">
        <v>1079</v>
      </c>
      <c r="F870" s="13">
        <v>2358</v>
      </c>
    </row>
    <row r="871" spans="3:6">
      <c r="C871" s="43" t="s">
        <v>1080</v>
      </c>
      <c r="F871">
        <v>193</v>
      </c>
    </row>
    <row r="873" spans="3:6">
      <c r="C873" t="s">
        <v>123</v>
      </c>
    </row>
    <row r="874" spans="3:6">
      <c r="C874" s="43" t="s">
        <v>1079</v>
      </c>
      <c r="F874">
        <f>8154+366</f>
        <v>8520</v>
      </c>
    </row>
    <row r="875" spans="3:6">
      <c r="C875" s="43" t="s">
        <v>1080</v>
      </c>
      <c r="F875">
        <f>1412+78</f>
        <v>1490</v>
      </c>
    </row>
    <row r="877" spans="3:6">
      <c r="C877" t="s">
        <v>1082</v>
      </c>
    </row>
    <row r="878" spans="3:6">
      <c r="C878" s="43" t="s">
        <v>1079</v>
      </c>
      <c r="F878">
        <f>1928+464+603+835+1354+10</f>
        <v>5194</v>
      </c>
    </row>
    <row r="879" spans="3:6">
      <c r="C879" s="43" t="s">
        <v>1080</v>
      </c>
      <c r="F879">
        <f>77+16+10+35+68+16</f>
        <v>222</v>
      </c>
    </row>
    <row r="881" spans="3:13">
      <c r="C881" t="s">
        <v>39</v>
      </c>
    </row>
    <row r="882" spans="3:13">
      <c r="C882" s="43" t="s">
        <v>1079</v>
      </c>
      <c r="E882" s="90">
        <v>16116</v>
      </c>
      <c r="F882">
        <v>19270</v>
      </c>
    </row>
    <row r="883" spans="3:13">
      <c r="C883" s="43" t="s">
        <v>1080</v>
      </c>
      <c r="E883" s="90">
        <v>2221</v>
      </c>
      <c r="F883">
        <v>2238</v>
      </c>
    </row>
    <row r="886" spans="3:13" ht="15.75">
      <c r="C886" s="958" t="s">
        <v>1083</v>
      </c>
      <c r="D886" s="951" t="s">
        <v>400</v>
      </c>
      <c r="E886" s="951" t="s">
        <v>401</v>
      </c>
      <c r="F886" s="951" t="s">
        <v>402</v>
      </c>
      <c r="G886" s="951" t="s">
        <v>403</v>
      </c>
      <c r="H886" s="951" t="s">
        <v>404</v>
      </c>
      <c r="I886" s="951" t="s">
        <v>405</v>
      </c>
      <c r="J886" s="951" t="s">
        <v>406</v>
      </c>
      <c r="K886" s="951" t="s">
        <v>407</v>
      </c>
      <c r="L886" s="951" t="s">
        <v>408</v>
      </c>
      <c r="M886" s="951" t="s">
        <v>409</v>
      </c>
    </row>
    <row r="887" spans="3:13">
      <c r="C887" t="s">
        <v>677</v>
      </c>
      <c r="D887" s="14">
        <v>9684</v>
      </c>
      <c r="E887" s="14">
        <v>9722</v>
      </c>
      <c r="F887" s="14">
        <v>9693</v>
      </c>
      <c r="G887" s="14">
        <v>9798</v>
      </c>
      <c r="H887" s="14">
        <v>9861</v>
      </c>
      <c r="I887" s="14">
        <v>9978</v>
      </c>
      <c r="J887" s="14">
        <v>10011</v>
      </c>
      <c r="K887" s="14">
        <v>9992</v>
      </c>
      <c r="L887" s="14">
        <v>9954</v>
      </c>
      <c r="M887" s="14">
        <v>10048</v>
      </c>
    </row>
    <row r="888" spans="3:13">
      <c r="C888" t="s">
        <v>1081</v>
      </c>
      <c r="D888" s="14">
        <v>0</v>
      </c>
      <c r="E888" s="14">
        <v>0</v>
      </c>
      <c r="F888" s="14">
        <v>0</v>
      </c>
      <c r="G888" s="14">
        <v>0</v>
      </c>
      <c r="H888" s="14">
        <v>0</v>
      </c>
      <c r="I888" s="14">
        <v>0</v>
      </c>
      <c r="J888" s="14">
        <v>0</v>
      </c>
      <c r="K888" s="14">
        <v>0</v>
      </c>
      <c r="L888" s="14">
        <v>0</v>
      </c>
      <c r="M888" s="14">
        <v>0</v>
      </c>
    </row>
    <row r="889" spans="3:13">
      <c r="C889" t="s">
        <v>1084</v>
      </c>
      <c r="D889" s="14">
        <v>54.638700680272109</v>
      </c>
      <c r="E889" s="14">
        <v>49.374149659863953</v>
      </c>
      <c r="F889" s="14">
        <v>0</v>
      </c>
      <c r="G889" s="14">
        <v>0</v>
      </c>
      <c r="H889" s="14">
        <v>0</v>
      </c>
      <c r="I889" s="14">
        <v>0</v>
      </c>
      <c r="J889" s="14">
        <v>0</v>
      </c>
      <c r="K889" s="14">
        <v>0</v>
      </c>
      <c r="L889" s="14">
        <v>0</v>
      </c>
      <c r="M889" s="14">
        <v>0</v>
      </c>
    </row>
    <row r="890" spans="3:13">
      <c r="C890" t="s">
        <v>791</v>
      </c>
      <c r="D890" s="14">
        <v>2954</v>
      </c>
      <c r="E890" s="14">
        <v>3023</v>
      </c>
      <c r="F890" s="14">
        <v>3097.6280000000002</v>
      </c>
      <c r="G890" s="14">
        <v>3146.3809999999999</v>
      </c>
      <c r="H890" s="14">
        <v>3229.4</v>
      </c>
      <c r="I890" s="14">
        <v>3413.9949999999999</v>
      </c>
      <c r="J890" s="14">
        <v>3510.3240000000001</v>
      </c>
      <c r="K890" s="14">
        <v>3589.74</v>
      </c>
      <c r="L890" s="14">
        <v>3647.9</v>
      </c>
      <c r="M890" s="14">
        <v>3752.9119999999998</v>
      </c>
    </row>
    <row r="891" spans="3:13">
      <c r="D891" s="14"/>
      <c r="E891" s="14"/>
      <c r="F891" s="14"/>
      <c r="G891" s="14"/>
      <c r="H891" s="14"/>
      <c r="I891" s="14"/>
      <c r="J891" s="14"/>
      <c r="K891" s="14"/>
      <c r="L891" s="14"/>
      <c r="M891" s="14"/>
    </row>
    <row r="892" spans="3:13">
      <c r="C892" t="s">
        <v>1085</v>
      </c>
      <c r="D892" s="14"/>
      <c r="E892" s="14"/>
      <c r="F892" s="14"/>
      <c r="G892" s="14"/>
      <c r="H892" s="14"/>
      <c r="I892" s="14"/>
      <c r="J892" s="14"/>
      <c r="K892" s="14"/>
      <c r="L892" s="14"/>
      <c r="M892" s="14"/>
    </row>
    <row r="893" spans="3:13">
      <c r="C893" t="s">
        <v>1086</v>
      </c>
      <c r="D893" s="14"/>
      <c r="E893" s="14"/>
      <c r="F893" s="14"/>
      <c r="G893" s="14"/>
      <c r="H893" s="14"/>
      <c r="I893" s="14"/>
      <c r="J893" s="14"/>
      <c r="K893" s="14"/>
      <c r="L893" s="14"/>
      <c r="M893" s="14"/>
    </row>
    <row r="894" spans="3:13">
      <c r="C894" t="s">
        <v>1087</v>
      </c>
      <c r="D894" s="14"/>
      <c r="E894" s="14"/>
      <c r="F894" s="14"/>
      <c r="G894" s="14"/>
      <c r="H894" s="14"/>
      <c r="I894" s="14"/>
      <c r="J894" s="14"/>
      <c r="K894" s="14"/>
      <c r="L894" s="14"/>
      <c r="M894" s="14"/>
    </row>
    <row r="895" spans="3:13">
      <c r="C895" t="s">
        <v>1088</v>
      </c>
      <c r="D895" s="14"/>
      <c r="E895" s="14"/>
      <c r="F895" s="14"/>
      <c r="G895" s="14"/>
      <c r="H895" s="14"/>
      <c r="I895" s="14"/>
      <c r="J895" s="14"/>
      <c r="K895" s="14"/>
      <c r="L895" s="14"/>
      <c r="M895" s="14"/>
    </row>
    <row r="896" spans="3:13">
      <c r="C896" s="919" t="s">
        <v>1089</v>
      </c>
      <c r="D896" s="936"/>
      <c r="E896" s="936"/>
      <c r="F896" s="936"/>
      <c r="G896" s="936"/>
      <c r="H896" s="936"/>
      <c r="I896" s="936"/>
      <c r="J896" s="936"/>
      <c r="K896" s="936"/>
      <c r="L896" s="936"/>
      <c r="M896" s="936"/>
    </row>
    <row r="897" spans="1:27" ht="15.75">
      <c r="C897" t="s">
        <v>1090</v>
      </c>
      <c r="D897" s="14">
        <v>4567.5</v>
      </c>
      <c r="E897" s="14">
        <v>4640.2749999999996</v>
      </c>
      <c r="F897" s="14">
        <v>4696.0540000000001</v>
      </c>
      <c r="G897" s="120">
        <v>4817.1030000000001</v>
      </c>
      <c r="H897" s="14">
        <v>5069.277</v>
      </c>
      <c r="I897" s="14">
        <v>5303.2449999999999</v>
      </c>
      <c r="J897" s="14">
        <v>5432</v>
      </c>
      <c r="K897" s="14">
        <v>5534.8190000000004</v>
      </c>
      <c r="L897" s="14">
        <v>5566.1880000000001</v>
      </c>
      <c r="M897" s="14">
        <v>5590.7830000000004</v>
      </c>
    </row>
    <row r="898" spans="1:27">
      <c r="D898" s="14"/>
      <c r="E898" s="14"/>
      <c r="F898" s="14"/>
      <c r="G898" s="14"/>
      <c r="H898" s="14"/>
      <c r="I898" s="14"/>
      <c r="J898" s="14"/>
      <c r="K898" s="14"/>
      <c r="L898" s="14"/>
      <c r="M898" s="14"/>
    </row>
    <row r="899" spans="1:27" ht="15.75">
      <c r="C899" s="1" t="s">
        <v>1091</v>
      </c>
      <c r="D899" s="120">
        <v>0</v>
      </c>
      <c r="E899" s="120">
        <v>0</v>
      </c>
      <c r="F899" s="120">
        <v>0</v>
      </c>
      <c r="G899" s="120">
        <v>0</v>
      </c>
      <c r="H899" s="120">
        <v>0</v>
      </c>
      <c r="I899" s="120">
        <v>0</v>
      </c>
      <c r="J899" s="120">
        <v>0</v>
      </c>
      <c r="K899" s="120">
        <v>0</v>
      </c>
      <c r="L899" s="120">
        <v>0</v>
      </c>
      <c r="M899" s="120">
        <v>0</v>
      </c>
    </row>
    <row r="900" spans="1:27" ht="15.75">
      <c r="C900" s="1" t="s">
        <v>856</v>
      </c>
      <c r="D900" s="120">
        <v>1291.7965000000002</v>
      </c>
      <c r="E900" s="120">
        <v>1389.22875</v>
      </c>
      <c r="F900" s="120">
        <v>1560.0095699999999</v>
      </c>
      <c r="G900" s="120">
        <v>1623.4939759036145</v>
      </c>
      <c r="H900" s="120">
        <v>1877.5641025641025</v>
      </c>
      <c r="I900" s="120">
        <v>2155</v>
      </c>
      <c r="J900" s="120">
        <v>2444</v>
      </c>
      <c r="K900" s="120">
        <v>2695</v>
      </c>
      <c r="L900" s="120">
        <v>2929</v>
      </c>
      <c r="M900" s="120">
        <v>3179</v>
      </c>
    </row>
    <row r="901" spans="1:27" ht="15.75">
      <c r="C901" s="952" t="s">
        <v>858</v>
      </c>
      <c r="D901" s="936">
        <v>35.064799319727399</v>
      </c>
      <c r="E901" s="936">
        <v>13.122100340137195</v>
      </c>
      <c r="F901" s="936">
        <v>210.30842999999936</v>
      </c>
      <c r="G901" s="936">
        <v>472.02202409638608</v>
      </c>
      <c r="H901" s="936">
        <v>419.75889743589778</v>
      </c>
      <c r="I901" s="936">
        <v>206.76000000000113</v>
      </c>
      <c r="J901" s="936">
        <v>110.67599999999948</v>
      </c>
      <c r="K901" s="936">
        <v>96.440999999999804</v>
      </c>
      <c r="L901" s="936">
        <v>110.91200000000026</v>
      </c>
      <c r="M901" s="936">
        <v>137.30499999999938</v>
      </c>
    </row>
    <row r="902" spans="1:27" ht="15.75">
      <c r="C902" s="1" t="s">
        <v>1092</v>
      </c>
      <c r="D902" s="14">
        <v>18587</v>
      </c>
      <c r="E902" s="14">
        <v>18837</v>
      </c>
      <c r="F902" s="14">
        <v>19257</v>
      </c>
      <c r="G902" s="14">
        <v>19857</v>
      </c>
      <c r="H902" s="14">
        <v>20457</v>
      </c>
      <c r="I902" s="14">
        <v>21057</v>
      </c>
      <c r="J902" s="14">
        <v>21508</v>
      </c>
      <c r="K902" s="14">
        <v>21908</v>
      </c>
      <c r="L902" s="14">
        <v>22208</v>
      </c>
      <c r="M902" s="14">
        <v>22708</v>
      </c>
    </row>
    <row r="903" spans="1:27" ht="15.75">
      <c r="C903" s="1"/>
      <c r="D903"/>
      <c r="E903"/>
    </row>
    <row r="904" spans="1:27" ht="15.75">
      <c r="C904" s="1" t="s">
        <v>1093</v>
      </c>
      <c r="D904" s="121">
        <v>2221</v>
      </c>
      <c r="E904" s="121">
        <v>2221</v>
      </c>
      <c r="F904" s="14">
        <v>2322</v>
      </c>
      <c r="G904" s="121">
        <v>2322</v>
      </c>
      <c r="H904" s="121">
        <v>2322</v>
      </c>
      <c r="I904" s="121">
        <v>2322</v>
      </c>
      <c r="J904" s="14">
        <v>2238</v>
      </c>
      <c r="K904" s="121">
        <v>2238</v>
      </c>
      <c r="L904" s="121">
        <v>2238</v>
      </c>
      <c r="M904" s="121">
        <v>2238</v>
      </c>
    </row>
    <row r="905" spans="1:27" ht="15.75">
      <c r="C905" s="1" t="s">
        <v>1094</v>
      </c>
      <c r="D905" s="121">
        <v>16366</v>
      </c>
      <c r="E905" s="121">
        <v>16616</v>
      </c>
      <c r="F905" s="14">
        <v>16935</v>
      </c>
      <c r="G905" s="121">
        <v>17535</v>
      </c>
      <c r="H905" s="121">
        <v>18135</v>
      </c>
      <c r="I905" s="121">
        <v>18735</v>
      </c>
      <c r="J905" s="14">
        <v>19270</v>
      </c>
      <c r="K905" s="121">
        <v>19670</v>
      </c>
      <c r="L905" s="121">
        <v>19970</v>
      </c>
      <c r="M905" s="121">
        <v>20470</v>
      </c>
    </row>
    <row r="906" spans="1:27" ht="15.75">
      <c r="C906" s="1" t="s">
        <v>1095</v>
      </c>
      <c r="D906" s="2">
        <v>0.58450000000000002</v>
      </c>
      <c r="E906" s="2">
        <v>0.59342857142857142</v>
      </c>
      <c r="F906" s="2">
        <v>0.60482142857142862</v>
      </c>
      <c r="G906" s="2">
        <v>0.62624999999999997</v>
      </c>
      <c r="H906" s="2">
        <v>0.64767857142857144</v>
      </c>
      <c r="I906" s="2">
        <v>0.6691071428571429</v>
      </c>
      <c r="J906" s="2">
        <v>0.68821428571428567</v>
      </c>
      <c r="K906" s="2">
        <v>0.70250000000000001</v>
      </c>
      <c r="L906" s="2">
        <v>0.71321428571428569</v>
      </c>
      <c r="M906" s="2">
        <v>0.73107142857142859</v>
      </c>
    </row>
    <row r="908" spans="1:27" ht="15.75">
      <c r="C908" s="1" t="s">
        <v>699</v>
      </c>
    </row>
    <row r="909" spans="1:27">
      <c r="F909" t="s">
        <v>1096</v>
      </c>
      <c r="H909" t="s">
        <v>677</v>
      </c>
      <c r="J909" t="s">
        <v>894</v>
      </c>
      <c r="O909" t="s">
        <v>1097</v>
      </c>
      <c r="W909" t="s">
        <v>375</v>
      </c>
    </row>
    <row r="910" spans="1:27">
      <c r="D910" s="90" t="s">
        <v>122</v>
      </c>
      <c r="E910" s="90" t="s">
        <v>856</v>
      </c>
      <c r="F910" s="90" t="s">
        <v>1098</v>
      </c>
      <c r="G910" s="90" t="s">
        <v>1099</v>
      </c>
      <c r="H910" s="90" t="s">
        <v>1098</v>
      </c>
      <c r="I910" s="90" t="s">
        <v>1099</v>
      </c>
      <c r="J910" s="90" t="s">
        <v>1086</v>
      </c>
      <c r="K910" s="90" t="s">
        <v>1085</v>
      </c>
      <c r="L910" s="90" t="s">
        <v>1100</v>
      </c>
      <c r="M910" s="90" t="s">
        <v>1085</v>
      </c>
      <c r="N910" s="90" t="s">
        <v>1101</v>
      </c>
      <c r="Q910" s="920" t="s">
        <v>122</v>
      </c>
      <c r="R910" s="920" t="s">
        <v>39</v>
      </c>
      <c r="S910" s="920" t="s">
        <v>1102</v>
      </c>
      <c r="T910" s="920" t="s">
        <v>699</v>
      </c>
      <c r="U910" s="920" t="s">
        <v>894</v>
      </c>
      <c r="W910" s="920" t="s">
        <v>122</v>
      </c>
      <c r="X910" s="920" t="s">
        <v>856</v>
      </c>
      <c r="Y910" s="920" t="s">
        <v>1102</v>
      </c>
      <c r="Z910" s="920" t="s">
        <v>699</v>
      </c>
      <c r="AA910" s="920" t="s">
        <v>894</v>
      </c>
    </row>
    <row r="911" spans="1:27">
      <c r="A911" s="54">
        <f>E911/E$943</f>
        <v>1.6843867227553155E-2</v>
      </c>
      <c r="B911" s="43">
        <v>1</v>
      </c>
      <c r="C911" t="s">
        <v>1103</v>
      </c>
      <c r="D911" s="13"/>
      <c r="E911" s="13">
        <v>42908</v>
      </c>
      <c r="H911" s="14">
        <v>73182</v>
      </c>
      <c r="I911" s="14">
        <v>50623</v>
      </c>
      <c r="J911">
        <v>1</v>
      </c>
      <c r="K911">
        <v>79571</v>
      </c>
      <c r="N911">
        <v>531</v>
      </c>
      <c r="O911">
        <f>SUM(D911:N911)</f>
        <v>246816</v>
      </c>
      <c r="Q911" s="14">
        <f t="shared" ref="Q911:Q942" si="106">D911</f>
        <v>0</v>
      </c>
      <c r="R911" s="14">
        <f t="shared" ref="R911:R942" si="107">E911</f>
        <v>42908</v>
      </c>
      <c r="S911" s="14">
        <f t="shared" ref="S911:S942" si="108">F911+H911</f>
        <v>73182</v>
      </c>
      <c r="T911" s="14">
        <f t="shared" ref="T911:T942" si="109">G911+I911</f>
        <v>50623</v>
      </c>
      <c r="U911" s="14">
        <f t="shared" ref="U911:U942" si="110">J911+K911+L911+M911+N911</f>
        <v>80103</v>
      </c>
      <c r="W911" s="15">
        <f>Q911/$O911</f>
        <v>0</v>
      </c>
      <c r="X911" s="15">
        <f t="shared" ref="X911:X943" si="111">R911/$O911</f>
        <v>0.17384610398029302</v>
      </c>
      <c r="Y911" s="15">
        <f t="shared" ref="Y911:Y943" si="112">S911/$O911</f>
        <v>0.29650427849085959</v>
      </c>
      <c r="Z911" s="15">
        <f t="shared" ref="Z911:Z943" si="113">T911/$O911</f>
        <v>0.20510420718267861</v>
      </c>
      <c r="AA911" s="15">
        <f t="shared" ref="AA911:AA943" si="114">U911/$O911</f>
        <v>0.32454541034616879</v>
      </c>
    </row>
    <row r="912" spans="1:27">
      <c r="A912" s="54">
        <f t="shared" ref="A912:A942" si="115">E912/E$943</f>
        <v>5.4427344629574673E-2</v>
      </c>
      <c r="B912" s="43">
        <f>B911+1</f>
        <v>2</v>
      </c>
      <c r="C912" t="s">
        <v>861</v>
      </c>
      <c r="D912" s="116">
        <v>4099</v>
      </c>
      <c r="E912" s="13">
        <v>138648</v>
      </c>
      <c r="F912">
        <v>237706</v>
      </c>
      <c r="G912">
        <v>185898</v>
      </c>
      <c r="J912">
        <v>419118</v>
      </c>
      <c r="O912">
        <f t="shared" ref="O912:O942" si="116">SUM(D912:N912)</f>
        <v>985469</v>
      </c>
      <c r="Q912" s="14">
        <f t="shared" si="106"/>
        <v>4099</v>
      </c>
      <c r="R912" s="14">
        <f t="shared" si="107"/>
        <v>138648</v>
      </c>
      <c r="S912" s="14">
        <f t="shared" si="108"/>
        <v>237706</v>
      </c>
      <c r="T912" s="14">
        <f t="shared" si="109"/>
        <v>185898</v>
      </c>
      <c r="U912" s="14">
        <f t="shared" si="110"/>
        <v>419118</v>
      </c>
      <c r="W912" s="15">
        <f t="shared" ref="W912:W943" si="117">Q912/$O912</f>
        <v>4.1594408347700434E-3</v>
      </c>
      <c r="X912" s="15">
        <f t="shared" si="111"/>
        <v>0.14069240128304392</v>
      </c>
      <c r="Y912" s="15">
        <f t="shared" si="112"/>
        <v>0.24121103758717929</v>
      </c>
      <c r="Z912" s="15">
        <f t="shared" si="113"/>
        <v>0.18863911497977107</v>
      </c>
      <c r="AA912" s="15">
        <f t="shared" si="114"/>
        <v>0.42529800531523571</v>
      </c>
    </row>
    <row r="913" spans="1:27">
      <c r="A913" s="54">
        <f t="shared" si="115"/>
        <v>2.4731137208349233E-5</v>
      </c>
      <c r="B913" s="43">
        <f t="shared" ref="B913:B942" si="118">B912+1</f>
        <v>3</v>
      </c>
      <c r="C913" t="s">
        <v>863</v>
      </c>
      <c r="D913" s="116">
        <v>52728</v>
      </c>
      <c r="E913" s="13">
        <v>63</v>
      </c>
      <c r="H913" s="14">
        <v>44579</v>
      </c>
      <c r="I913" s="14">
        <v>88876</v>
      </c>
      <c r="O913">
        <f t="shared" si="116"/>
        <v>186246</v>
      </c>
      <c r="Q913" s="14">
        <f t="shared" si="106"/>
        <v>52728</v>
      </c>
      <c r="R913" s="14">
        <f t="shared" si="107"/>
        <v>63</v>
      </c>
      <c r="S913" s="14">
        <f t="shared" si="108"/>
        <v>44579</v>
      </c>
      <c r="T913" s="14">
        <f t="shared" si="109"/>
        <v>88876</v>
      </c>
      <c r="U913" s="14">
        <f t="shared" si="110"/>
        <v>0</v>
      </c>
      <c r="W913" s="15">
        <f t="shared" si="117"/>
        <v>0.28310943590734833</v>
      </c>
      <c r="X913" s="15">
        <f t="shared" si="111"/>
        <v>3.382622982507007E-4</v>
      </c>
      <c r="Y913" s="15">
        <f t="shared" si="112"/>
        <v>0.23935547609076169</v>
      </c>
      <c r="Z913" s="15">
        <f t="shared" si="113"/>
        <v>0.47719682570363925</v>
      </c>
      <c r="AA913" s="15">
        <f t="shared" si="114"/>
        <v>0</v>
      </c>
    </row>
    <row r="914" spans="1:27">
      <c r="A914" s="54">
        <f t="shared" si="115"/>
        <v>6.5557141488798755E-5</v>
      </c>
      <c r="B914" s="43">
        <f t="shared" si="118"/>
        <v>4</v>
      </c>
      <c r="C914" t="s">
        <v>865</v>
      </c>
      <c r="D914" s="116">
        <v>2406</v>
      </c>
      <c r="E914" s="13">
        <v>167</v>
      </c>
      <c r="H914" s="14">
        <v>38964</v>
      </c>
      <c r="I914" s="14">
        <v>16370</v>
      </c>
      <c r="J914">
        <v>33088</v>
      </c>
      <c r="L914">
        <v>23153</v>
      </c>
      <c r="O914">
        <f t="shared" si="116"/>
        <v>114148</v>
      </c>
      <c r="Q914" s="14">
        <f t="shared" si="106"/>
        <v>2406</v>
      </c>
      <c r="R914" s="14">
        <f t="shared" si="107"/>
        <v>167</v>
      </c>
      <c r="S914" s="14">
        <f t="shared" si="108"/>
        <v>38964</v>
      </c>
      <c r="T914" s="14">
        <f t="shared" si="109"/>
        <v>16370</v>
      </c>
      <c r="U914" s="14">
        <f t="shared" si="110"/>
        <v>56241</v>
      </c>
      <c r="W914" s="15">
        <f t="shared" si="117"/>
        <v>2.1077898868136102E-2</v>
      </c>
      <c r="X914" s="15">
        <f t="shared" si="111"/>
        <v>1.4630129305813506E-3</v>
      </c>
      <c r="Y914" s="15">
        <f t="shared" si="112"/>
        <v>0.34134632231839368</v>
      </c>
      <c r="Z914" s="15">
        <f t="shared" si="113"/>
        <v>0.14341030942285454</v>
      </c>
      <c r="AA914" s="15">
        <f t="shared" si="114"/>
        <v>0.49270245646003435</v>
      </c>
    </row>
    <row r="915" spans="1:27">
      <c r="A915" s="54">
        <f t="shared" si="115"/>
        <v>2.4215316346575092E-2</v>
      </c>
      <c r="B915" s="43">
        <f t="shared" si="118"/>
        <v>5</v>
      </c>
      <c r="C915" t="s">
        <v>873</v>
      </c>
      <c r="D915" s="116">
        <v>109158</v>
      </c>
      <c r="E915" s="13">
        <v>61686</v>
      </c>
      <c r="H915" s="14">
        <v>208620</v>
      </c>
      <c r="I915" s="14">
        <v>99557</v>
      </c>
      <c r="L915">
        <v>115915</v>
      </c>
      <c r="O915">
        <f t="shared" si="116"/>
        <v>594936</v>
      </c>
      <c r="Q915" s="14">
        <f t="shared" si="106"/>
        <v>109158</v>
      </c>
      <c r="R915" s="14">
        <f t="shared" si="107"/>
        <v>61686</v>
      </c>
      <c r="S915" s="14">
        <f t="shared" si="108"/>
        <v>208620</v>
      </c>
      <c r="T915" s="14">
        <f t="shared" si="109"/>
        <v>99557</v>
      </c>
      <c r="U915" s="14">
        <f t="shared" si="110"/>
        <v>115915</v>
      </c>
      <c r="W915" s="15">
        <f t="shared" si="117"/>
        <v>0.18347855903828311</v>
      </c>
      <c r="X915" s="15">
        <f t="shared" si="111"/>
        <v>0.10368510226310057</v>
      </c>
      <c r="Y915" s="15">
        <f t="shared" si="112"/>
        <v>0.35065956674331356</v>
      </c>
      <c r="Z915" s="15">
        <f t="shared" si="113"/>
        <v>0.16734068874635255</v>
      </c>
      <c r="AA915" s="15">
        <f t="shared" si="114"/>
        <v>0.19483608320895021</v>
      </c>
    </row>
    <row r="916" spans="1:27">
      <c r="A916" s="54">
        <f t="shared" si="115"/>
        <v>5.9668775486810847E-5</v>
      </c>
      <c r="B916" s="43">
        <f t="shared" si="118"/>
        <v>6</v>
      </c>
      <c r="C916" t="s">
        <v>874</v>
      </c>
      <c r="D916" s="116">
        <v>58251</v>
      </c>
      <c r="E916" s="13">
        <v>152</v>
      </c>
      <c r="H916" s="14">
        <v>64102</v>
      </c>
      <c r="I916" s="14">
        <v>17568</v>
      </c>
      <c r="K916">
        <v>16913</v>
      </c>
      <c r="O916">
        <f t="shared" si="116"/>
        <v>156986</v>
      </c>
      <c r="Q916" s="14">
        <f t="shared" si="106"/>
        <v>58251</v>
      </c>
      <c r="R916" s="14">
        <f t="shared" si="107"/>
        <v>152</v>
      </c>
      <c r="S916" s="14">
        <f t="shared" si="108"/>
        <v>64102</v>
      </c>
      <c r="T916" s="14">
        <f t="shared" si="109"/>
        <v>17568</v>
      </c>
      <c r="U916" s="14">
        <f t="shared" si="110"/>
        <v>16913</v>
      </c>
      <c r="W916" s="15">
        <f t="shared" si="117"/>
        <v>0.3710585657319761</v>
      </c>
      <c r="X916" s="15">
        <f t="shared" si="111"/>
        <v>9.6823920604385101E-4</v>
      </c>
      <c r="Y916" s="15">
        <f t="shared" si="112"/>
        <v>0.40832940516988775</v>
      </c>
      <c r="Z916" s="15">
        <f t="shared" si="113"/>
        <v>0.11190806823538405</v>
      </c>
      <c r="AA916" s="15">
        <f t="shared" si="114"/>
        <v>0.10773572165670824</v>
      </c>
    </row>
    <row r="917" spans="1:27">
      <c r="A917" s="54">
        <f t="shared" si="115"/>
        <v>6.6228415213025376E-3</v>
      </c>
      <c r="B917" s="43">
        <f t="shared" si="118"/>
        <v>7</v>
      </c>
      <c r="C917" t="s">
        <v>867</v>
      </c>
      <c r="D917" s="116">
        <v>109758</v>
      </c>
      <c r="E917" s="13">
        <v>16871</v>
      </c>
      <c r="H917" s="14">
        <v>124507</v>
      </c>
      <c r="I917" s="14">
        <v>38065</v>
      </c>
      <c r="K917">
        <v>16194</v>
      </c>
      <c r="O917">
        <f t="shared" si="116"/>
        <v>305395</v>
      </c>
      <c r="Q917" s="14">
        <f t="shared" si="106"/>
        <v>109758</v>
      </c>
      <c r="R917" s="14">
        <f t="shared" si="107"/>
        <v>16871</v>
      </c>
      <c r="S917" s="14">
        <f t="shared" si="108"/>
        <v>124507</v>
      </c>
      <c r="T917" s="14">
        <f t="shared" si="109"/>
        <v>38065</v>
      </c>
      <c r="U917" s="14">
        <f t="shared" si="110"/>
        <v>16194</v>
      </c>
      <c r="W917" s="15">
        <f t="shared" si="117"/>
        <v>0.35939684670672406</v>
      </c>
      <c r="X917" s="15">
        <f t="shared" si="111"/>
        <v>5.5243209613778876E-2</v>
      </c>
      <c r="Y917" s="15">
        <f t="shared" si="112"/>
        <v>0.40769167799079881</v>
      </c>
      <c r="Z917" s="15">
        <f t="shared" si="113"/>
        <v>0.12464185726681838</v>
      </c>
      <c r="AA917" s="15">
        <f t="shared" si="114"/>
        <v>5.3026408421879861E-2</v>
      </c>
    </row>
    <row r="918" spans="1:27">
      <c r="A918" s="54">
        <f t="shared" si="115"/>
        <v>5.4595359339498058E-2</v>
      </c>
      <c r="B918" s="43">
        <f t="shared" si="118"/>
        <v>8</v>
      </c>
      <c r="C918" t="s">
        <v>869</v>
      </c>
      <c r="D918" s="116">
        <v>10167</v>
      </c>
      <c r="E918" s="13">
        <v>139076</v>
      </c>
      <c r="H918" s="14">
        <v>179821</v>
      </c>
      <c r="I918" s="14">
        <v>141697</v>
      </c>
      <c r="J918">
        <v>274309</v>
      </c>
      <c r="N918">
        <v>384</v>
      </c>
      <c r="O918">
        <f t="shared" si="116"/>
        <v>745454</v>
      </c>
      <c r="Q918" s="14">
        <f t="shared" si="106"/>
        <v>10167</v>
      </c>
      <c r="R918" s="14">
        <f t="shared" si="107"/>
        <v>139076</v>
      </c>
      <c r="S918" s="14">
        <f t="shared" si="108"/>
        <v>179821</v>
      </c>
      <c r="T918" s="14">
        <f t="shared" si="109"/>
        <v>141697</v>
      </c>
      <c r="U918" s="14">
        <f t="shared" si="110"/>
        <v>274693</v>
      </c>
      <c r="W918" s="15">
        <f t="shared" si="117"/>
        <v>1.3638668516098915E-2</v>
      </c>
      <c r="X918" s="15">
        <f t="shared" si="111"/>
        <v>0.18656550236500172</v>
      </c>
      <c r="Y918" s="15">
        <f t="shared" si="112"/>
        <v>0.24122346918790427</v>
      </c>
      <c r="Z918" s="15">
        <f t="shared" si="113"/>
        <v>0.1900814805474248</v>
      </c>
      <c r="AA918" s="15">
        <f t="shared" si="114"/>
        <v>0.36849087938357028</v>
      </c>
    </row>
    <row r="919" spans="1:27">
      <c r="A919" s="54">
        <f t="shared" si="115"/>
        <v>0.18483384601373323</v>
      </c>
      <c r="B919" s="43">
        <f t="shared" si="118"/>
        <v>9</v>
      </c>
      <c r="C919" t="s">
        <v>871</v>
      </c>
      <c r="D919" s="13"/>
      <c r="E919" s="13">
        <v>470845</v>
      </c>
      <c r="H919" s="14">
        <v>449718</v>
      </c>
      <c r="I919" s="14">
        <v>819505</v>
      </c>
      <c r="M919" s="14">
        <v>1082764</v>
      </c>
      <c r="N919" s="14">
        <v>10497</v>
      </c>
      <c r="O919">
        <f t="shared" si="116"/>
        <v>2833329</v>
      </c>
      <c r="Q919" s="14">
        <f t="shared" si="106"/>
        <v>0</v>
      </c>
      <c r="R919" s="14">
        <f t="shared" si="107"/>
        <v>470845</v>
      </c>
      <c r="S919" s="14">
        <f t="shared" si="108"/>
        <v>449718</v>
      </c>
      <c r="T919" s="14">
        <f t="shared" si="109"/>
        <v>819505</v>
      </c>
      <c r="U919" s="14">
        <f t="shared" si="110"/>
        <v>1093261</v>
      </c>
      <c r="W919" s="15">
        <f t="shared" si="117"/>
        <v>0</v>
      </c>
      <c r="X919" s="15">
        <f t="shared" si="111"/>
        <v>0.16618084239422953</v>
      </c>
      <c r="Y919" s="15">
        <f t="shared" si="112"/>
        <v>0.15872424275472422</v>
      </c>
      <c r="Z919" s="15">
        <f t="shared" si="113"/>
        <v>0.2892375011867665</v>
      </c>
      <c r="AA919" s="15">
        <f t="shared" si="114"/>
        <v>0.38585741366427972</v>
      </c>
    </row>
    <row r="920" spans="1:27">
      <c r="A920" s="54">
        <f t="shared" si="115"/>
        <v>8.832549002981869E-5</v>
      </c>
      <c r="B920" s="43">
        <f t="shared" si="118"/>
        <v>10</v>
      </c>
      <c r="C920" t="s">
        <v>864</v>
      </c>
      <c r="D920" s="116">
        <v>118073</v>
      </c>
      <c r="E920" s="13">
        <v>225</v>
      </c>
      <c r="H920" s="14">
        <v>86545</v>
      </c>
      <c r="I920" s="14">
        <v>23275</v>
      </c>
      <c r="O920">
        <f t="shared" si="116"/>
        <v>228118</v>
      </c>
      <c r="Q920" s="14">
        <f t="shared" si="106"/>
        <v>118073</v>
      </c>
      <c r="R920" s="14">
        <f t="shared" si="107"/>
        <v>225</v>
      </c>
      <c r="S920" s="14">
        <f t="shared" si="108"/>
        <v>86545</v>
      </c>
      <c r="T920" s="14">
        <f t="shared" si="109"/>
        <v>23275</v>
      </c>
      <c r="U920" s="14">
        <f t="shared" si="110"/>
        <v>0</v>
      </c>
      <c r="W920" s="15">
        <f t="shared" si="117"/>
        <v>0.51759615637520928</v>
      </c>
      <c r="X920" s="15">
        <f t="shared" si="111"/>
        <v>9.8633163538168847E-4</v>
      </c>
      <c r="Y920" s="15">
        <f t="shared" si="112"/>
        <v>0.37938698392936987</v>
      </c>
      <c r="Z920" s="15">
        <f t="shared" si="113"/>
        <v>0.10203052806003911</v>
      </c>
      <c r="AA920" s="15">
        <f t="shared" si="114"/>
        <v>0</v>
      </c>
    </row>
    <row r="921" spans="1:27">
      <c r="A921" s="54">
        <f t="shared" si="115"/>
        <v>4.0307042956807655E-2</v>
      </c>
      <c r="B921" s="43">
        <f t="shared" si="118"/>
        <v>11</v>
      </c>
      <c r="C921" t="s">
        <v>868</v>
      </c>
      <c r="D921" s="116">
        <v>321623</v>
      </c>
      <c r="E921" s="13">
        <v>102678</v>
      </c>
      <c r="H921" s="14">
        <v>277865</v>
      </c>
      <c r="I921" s="14">
        <v>131350</v>
      </c>
      <c r="J921">
        <v>161</v>
      </c>
      <c r="K921">
        <v>42403</v>
      </c>
      <c r="L921">
        <v>23589</v>
      </c>
      <c r="O921">
        <f t="shared" si="116"/>
        <v>899669</v>
      </c>
      <c r="Q921" s="14">
        <f t="shared" si="106"/>
        <v>321623</v>
      </c>
      <c r="R921" s="14">
        <f t="shared" si="107"/>
        <v>102678</v>
      </c>
      <c r="S921" s="14">
        <f t="shared" si="108"/>
        <v>277865</v>
      </c>
      <c r="T921" s="14">
        <f t="shared" si="109"/>
        <v>131350</v>
      </c>
      <c r="U921" s="14">
        <f t="shared" si="110"/>
        <v>66153</v>
      </c>
      <c r="W921" s="15">
        <f t="shared" si="117"/>
        <v>0.35749036590123701</v>
      </c>
      <c r="X921" s="15">
        <f t="shared" si="111"/>
        <v>0.1141286406445037</v>
      </c>
      <c r="Y921" s="15">
        <f t="shared" si="112"/>
        <v>0.30885247796689669</v>
      </c>
      <c r="Z921" s="15">
        <f t="shared" si="113"/>
        <v>0.14599813931568165</v>
      </c>
      <c r="AA921" s="15">
        <f t="shared" si="114"/>
        <v>7.3530376171680914E-2</v>
      </c>
    </row>
    <row r="922" spans="1:27">
      <c r="A922" s="54">
        <f t="shared" si="115"/>
        <v>1.2514740542891643E-3</v>
      </c>
      <c r="B922" s="43">
        <f t="shared" si="118"/>
        <v>12</v>
      </c>
      <c r="C922" t="s">
        <v>1104</v>
      </c>
      <c r="D922" s="116">
        <v>19749</v>
      </c>
      <c r="E922" s="13">
        <v>3188</v>
      </c>
      <c r="H922" s="14">
        <v>183966</v>
      </c>
      <c r="I922" s="14">
        <v>49690</v>
      </c>
      <c r="J922">
        <v>105787</v>
      </c>
      <c r="O922">
        <f t="shared" si="116"/>
        <v>362380</v>
      </c>
      <c r="Q922" s="14">
        <f t="shared" si="106"/>
        <v>19749</v>
      </c>
      <c r="R922" s="14">
        <f t="shared" si="107"/>
        <v>3188</v>
      </c>
      <c r="S922" s="14">
        <f t="shared" si="108"/>
        <v>183966</v>
      </c>
      <c r="T922" s="14">
        <f t="shared" si="109"/>
        <v>49690</v>
      </c>
      <c r="U922" s="14">
        <f t="shared" si="110"/>
        <v>105787</v>
      </c>
      <c r="W922" s="15">
        <f t="shared" si="117"/>
        <v>5.4498040730724652E-2</v>
      </c>
      <c r="X922" s="15">
        <f t="shared" si="111"/>
        <v>8.7973949997240466E-3</v>
      </c>
      <c r="Y922" s="15">
        <f t="shared" si="112"/>
        <v>0.507660466913185</v>
      </c>
      <c r="Z922" s="15">
        <f t="shared" si="113"/>
        <v>0.13712125393233623</v>
      </c>
      <c r="AA922" s="15">
        <f t="shared" si="114"/>
        <v>0.29192284342403002</v>
      </c>
    </row>
    <row r="923" spans="1:27">
      <c r="A923" s="54">
        <f t="shared" si="115"/>
        <v>1.6761037545791859E-2</v>
      </c>
      <c r="B923" s="43">
        <f t="shared" si="118"/>
        <v>13</v>
      </c>
      <c r="C923" t="s">
        <v>879</v>
      </c>
      <c r="D923" s="116">
        <v>10283</v>
      </c>
      <c r="E923" s="13">
        <v>42697</v>
      </c>
      <c r="H923" s="14">
        <v>136266</v>
      </c>
      <c r="I923" s="14">
        <v>35258</v>
      </c>
      <c r="J923">
        <v>24190</v>
      </c>
      <c r="L923">
        <v>62331</v>
      </c>
      <c r="O923">
        <f t="shared" si="116"/>
        <v>311025</v>
      </c>
      <c r="Q923" s="14">
        <f t="shared" si="106"/>
        <v>10283</v>
      </c>
      <c r="R923" s="14">
        <f t="shared" si="107"/>
        <v>42697</v>
      </c>
      <c r="S923" s="14">
        <f t="shared" si="108"/>
        <v>136266</v>
      </c>
      <c r="T923" s="14">
        <f t="shared" si="109"/>
        <v>35258</v>
      </c>
      <c r="U923" s="14">
        <f t="shared" si="110"/>
        <v>86521</v>
      </c>
      <c r="W923" s="15">
        <f t="shared" si="117"/>
        <v>3.3061650992685473E-2</v>
      </c>
      <c r="X923" s="15">
        <f t="shared" si="111"/>
        <v>0.13727835383007797</v>
      </c>
      <c r="Y923" s="15">
        <f t="shared" si="112"/>
        <v>0.4381191222570533</v>
      </c>
      <c r="Z923" s="15">
        <f t="shared" si="113"/>
        <v>0.11336066232617957</v>
      </c>
      <c r="AA923" s="15">
        <f t="shared" si="114"/>
        <v>0.27818021059400372</v>
      </c>
    </row>
    <row r="924" spans="1:27">
      <c r="A924" s="54">
        <f t="shared" si="115"/>
        <v>0.11726720148732274</v>
      </c>
      <c r="B924" s="43">
        <f t="shared" si="118"/>
        <v>14</v>
      </c>
      <c r="C924" t="s">
        <v>880</v>
      </c>
      <c r="D924" s="116">
        <v>403779</v>
      </c>
      <c r="E924" s="13">
        <v>298726</v>
      </c>
      <c r="H924" s="14">
        <v>516904</v>
      </c>
      <c r="I924" s="14">
        <v>267314</v>
      </c>
      <c r="J924">
        <v>24852</v>
      </c>
      <c r="K924">
        <v>178161</v>
      </c>
      <c r="L924">
        <v>3466</v>
      </c>
      <c r="N924" s="14">
        <v>1884</v>
      </c>
      <c r="O924">
        <f t="shared" si="116"/>
        <v>1695086</v>
      </c>
      <c r="Q924" s="14">
        <f t="shared" si="106"/>
        <v>403779</v>
      </c>
      <c r="R924" s="14">
        <f t="shared" si="107"/>
        <v>298726</v>
      </c>
      <c r="S924" s="14">
        <f t="shared" si="108"/>
        <v>516904</v>
      </c>
      <c r="T924" s="14">
        <f t="shared" si="109"/>
        <v>267314</v>
      </c>
      <c r="U924" s="14">
        <f t="shared" si="110"/>
        <v>208363</v>
      </c>
      <c r="W924" s="15">
        <f t="shared" si="117"/>
        <v>0.23820561316652961</v>
      </c>
      <c r="X924" s="15">
        <f t="shared" si="111"/>
        <v>0.17623058653071288</v>
      </c>
      <c r="Y924" s="15">
        <f t="shared" si="112"/>
        <v>0.30494264007843852</v>
      </c>
      <c r="Z924" s="15">
        <f t="shared" si="113"/>
        <v>0.15769937336512721</v>
      </c>
      <c r="AA924" s="15">
        <f t="shared" si="114"/>
        <v>0.12292178685919181</v>
      </c>
    </row>
    <row r="925" spans="1:27">
      <c r="A925" s="54">
        <f t="shared" si="115"/>
        <v>0.19997165733164377</v>
      </c>
      <c r="B925" s="43">
        <f t="shared" si="118"/>
        <v>15</v>
      </c>
      <c r="C925" t="s">
        <v>1105</v>
      </c>
      <c r="D925" s="116">
        <v>309524</v>
      </c>
      <c r="E925" s="13">
        <v>509407</v>
      </c>
      <c r="H925" s="14">
        <v>870150</v>
      </c>
      <c r="I925" s="14">
        <v>530046</v>
      </c>
      <c r="J925">
        <v>459599</v>
      </c>
      <c r="M925" s="14">
        <v>339904</v>
      </c>
      <c r="N925" s="14">
        <v>1440</v>
      </c>
      <c r="O925">
        <f t="shared" si="116"/>
        <v>3020070</v>
      </c>
      <c r="Q925" s="14">
        <f t="shared" si="106"/>
        <v>309524</v>
      </c>
      <c r="R925" s="14">
        <f t="shared" si="107"/>
        <v>509407</v>
      </c>
      <c r="S925" s="14">
        <f t="shared" si="108"/>
        <v>870150</v>
      </c>
      <c r="T925" s="14">
        <f t="shared" si="109"/>
        <v>530046</v>
      </c>
      <c r="U925" s="14">
        <f t="shared" si="110"/>
        <v>800943</v>
      </c>
      <c r="W925" s="15">
        <f t="shared" si="117"/>
        <v>0.10248901515527786</v>
      </c>
      <c r="X925" s="15">
        <f t="shared" si="111"/>
        <v>0.16867390490948886</v>
      </c>
      <c r="Y925" s="15">
        <f t="shared" si="112"/>
        <v>0.28812246073766501</v>
      </c>
      <c r="Z925" s="15">
        <f t="shared" si="113"/>
        <v>0.1755078524669958</v>
      </c>
      <c r="AA925" s="15">
        <f t="shared" si="114"/>
        <v>0.26520676673057247</v>
      </c>
    </row>
    <row r="926" spans="1:27">
      <c r="A926" s="54">
        <f t="shared" si="115"/>
        <v>8.1750147994265523E-3</v>
      </c>
      <c r="B926" s="43">
        <f t="shared" si="118"/>
        <v>16</v>
      </c>
      <c r="C926" t="s">
        <v>866</v>
      </c>
      <c r="D926" s="116">
        <v>315345</v>
      </c>
      <c r="E926" s="13">
        <v>20825</v>
      </c>
      <c r="H926" s="14">
        <v>225601</v>
      </c>
      <c r="I926" s="14">
        <v>48633</v>
      </c>
      <c r="K926">
        <v>3997</v>
      </c>
      <c r="O926">
        <f t="shared" si="116"/>
        <v>614401</v>
      </c>
      <c r="Q926" s="14">
        <f t="shared" si="106"/>
        <v>315345</v>
      </c>
      <c r="R926" s="14">
        <f t="shared" si="107"/>
        <v>20825</v>
      </c>
      <c r="S926" s="14">
        <f t="shared" si="108"/>
        <v>225601</v>
      </c>
      <c r="T926" s="14">
        <f t="shared" si="109"/>
        <v>48633</v>
      </c>
      <c r="U926" s="14">
        <f t="shared" si="110"/>
        <v>3997</v>
      </c>
      <c r="W926" s="15">
        <f t="shared" si="117"/>
        <v>0.51325600055989495</v>
      </c>
      <c r="X926" s="15">
        <f t="shared" si="111"/>
        <v>3.3894801603513013E-2</v>
      </c>
      <c r="Y926" s="15">
        <f t="shared" si="112"/>
        <v>0.36718852996658535</v>
      </c>
      <c r="Z926" s="15">
        <f t="shared" si="113"/>
        <v>7.9155144604256836E-2</v>
      </c>
      <c r="AA926" s="15">
        <f t="shared" si="114"/>
        <v>6.5055232657498926E-3</v>
      </c>
    </row>
    <row r="927" spans="1:27">
      <c r="A927" s="54">
        <f t="shared" si="115"/>
        <v>1.6625212570012673E-2</v>
      </c>
      <c r="B927" s="43">
        <f t="shared" si="118"/>
        <v>17</v>
      </c>
      <c r="C927" t="s">
        <v>1106</v>
      </c>
      <c r="D927" s="116">
        <v>29898</v>
      </c>
      <c r="E927" s="13">
        <v>42351</v>
      </c>
      <c r="H927" s="14">
        <v>137043</v>
      </c>
      <c r="I927" s="14">
        <v>58512</v>
      </c>
      <c r="J927">
        <v>145492</v>
      </c>
      <c r="O927">
        <f t="shared" si="116"/>
        <v>413296</v>
      </c>
      <c r="Q927" s="14">
        <f t="shared" si="106"/>
        <v>29898</v>
      </c>
      <c r="R927" s="14">
        <f t="shared" si="107"/>
        <v>42351</v>
      </c>
      <c r="S927" s="14">
        <f t="shared" si="108"/>
        <v>137043</v>
      </c>
      <c r="T927" s="14">
        <f t="shared" si="109"/>
        <v>58512</v>
      </c>
      <c r="U927" s="14">
        <f t="shared" si="110"/>
        <v>145492</v>
      </c>
      <c r="W927" s="15">
        <f t="shared" si="117"/>
        <v>7.2340404939801012E-2</v>
      </c>
      <c r="X927" s="15">
        <f t="shared" si="111"/>
        <v>0.10247135225117107</v>
      </c>
      <c r="Y927" s="15">
        <f t="shared" si="112"/>
        <v>0.33158559482791994</v>
      </c>
      <c r="Z927" s="15">
        <f t="shared" si="113"/>
        <v>0.14157407765862723</v>
      </c>
      <c r="AA927" s="15">
        <f t="shared" si="114"/>
        <v>0.35202857032248075</v>
      </c>
    </row>
    <row r="928" spans="1:27">
      <c r="A928" s="54">
        <f t="shared" si="115"/>
        <v>2.3671231327991409E-4</v>
      </c>
      <c r="B928" s="43">
        <f t="shared" si="118"/>
        <v>18</v>
      </c>
      <c r="C928" t="s">
        <v>872</v>
      </c>
      <c r="D928" s="116">
        <v>80867</v>
      </c>
      <c r="E928" s="13">
        <v>603</v>
      </c>
      <c r="H928" s="14">
        <v>92620</v>
      </c>
      <c r="I928" s="14">
        <v>19244</v>
      </c>
      <c r="K928">
        <v>9408</v>
      </c>
      <c r="O928">
        <f t="shared" si="116"/>
        <v>202742</v>
      </c>
      <c r="Q928" s="14">
        <f t="shared" si="106"/>
        <v>80867</v>
      </c>
      <c r="R928" s="14">
        <f t="shared" si="107"/>
        <v>603</v>
      </c>
      <c r="S928" s="14">
        <f t="shared" si="108"/>
        <v>92620</v>
      </c>
      <c r="T928" s="14">
        <f t="shared" si="109"/>
        <v>19244</v>
      </c>
      <c r="U928" s="14">
        <f t="shared" si="110"/>
        <v>9408</v>
      </c>
      <c r="W928" s="15">
        <f t="shared" si="117"/>
        <v>0.3988665397401624</v>
      </c>
      <c r="X928" s="15">
        <f t="shared" si="111"/>
        <v>2.9742233972240581E-3</v>
      </c>
      <c r="Y928" s="15">
        <f t="shared" si="112"/>
        <v>0.45683676791192745</v>
      </c>
      <c r="Z928" s="15">
        <f t="shared" si="113"/>
        <v>9.4918665101458993E-2</v>
      </c>
      <c r="AA928" s="15">
        <f t="shared" si="114"/>
        <v>4.6403803849227099E-2</v>
      </c>
    </row>
    <row r="929" spans="1:27">
      <c r="A929" s="54">
        <f t="shared" si="115"/>
        <v>6.4253849813692102E-2</v>
      </c>
      <c r="B929" s="43">
        <f t="shared" si="118"/>
        <v>19</v>
      </c>
      <c r="C929" t="s">
        <v>884</v>
      </c>
      <c r="D929" s="13"/>
      <c r="E929" s="13">
        <v>163680</v>
      </c>
      <c r="H929" s="14">
        <v>223365</v>
      </c>
      <c r="I929" s="14">
        <v>278567</v>
      </c>
      <c r="N929" s="14">
        <v>10099</v>
      </c>
      <c r="O929">
        <f t="shared" si="116"/>
        <v>675711</v>
      </c>
      <c r="Q929" s="14">
        <f t="shared" si="106"/>
        <v>0</v>
      </c>
      <c r="R929" s="14">
        <f t="shared" si="107"/>
        <v>163680</v>
      </c>
      <c r="S929" s="14">
        <f t="shared" si="108"/>
        <v>223365</v>
      </c>
      <c r="T929" s="14">
        <f t="shared" si="109"/>
        <v>278567</v>
      </c>
      <c r="U929" s="14">
        <f t="shared" si="110"/>
        <v>10099</v>
      </c>
      <c r="W929" s="15">
        <f t="shared" si="117"/>
        <v>0</v>
      </c>
      <c r="X929" s="15">
        <f t="shared" si="111"/>
        <v>0.24223373602028087</v>
      </c>
      <c r="Y929" s="15">
        <f t="shared" si="112"/>
        <v>0.33056291817063804</v>
      </c>
      <c r="Z929" s="15">
        <f t="shared" si="113"/>
        <v>0.41225760717229704</v>
      </c>
      <c r="AA929" s="15">
        <f t="shared" si="114"/>
        <v>1.4945738636784068E-2</v>
      </c>
    </row>
    <row r="930" spans="1:27">
      <c r="A930" s="54">
        <f t="shared" si="115"/>
        <v>8.9110605496750401E-5</v>
      </c>
      <c r="B930" s="43">
        <f t="shared" si="118"/>
        <v>20</v>
      </c>
      <c r="C930" t="s">
        <v>883</v>
      </c>
      <c r="D930" s="116">
        <v>51680</v>
      </c>
      <c r="E930" s="13">
        <v>227</v>
      </c>
      <c r="H930" s="14">
        <v>142939</v>
      </c>
      <c r="I930" s="14">
        <v>29200</v>
      </c>
      <c r="J930">
        <v>80048</v>
      </c>
      <c r="O930">
        <f t="shared" si="116"/>
        <v>304094</v>
      </c>
      <c r="Q930" s="14">
        <f t="shared" si="106"/>
        <v>51680</v>
      </c>
      <c r="R930" s="14">
        <f t="shared" si="107"/>
        <v>227</v>
      </c>
      <c r="S930" s="14">
        <f t="shared" si="108"/>
        <v>142939</v>
      </c>
      <c r="T930" s="14">
        <f t="shared" si="109"/>
        <v>29200</v>
      </c>
      <c r="U930" s="14">
        <f t="shared" si="110"/>
        <v>80048</v>
      </c>
      <c r="W930" s="15">
        <f t="shared" si="117"/>
        <v>0.16994745045939744</v>
      </c>
      <c r="X930" s="15">
        <f t="shared" si="111"/>
        <v>7.4647970693272479E-4</v>
      </c>
      <c r="Y930" s="15">
        <f t="shared" si="112"/>
        <v>0.47004873493064647</v>
      </c>
      <c r="Z930" s="15">
        <f t="shared" si="113"/>
        <v>9.6022940275046528E-2</v>
      </c>
      <c r="AA930" s="15">
        <f t="shared" si="114"/>
        <v>0.26323439462797688</v>
      </c>
    </row>
    <row r="931" spans="1:27">
      <c r="A931" s="54">
        <f t="shared" si="115"/>
        <v>4.3889524832417107E-2</v>
      </c>
      <c r="B931" s="43">
        <f t="shared" si="118"/>
        <v>21</v>
      </c>
      <c r="C931" t="s">
        <v>875</v>
      </c>
      <c r="D931" s="116">
        <v>283196</v>
      </c>
      <c r="E931" s="13">
        <v>111804</v>
      </c>
      <c r="H931" s="14">
        <v>279136</v>
      </c>
      <c r="I931" s="14">
        <v>158368</v>
      </c>
      <c r="J931">
        <v>5972</v>
      </c>
      <c r="O931">
        <f t="shared" si="116"/>
        <v>838476</v>
      </c>
      <c r="Q931" s="14">
        <f t="shared" si="106"/>
        <v>283196</v>
      </c>
      <c r="R931" s="14">
        <f t="shared" si="107"/>
        <v>111804</v>
      </c>
      <c r="S931" s="14">
        <f t="shared" si="108"/>
        <v>279136</v>
      </c>
      <c r="T931" s="14">
        <f t="shared" si="109"/>
        <v>158368</v>
      </c>
      <c r="U931" s="14">
        <f t="shared" si="110"/>
        <v>5972</v>
      </c>
      <c r="W931" s="15">
        <f t="shared" si="117"/>
        <v>0.33775087181982549</v>
      </c>
      <c r="X931" s="15">
        <f t="shared" si="111"/>
        <v>0.13334192034119044</v>
      </c>
      <c r="Y931" s="15">
        <f t="shared" si="112"/>
        <v>0.33290875350039834</v>
      </c>
      <c r="Z931" s="15">
        <f t="shared" si="113"/>
        <v>0.18887600837710322</v>
      </c>
      <c r="AA931" s="15">
        <f t="shared" si="114"/>
        <v>7.1224459614824993E-3</v>
      </c>
    </row>
    <row r="932" spans="1:27">
      <c r="A932" s="54">
        <f t="shared" si="115"/>
        <v>1.0836556232325089E-2</v>
      </c>
      <c r="B932" s="43">
        <f t="shared" si="118"/>
        <v>22</v>
      </c>
      <c r="C932" t="s">
        <v>870</v>
      </c>
      <c r="D932" s="116">
        <v>192346</v>
      </c>
      <c r="E932" s="13">
        <v>27605</v>
      </c>
      <c r="H932" s="14">
        <v>82593</v>
      </c>
      <c r="I932" s="14">
        <v>97130</v>
      </c>
      <c r="K932">
        <v>16453</v>
      </c>
      <c r="L932">
        <v>110282</v>
      </c>
      <c r="O932">
        <f t="shared" si="116"/>
        <v>526409</v>
      </c>
      <c r="Q932" s="14">
        <f t="shared" si="106"/>
        <v>192346</v>
      </c>
      <c r="R932" s="14">
        <f t="shared" si="107"/>
        <v>27605</v>
      </c>
      <c r="S932" s="14">
        <f t="shared" si="108"/>
        <v>82593</v>
      </c>
      <c r="T932" s="14">
        <f t="shared" si="109"/>
        <v>97130</v>
      </c>
      <c r="U932" s="14">
        <f t="shared" si="110"/>
        <v>126735</v>
      </c>
      <c r="W932" s="15">
        <f t="shared" si="117"/>
        <v>0.3653926889547861</v>
      </c>
      <c r="X932" s="15">
        <f t="shared" si="111"/>
        <v>5.2440212838306334E-2</v>
      </c>
      <c r="Y932" s="15">
        <f t="shared" si="112"/>
        <v>0.15689891320247185</v>
      </c>
      <c r="Z932" s="15">
        <f t="shared" si="113"/>
        <v>0.18451432251348288</v>
      </c>
      <c r="AA932" s="15">
        <f t="shared" si="114"/>
        <v>0.24075386249095285</v>
      </c>
    </row>
    <row r="933" spans="1:27">
      <c r="A933" s="54">
        <f t="shared" si="115"/>
        <v>1.3614687312062985E-2</v>
      </c>
      <c r="B933" s="43">
        <f t="shared" si="118"/>
        <v>23</v>
      </c>
      <c r="C933" t="s">
        <v>886</v>
      </c>
      <c r="D933" s="13"/>
      <c r="E933" s="13">
        <v>34682</v>
      </c>
      <c r="H933" s="14">
        <v>79322</v>
      </c>
      <c r="I933" s="14">
        <v>71334</v>
      </c>
      <c r="J933">
        <v>143066</v>
      </c>
      <c r="O933">
        <f t="shared" si="116"/>
        <v>328404</v>
      </c>
      <c r="Q933" s="14">
        <f t="shared" si="106"/>
        <v>0</v>
      </c>
      <c r="R933" s="14">
        <f t="shared" si="107"/>
        <v>34682</v>
      </c>
      <c r="S933" s="14">
        <f t="shared" si="108"/>
        <v>79322</v>
      </c>
      <c r="T933" s="14">
        <f t="shared" si="109"/>
        <v>71334</v>
      </c>
      <c r="U933" s="14">
        <f t="shared" si="110"/>
        <v>143066</v>
      </c>
      <c r="W933" s="15">
        <f t="shared" si="117"/>
        <v>0</v>
      </c>
      <c r="X933" s="15">
        <f t="shared" si="111"/>
        <v>0.10560772706787981</v>
      </c>
      <c r="Y933" s="15">
        <f t="shared" si="112"/>
        <v>0.24153786190180387</v>
      </c>
      <c r="Z933" s="15">
        <f t="shared" si="113"/>
        <v>0.21721416304308108</v>
      </c>
      <c r="AA933" s="15">
        <f t="shared" si="114"/>
        <v>0.43564024798723522</v>
      </c>
    </row>
    <row r="934" spans="1:27">
      <c r="A934" s="54">
        <f t="shared" si="115"/>
        <v>3.6606793761158454E-2</v>
      </c>
      <c r="B934" s="43">
        <f t="shared" si="118"/>
        <v>24</v>
      </c>
      <c r="C934" t="s">
        <v>887</v>
      </c>
      <c r="D934" s="13"/>
      <c r="E934" s="13">
        <v>93252</v>
      </c>
      <c r="H934" s="14">
        <v>125005</v>
      </c>
      <c r="I934" s="14">
        <v>60925</v>
      </c>
      <c r="J934">
        <v>17748</v>
      </c>
      <c r="L934">
        <v>71632</v>
      </c>
      <c r="N934">
        <v>782</v>
      </c>
      <c r="O934">
        <f t="shared" si="116"/>
        <v>369344</v>
      </c>
      <c r="Q934" s="14">
        <f t="shared" si="106"/>
        <v>0</v>
      </c>
      <c r="R934" s="14">
        <f t="shared" si="107"/>
        <v>93252</v>
      </c>
      <c r="S934" s="14">
        <f t="shared" si="108"/>
        <v>125005</v>
      </c>
      <c r="T934" s="14">
        <f t="shared" si="109"/>
        <v>60925</v>
      </c>
      <c r="U934" s="14">
        <f t="shared" si="110"/>
        <v>90162</v>
      </c>
      <c r="W934" s="15">
        <f t="shared" si="117"/>
        <v>0</v>
      </c>
      <c r="X934" s="15">
        <f t="shared" si="111"/>
        <v>0.25248007277768153</v>
      </c>
      <c r="Y934" s="15">
        <f t="shared" si="112"/>
        <v>0.33845141656558653</v>
      </c>
      <c r="Z934" s="15">
        <f t="shared" si="113"/>
        <v>0.16495462224917692</v>
      </c>
      <c r="AA934" s="15">
        <f t="shared" si="114"/>
        <v>0.24411388840755502</v>
      </c>
    </row>
    <row r="935" spans="1:27">
      <c r="A935" s="54">
        <f t="shared" si="115"/>
        <v>1.2956760550774202E-2</v>
      </c>
      <c r="B935" s="43">
        <f t="shared" si="118"/>
        <v>25</v>
      </c>
      <c r="C935" t="s">
        <v>862</v>
      </c>
      <c r="D935" s="116">
        <v>331508</v>
      </c>
      <c r="E935" s="13">
        <v>33006</v>
      </c>
      <c r="H935" s="14">
        <v>149742</v>
      </c>
      <c r="I935" s="14">
        <v>54722</v>
      </c>
      <c r="O935">
        <f t="shared" si="116"/>
        <v>568978</v>
      </c>
      <c r="Q935" s="14">
        <f t="shared" si="106"/>
        <v>331508</v>
      </c>
      <c r="R935" s="14">
        <f t="shared" si="107"/>
        <v>33006</v>
      </c>
      <c r="S935" s="14">
        <f t="shared" si="108"/>
        <v>149742</v>
      </c>
      <c r="T935" s="14">
        <f t="shared" si="109"/>
        <v>54722</v>
      </c>
      <c r="U935" s="14">
        <f t="shared" si="110"/>
        <v>0</v>
      </c>
      <c r="W935" s="15">
        <f t="shared" si="117"/>
        <v>0.58263764152568287</v>
      </c>
      <c r="X935" s="15">
        <f t="shared" si="111"/>
        <v>5.8009272766258099E-2</v>
      </c>
      <c r="Y935" s="15">
        <f t="shared" si="112"/>
        <v>0.26317713514406532</v>
      </c>
      <c r="Z935" s="15">
        <f t="shared" si="113"/>
        <v>9.6175950563993681E-2</v>
      </c>
      <c r="AA935" s="15">
        <f t="shared" si="114"/>
        <v>0</v>
      </c>
    </row>
    <row r="936" spans="1:27">
      <c r="A936" s="54">
        <f t="shared" si="115"/>
        <v>8.0937553485991177E-3</v>
      </c>
      <c r="B936" s="43">
        <f t="shared" si="118"/>
        <v>26</v>
      </c>
      <c r="C936" t="s">
        <v>860</v>
      </c>
      <c r="D936" s="116">
        <v>376418</v>
      </c>
      <c r="E936" s="13">
        <v>20618</v>
      </c>
      <c r="F936">
        <v>9505</v>
      </c>
      <c r="G936">
        <v>11552</v>
      </c>
      <c r="H936" s="14">
        <v>157998</v>
      </c>
      <c r="I936" s="14">
        <v>61793</v>
      </c>
      <c r="O936">
        <f t="shared" si="116"/>
        <v>637884</v>
      </c>
      <c r="Q936" s="14">
        <f t="shared" si="106"/>
        <v>376418</v>
      </c>
      <c r="R936" s="14">
        <f t="shared" si="107"/>
        <v>20618</v>
      </c>
      <c r="S936" s="14">
        <f t="shared" si="108"/>
        <v>167503</v>
      </c>
      <c r="T936" s="14">
        <f t="shared" si="109"/>
        <v>73345</v>
      </c>
      <c r="U936" s="14">
        <f t="shared" si="110"/>
        <v>0</v>
      </c>
      <c r="W936" s="15">
        <f t="shared" si="117"/>
        <v>0.59010415686864692</v>
      </c>
      <c r="X936" s="15">
        <f t="shared" si="111"/>
        <v>3.232249123665118E-2</v>
      </c>
      <c r="Y936" s="15">
        <f t="shared" si="112"/>
        <v>0.26259163108025912</v>
      </c>
      <c r="Z936" s="15">
        <f t="shared" si="113"/>
        <v>0.11498172081444274</v>
      </c>
      <c r="AA936" s="15">
        <f t="shared" si="114"/>
        <v>0</v>
      </c>
    </row>
    <row r="937" spans="1:27">
      <c r="A937" s="54">
        <f t="shared" si="115"/>
        <v>3.2413492052276128E-3</v>
      </c>
      <c r="B937" s="43">
        <f t="shared" si="118"/>
        <v>27</v>
      </c>
      <c r="C937" t="s">
        <v>888</v>
      </c>
      <c r="D937" s="13"/>
      <c r="E937" s="13">
        <v>8257</v>
      </c>
      <c r="H937" s="14">
        <v>91884</v>
      </c>
      <c r="I937" s="14">
        <v>39185</v>
      </c>
      <c r="L937">
        <v>57014</v>
      </c>
      <c r="O937">
        <f t="shared" si="116"/>
        <v>196340</v>
      </c>
      <c r="Q937" s="14">
        <f t="shared" si="106"/>
        <v>0</v>
      </c>
      <c r="R937" s="14">
        <f t="shared" si="107"/>
        <v>8257</v>
      </c>
      <c r="S937" s="14">
        <f t="shared" si="108"/>
        <v>91884</v>
      </c>
      <c r="T937" s="14">
        <f t="shared" si="109"/>
        <v>39185</v>
      </c>
      <c r="U937" s="14">
        <f t="shared" si="110"/>
        <v>57014</v>
      </c>
      <c r="W937" s="15">
        <f t="shared" si="117"/>
        <v>0</v>
      </c>
      <c r="X937" s="15">
        <f t="shared" si="111"/>
        <v>4.2054599164714268E-2</v>
      </c>
      <c r="Y937" s="15">
        <f t="shared" si="112"/>
        <v>0.46798410919832945</v>
      </c>
      <c r="Z937" s="15">
        <f t="shared" si="113"/>
        <v>0.19957726392991748</v>
      </c>
      <c r="AA937" s="15">
        <f t="shared" si="114"/>
        <v>0.29038402770703881</v>
      </c>
    </row>
    <row r="938" spans="1:27">
      <c r="A938" s="54">
        <f t="shared" si="115"/>
        <v>2.3906765968070924E-4</v>
      </c>
      <c r="B938" s="43">
        <f t="shared" si="118"/>
        <v>28</v>
      </c>
      <c r="C938" t="s">
        <v>889</v>
      </c>
      <c r="D938" s="13"/>
      <c r="E938" s="13">
        <v>609</v>
      </c>
      <c r="H938" s="14">
        <v>278109</v>
      </c>
      <c r="I938" s="14">
        <v>83992</v>
      </c>
      <c r="J938">
        <v>10194</v>
      </c>
      <c r="K938">
        <v>116965</v>
      </c>
      <c r="L938">
        <v>43275</v>
      </c>
      <c r="O938">
        <f t="shared" si="116"/>
        <v>533144</v>
      </c>
      <c r="Q938" s="14">
        <f t="shared" si="106"/>
        <v>0</v>
      </c>
      <c r="R938" s="14">
        <f t="shared" si="107"/>
        <v>609</v>
      </c>
      <c r="S938" s="14">
        <f t="shared" si="108"/>
        <v>278109</v>
      </c>
      <c r="T938" s="14">
        <f t="shared" si="109"/>
        <v>83992</v>
      </c>
      <c r="U938" s="14">
        <f t="shared" si="110"/>
        <v>170434</v>
      </c>
      <c r="W938" s="15">
        <f t="shared" si="117"/>
        <v>0</v>
      </c>
      <c r="X938" s="15">
        <f t="shared" si="111"/>
        <v>1.1422805095809012E-3</v>
      </c>
      <c r="Y938" s="15">
        <f t="shared" si="112"/>
        <v>0.52163955704275022</v>
      </c>
      <c r="Z938" s="15">
        <f t="shared" si="113"/>
        <v>0.15754092702909533</v>
      </c>
      <c r="AA938" s="15">
        <f t="shared" si="114"/>
        <v>0.31967723541857357</v>
      </c>
    </row>
    <row r="939" spans="1:27">
      <c r="A939" s="54">
        <f t="shared" si="115"/>
        <v>2.0805559873690623E-5</v>
      </c>
      <c r="B939" s="43">
        <f t="shared" si="118"/>
        <v>29</v>
      </c>
      <c r="C939" t="s">
        <v>885</v>
      </c>
      <c r="D939" s="116">
        <v>6968</v>
      </c>
      <c r="E939" s="13">
        <v>53</v>
      </c>
      <c r="H939" s="14">
        <v>76185</v>
      </c>
      <c r="I939" s="14">
        <v>27817</v>
      </c>
      <c r="J939">
        <v>3145</v>
      </c>
      <c r="L939">
        <v>48609</v>
      </c>
      <c r="O939">
        <f t="shared" si="116"/>
        <v>162777</v>
      </c>
      <c r="Q939" s="14">
        <f t="shared" si="106"/>
        <v>6968</v>
      </c>
      <c r="R939" s="14">
        <f t="shared" si="107"/>
        <v>53</v>
      </c>
      <c r="S939" s="14">
        <f t="shared" si="108"/>
        <v>76185</v>
      </c>
      <c r="T939" s="14">
        <f t="shared" si="109"/>
        <v>27817</v>
      </c>
      <c r="U939" s="14">
        <f t="shared" si="110"/>
        <v>51754</v>
      </c>
      <c r="W939" s="15">
        <f t="shared" si="117"/>
        <v>4.2807030477278733E-2</v>
      </c>
      <c r="X939" s="15">
        <f t="shared" si="111"/>
        <v>3.2559882538687898E-4</v>
      </c>
      <c r="Y939" s="15">
        <f t="shared" si="112"/>
        <v>0.46803295305847875</v>
      </c>
      <c r="Z939" s="15">
        <f t="shared" si="113"/>
        <v>0.17089023633560024</v>
      </c>
      <c r="AA939" s="15">
        <f t="shared" si="114"/>
        <v>0.31794418130325536</v>
      </c>
    </row>
    <row r="940" spans="1:27">
      <c r="A940" s="54">
        <f t="shared" si="115"/>
        <v>4.947208836003511E-2</v>
      </c>
      <c r="B940" s="43">
        <f t="shared" si="118"/>
        <v>30</v>
      </c>
      <c r="C940" t="s">
        <v>881</v>
      </c>
      <c r="D940" s="116">
        <v>250332</v>
      </c>
      <c r="E940" s="13">
        <v>126025</v>
      </c>
      <c r="H940" s="14">
        <v>394534</v>
      </c>
      <c r="I940" s="14">
        <v>116745</v>
      </c>
      <c r="J940">
        <v>123121</v>
      </c>
      <c r="L940">
        <v>26308</v>
      </c>
      <c r="O940">
        <f t="shared" si="116"/>
        <v>1037065</v>
      </c>
      <c r="Q940" s="14">
        <f t="shared" si="106"/>
        <v>250332</v>
      </c>
      <c r="R940" s="14">
        <f t="shared" si="107"/>
        <v>126025</v>
      </c>
      <c r="S940" s="14">
        <f t="shared" si="108"/>
        <v>394534</v>
      </c>
      <c r="T940" s="14">
        <f t="shared" si="109"/>
        <v>116745</v>
      </c>
      <c r="U940" s="14">
        <f t="shared" si="110"/>
        <v>149429</v>
      </c>
      <c r="W940" s="15">
        <f t="shared" si="117"/>
        <v>0.2413850626527749</v>
      </c>
      <c r="X940" s="15">
        <f t="shared" si="111"/>
        <v>0.12152083042046545</v>
      </c>
      <c r="Y940" s="15">
        <f t="shared" si="112"/>
        <v>0.3804332418893705</v>
      </c>
      <c r="Z940" s="15">
        <f t="shared" si="113"/>
        <v>0.11257250027722467</v>
      </c>
      <c r="AA940" s="15">
        <f t="shared" si="114"/>
        <v>0.14408836476016451</v>
      </c>
    </row>
    <row r="941" spans="1:27">
      <c r="A941" s="54">
        <f t="shared" si="115"/>
        <v>1.4288316382690402E-2</v>
      </c>
      <c r="B941" s="43">
        <f t="shared" si="118"/>
        <v>31</v>
      </c>
      <c r="C941" t="s">
        <v>890</v>
      </c>
      <c r="D941" s="13"/>
      <c r="E941" s="13">
        <v>36398</v>
      </c>
      <c r="H941" s="14">
        <v>66980</v>
      </c>
      <c r="I941" s="14">
        <v>88700</v>
      </c>
      <c r="J941">
        <v>135328</v>
      </c>
      <c r="O941">
        <f t="shared" si="116"/>
        <v>327406</v>
      </c>
      <c r="Q941" s="14">
        <f t="shared" si="106"/>
        <v>0</v>
      </c>
      <c r="R941" s="14">
        <f t="shared" si="107"/>
        <v>36398</v>
      </c>
      <c r="S941" s="14">
        <f t="shared" si="108"/>
        <v>66980</v>
      </c>
      <c r="T941" s="14">
        <f t="shared" si="109"/>
        <v>88700</v>
      </c>
      <c r="U941" s="14">
        <f t="shared" si="110"/>
        <v>135328</v>
      </c>
      <c r="W941" s="15">
        <f t="shared" si="117"/>
        <v>0</v>
      </c>
      <c r="X941" s="15">
        <f t="shared" si="111"/>
        <v>0.11117083987465104</v>
      </c>
      <c r="Y941" s="15">
        <f t="shared" si="112"/>
        <v>0.20457780248376634</v>
      </c>
      <c r="Z941" s="15">
        <f t="shared" si="113"/>
        <v>0.27091745417005186</v>
      </c>
      <c r="AA941" s="15">
        <f t="shared" si="114"/>
        <v>0.41333390347153076</v>
      </c>
    </row>
    <row r="942" spans="1:27">
      <c r="A942" s="54">
        <f t="shared" si="115"/>
        <v>2.5123694941815092E-5</v>
      </c>
      <c r="B942" s="957">
        <f t="shared" si="118"/>
        <v>32</v>
      </c>
      <c r="C942" s="919" t="s">
        <v>878</v>
      </c>
      <c r="D942" s="959">
        <v>62170</v>
      </c>
      <c r="E942" s="921">
        <v>64</v>
      </c>
      <c r="F942" s="919"/>
      <c r="G942" s="919"/>
      <c r="H942" s="936">
        <v>91551</v>
      </c>
      <c r="I942" s="936">
        <v>12187</v>
      </c>
      <c r="J942" s="919"/>
      <c r="K942" s="919"/>
      <c r="L942" s="919">
        <v>27597</v>
      </c>
      <c r="M942" s="919"/>
      <c r="N942" s="919"/>
      <c r="O942" s="919">
        <f t="shared" si="116"/>
        <v>193569</v>
      </c>
      <c r="P942" s="919"/>
      <c r="Q942" s="936">
        <f t="shared" si="106"/>
        <v>62170</v>
      </c>
      <c r="R942" s="936">
        <f t="shared" si="107"/>
        <v>64</v>
      </c>
      <c r="S942" s="936">
        <f t="shared" si="108"/>
        <v>91551</v>
      </c>
      <c r="T942" s="936">
        <f t="shared" si="109"/>
        <v>12187</v>
      </c>
      <c r="U942" s="936">
        <f t="shared" si="110"/>
        <v>27597</v>
      </c>
      <c r="W942" s="960">
        <f t="shared" si="117"/>
        <v>0.32117746126704172</v>
      </c>
      <c r="X942" s="960">
        <f t="shared" si="111"/>
        <v>3.3063145441677126E-4</v>
      </c>
      <c r="Y942" s="960">
        <f t="shared" si="112"/>
        <v>0.47296312942671603</v>
      </c>
      <c r="Z942" s="960">
        <f t="shared" si="113"/>
        <v>6.2959461484018625E-2</v>
      </c>
      <c r="AA942" s="960">
        <f t="shared" si="114"/>
        <v>0.14256931636780684</v>
      </c>
    </row>
    <row r="943" spans="1:27">
      <c r="D943" s="90">
        <f>SUM(D911:D942)</f>
        <v>3510326</v>
      </c>
      <c r="E943" s="90">
        <f t="shared" ref="E943:N943" si="119">SUM(E911:E942)</f>
        <v>2547396</v>
      </c>
      <c r="F943" s="90">
        <f t="shared" si="119"/>
        <v>247211</v>
      </c>
      <c r="G943" s="90">
        <f t="shared" si="119"/>
        <v>197450</v>
      </c>
      <c r="H943" s="90">
        <f t="shared" si="119"/>
        <v>5949796</v>
      </c>
      <c r="I943" s="90">
        <f t="shared" si="119"/>
        <v>3616248</v>
      </c>
      <c r="J943" s="90">
        <f t="shared" si="119"/>
        <v>2005219</v>
      </c>
      <c r="K943" s="90">
        <f t="shared" si="119"/>
        <v>480065</v>
      </c>
      <c r="L943" s="90">
        <f t="shared" si="119"/>
        <v>613171</v>
      </c>
      <c r="M943" s="90">
        <f t="shared" si="119"/>
        <v>1422668</v>
      </c>
      <c r="N943" s="90">
        <f t="shared" si="119"/>
        <v>25617</v>
      </c>
      <c r="O943">
        <f>SUM(O911:O942)</f>
        <v>20615167</v>
      </c>
      <c r="Q943">
        <f>SUM(Q911:Q942)</f>
        <v>3510326</v>
      </c>
      <c r="R943">
        <f>SUM(R911:R942)</f>
        <v>2547396</v>
      </c>
      <c r="S943">
        <f>SUM(S911:S942)</f>
        <v>6197007</v>
      </c>
      <c r="T943">
        <f>SUM(T911:T942)</f>
        <v>3813698</v>
      </c>
      <c r="U943">
        <f>SUM(U911:U942)</f>
        <v>4546740</v>
      </c>
      <c r="W943" s="15">
        <f t="shared" si="117"/>
        <v>0.17027880492066835</v>
      </c>
      <c r="X943" s="15">
        <f t="shared" si="111"/>
        <v>0.12356902080880548</v>
      </c>
      <c r="Y943" s="15">
        <f t="shared" si="112"/>
        <v>0.30060425899048016</v>
      </c>
      <c r="Z943" s="15">
        <f t="shared" si="113"/>
        <v>0.18499476623206593</v>
      </c>
      <c r="AA943" s="15">
        <f t="shared" si="114"/>
        <v>0.22055314904798007</v>
      </c>
    </row>
    <row r="945" spans="1:27">
      <c r="A945" s="15">
        <f>A912+A918+A919+A921+A924+A925+A929+A931+A940</f>
        <v>0.80901791476472451</v>
      </c>
      <c r="D945" s="116">
        <f t="shared" ref="D945:O945" si="120">D912+D918+D919+D921+D924+D925+D929+D931+D940</f>
        <v>1582720</v>
      </c>
      <c r="E945" s="116">
        <f t="shared" si="120"/>
        <v>2060889</v>
      </c>
      <c r="F945" s="116">
        <f t="shared" si="120"/>
        <v>237706</v>
      </c>
      <c r="G945" s="116">
        <f t="shared" si="120"/>
        <v>185898</v>
      </c>
      <c r="H945" s="116">
        <f t="shared" si="120"/>
        <v>3191493</v>
      </c>
      <c r="I945" s="116">
        <f t="shared" si="120"/>
        <v>2443592</v>
      </c>
      <c r="J945" s="116">
        <f t="shared" si="120"/>
        <v>1307132</v>
      </c>
      <c r="K945" s="116">
        <f t="shared" si="120"/>
        <v>220564</v>
      </c>
      <c r="L945" s="116">
        <f t="shared" si="120"/>
        <v>53363</v>
      </c>
      <c r="M945" s="116">
        <f t="shared" si="120"/>
        <v>1422668</v>
      </c>
      <c r="N945" s="116">
        <f t="shared" si="120"/>
        <v>24304</v>
      </c>
      <c r="O945" s="116">
        <f t="shared" si="120"/>
        <v>12730329</v>
      </c>
      <c r="Q945" s="14">
        <f>D945</f>
        <v>1582720</v>
      </c>
      <c r="R945" s="14">
        <f>E945</f>
        <v>2060889</v>
      </c>
      <c r="S945" s="14">
        <f>F945+H945</f>
        <v>3429199</v>
      </c>
      <c r="T945" s="14">
        <f>G945+I945</f>
        <v>2629490</v>
      </c>
      <c r="U945" s="14">
        <f>J945+K945+L945+M945+N945</f>
        <v>3028031</v>
      </c>
      <c r="W945" s="15">
        <f>Q945/$O945</f>
        <v>0.12432671614378545</v>
      </c>
      <c r="X945" s="15">
        <f>R945/$O945</f>
        <v>0.16188811773835537</v>
      </c>
      <c r="Y945" s="15">
        <f>S945/$O945</f>
        <v>0.2693723783572286</v>
      </c>
      <c r="Z945" s="15">
        <f>T945/$O945</f>
        <v>0.20655318491768751</v>
      </c>
      <c r="AA945" s="15">
        <f>U945/$O945</f>
        <v>0.23785960284294302</v>
      </c>
    </row>
    <row r="946" spans="1:27">
      <c r="D946" s="91"/>
      <c r="E946" s="91"/>
      <c r="Q946" s="15">
        <f>Q945/Q943</f>
        <v>0.4508755027310854</v>
      </c>
      <c r="R946" s="15">
        <f>R945/R943</f>
        <v>0.8090179147647244</v>
      </c>
      <c r="S946" s="15">
        <f>S945/S943</f>
        <v>0.55336374478841155</v>
      </c>
      <c r="T946" s="15">
        <f>T945/T943</f>
        <v>0.68948563834892018</v>
      </c>
      <c r="U946" s="15">
        <f>U945/U943</f>
        <v>0.66597848128549242</v>
      </c>
      <c r="V946" s="15"/>
    </row>
    <row r="950" spans="1:27">
      <c r="T950" t="str">
        <f>Q910</f>
        <v>MEGA</v>
      </c>
      <c r="U950" s="15">
        <f>Q946</f>
        <v>0.4508755027310854</v>
      </c>
    </row>
    <row r="951" spans="1:27">
      <c r="T951" t="str">
        <f>S910</f>
        <v>Telmex DSL</v>
      </c>
      <c r="U951" s="15">
        <f>S946</f>
        <v>0.55336374478841155</v>
      </c>
    </row>
    <row r="952" spans="1:27">
      <c r="T952" t="str">
        <f>T910</f>
        <v>Telmex FTTH</v>
      </c>
      <c r="U952" s="15">
        <f>U946</f>
        <v>0.66597848128549242</v>
      </c>
    </row>
    <row r="953" spans="1:27">
      <c r="T953" t="str">
        <f>U910</f>
        <v>Televisa</v>
      </c>
      <c r="U953" s="15">
        <f>T946</f>
        <v>0.68948563834892018</v>
      </c>
    </row>
    <row r="979" spans="3:26" ht="15.75">
      <c r="C979" s="118"/>
      <c r="D979" s="184" t="s">
        <v>1059</v>
      </c>
      <c r="E979" s="184" t="s">
        <v>1059</v>
      </c>
      <c r="F979" s="184" t="s">
        <v>1059</v>
      </c>
      <c r="G979" s="184" t="s">
        <v>1059</v>
      </c>
      <c r="H979" s="184" t="s">
        <v>1059</v>
      </c>
      <c r="I979" s="184" t="s">
        <v>1059</v>
      </c>
      <c r="J979" s="184" t="s">
        <v>1059</v>
      </c>
      <c r="L979" s="184" t="s">
        <v>1064</v>
      </c>
      <c r="M979" s="184" t="s">
        <v>1064</v>
      </c>
      <c r="N979" s="184" t="s">
        <v>1064</v>
      </c>
      <c r="O979" s="184" t="s">
        <v>1064</v>
      </c>
      <c r="P979" s="184" t="s">
        <v>1064</v>
      </c>
      <c r="Q979" s="184" t="s">
        <v>1064</v>
      </c>
      <c r="R979" s="184" t="s">
        <v>1064</v>
      </c>
      <c r="T979" s="184" t="s">
        <v>1107</v>
      </c>
      <c r="U979" s="184" t="s">
        <v>1107</v>
      </c>
      <c r="V979" s="184" t="s">
        <v>1107</v>
      </c>
      <c r="W979" s="184" t="s">
        <v>1107</v>
      </c>
      <c r="X979" s="184" t="s">
        <v>1107</v>
      </c>
      <c r="Y979" s="184" t="s">
        <v>1107</v>
      </c>
      <c r="Z979" s="184" t="s">
        <v>1107</v>
      </c>
    </row>
    <row r="980" spans="3:26" ht="15.75">
      <c r="C980" s="956" t="s">
        <v>902</v>
      </c>
      <c r="D980" s="922">
        <v>2022</v>
      </c>
      <c r="E980" s="922">
        <f t="shared" ref="E980:J980" si="121">D980+1</f>
        <v>2023</v>
      </c>
      <c r="F980" s="922">
        <f t="shared" si="121"/>
        <v>2024</v>
      </c>
      <c r="G980" s="922">
        <f t="shared" si="121"/>
        <v>2025</v>
      </c>
      <c r="H980" s="922">
        <f t="shared" si="121"/>
        <v>2026</v>
      </c>
      <c r="I980" s="922">
        <f t="shared" si="121"/>
        <v>2027</v>
      </c>
      <c r="J980" s="922">
        <f t="shared" si="121"/>
        <v>2028</v>
      </c>
      <c r="L980" s="922">
        <f t="shared" ref="L980:R980" si="122">D980</f>
        <v>2022</v>
      </c>
      <c r="M980" s="922">
        <f t="shared" si="122"/>
        <v>2023</v>
      </c>
      <c r="N980" s="922">
        <f t="shared" si="122"/>
        <v>2024</v>
      </c>
      <c r="O980" s="922">
        <f t="shared" si="122"/>
        <v>2025</v>
      </c>
      <c r="P980" s="922">
        <f t="shared" si="122"/>
        <v>2026</v>
      </c>
      <c r="Q980" s="922">
        <f t="shared" si="122"/>
        <v>2027</v>
      </c>
      <c r="R980" s="922">
        <f t="shared" si="122"/>
        <v>2028</v>
      </c>
      <c r="T980" s="922">
        <f t="shared" ref="T980:Z980" si="123">L980</f>
        <v>2022</v>
      </c>
      <c r="U980" s="922">
        <f t="shared" si="123"/>
        <v>2023</v>
      </c>
      <c r="V980" s="922">
        <f t="shared" si="123"/>
        <v>2024</v>
      </c>
      <c r="W980" s="922">
        <f t="shared" si="123"/>
        <v>2025</v>
      </c>
      <c r="X980" s="922">
        <f t="shared" si="123"/>
        <v>2026</v>
      </c>
      <c r="Y980" s="922">
        <f t="shared" si="123"/>
        <v>2027</v>
      </c>
      <c r="Z980" s="922">
        <f t="shared" si="123"/>
        <v>2028</v>
      </c>
    </row>
    <row r="981" spans="3:26" ht="15.75">
      <c r="C981" s="961" t="s">
        <v>347</v>
      </c>
      <c r="D981" s="962">
        <f>Master!V$8</f>
        <v>27155.555</v>
      </c>
      <c r="E981" s="962">
        <f>Master!W$8</f>
        <v>29870.54</v>
      </c>
      <c r="F981" s="962">
        <f>Master!X$8</f>
        <v>32840.847999999998</v>
      </c>
      <c r="G981" s="962">
        <f>Master!Y$8</f>
        <v>35429.71</v>
      </c>
      <c r="H981" s="962">
        <f>Master!Z$8</f>
        <v>38484.331480000008</v>
      </c>
      <c r="I981" s="962">
        <f>Master!AA$8</f>
        <v>41068.627100000012</v>
      </c>
      <c r="J981" s="962">
        <f>Master!AB$8</f>
        <v>43475.200744610011</v>
      </c>
      <c r="L981" s="962">
        <v>27155.555</v>
      </c>
      <c r="M981" s="962">
        <v>29870.54</v>
      </c>
      <c r="N981" s="962">
        <v>32840.847999999998</v>
      </c>
      <c r="O981" s="962">
        <v>35416.157238753825</v>
      </c>
      <c r="P981" s="962">
        <v>37212.572689440887</v>
      </c>
      <c r="Q981" s="962">
        <v>38692.90741991617</v>
      </c>
      <c r="R981" s="962">
        <v>40067.6561780345</v>
      </c>
      <c r="T981" s="186">
        <f t="shared" ref="T981:Z981" si="124">D981/L981-1</f>
        <v>0</v>
      </c>
      <c r="U981" s="186">
        <f t="shared" si="124"/>
        <v>0</v>
      </c>
      <c r="V981" s="186">
        <f t="shared" si="124"/>
        <v>0</v>
      </c>
      <c r="W981" s="186">
        <f t="shared" si="124"/>
        <v>3.8267170418326835E-4</v>
      </c>
      <c r="X981" s="186">
        <f t="shared" si="124"/>
        <v>3.4175513775213551E-2</v>
      </c>
      <c r="Y981" s="186">
        <f t="shared" si="124"/>
        <v>6.1399358138205073E-2</v>
      </c>
      <c r="Z981" s="186">
        <f t="shared" si="124"/>
        <v>8.5044769063471248E-2</v>
      </c>
    </row>
    <row r="982" spans="3:26" ht="15.75">
      <c r="C982" s="124"/>
      <c r="D982" s="4"/>
      <c r="E982" s="4"/>
      <c r="F982" s="4"/>
      <c r="G982" s="4"/>
      <c r="H982" s="4"/>
      <c r="I982" s="4"/>
      <c r="J982" s="4"/>
      <c r="L982" s="4"/>
      <c r="M982" s="4"/>
      <c r="N982" s="4"/>
      <c r="O982" s="4"/>
      <c r="P982" s="4"/>
      <c r="Q982" s="4"/>
      <c r="R982" s="4"/>
      <c r="T982" s="7"/>
      <c r="U982" s="7"/>
      <c r="V982" s="7"/>
      <c r="W982" s="7"/>
      <c r="X982" s="7"/>
      <c r="Y982" s="7"/>
      <c r="Z982" s="7"/>
    </row>
    <row r="983" spans="3:26" ht="15.75">
      <c r="C983" s="187" t="s">
        <v>342</v>
      </c>
      <c r="D983" s="188"/>
      <c r="E983" s="188"/>
      <c r="F983" s="188"/>
      <c r="G983" s="188"/>
      <c r="H983" s="188"/>
      <c r="I983" s="188"/>
      <c r="J983" s="188"/>
      <c r="L983" s="188"/>
      <c r="M983" s="188"/>
      <c r="N983" s="188"/>
      <c r="O983" s="188"/>
      <c r="P983" s="188"/>
      <c r="Q983" s="188"/>
      <c r="R983" s="188"/>
      <c r="T983" s="186"/>
      <c r="U983" s="186"/>
      <c r="V983" s="186"/>
      <c r="W983" s="186"/>
      <c r="X983" s="186"/>
      <c r="Y983" s="186"/>
      <c r="Z983" s="186"/>
    </row>
    <row r="984" spans="3:26" ht="15.75">
      <c r="C984" s="5" t="s">
        <v>343</v>
      </c>
      <c r="D984" s="4">
        <f>Fixed!Q$59</f>
        <v>9876.7625811000016</v>
      </c>
      <c r="E984" s="4">
        <f>Fixed!R$59</f>
        <v>10778.534942549999</v>
      </c>
      <c r="F984" s="4">
        <f>Fixed!S$59</f>
        <v>11093.579</v>
      </c>
      <c r="G984" s="4">
        <f>Fixed!T$59</f>
        <v>11583.474063991656</v>
      </c>
      <c r="H984" s="4">
        <f>Fixed!U$59</f>
        <v>12162.805792969582</v>
      </c>
      <c r="I984" s="4">
        <f>Fixed!V$59</f>
        <v>12643.417761025406</v>
      </c>
      <c r="J984" s="4">
        <f>Fixed!W$59</f>
        <v>13110.578717817538</v>
      </c>
      <c r="L984" s="4">
        <v>9876.7625811000016</v>
      </c>
      <c r="M984" s="4">
        <v>10778.534942549999</v>
      </c>
      <c r="N984" s="4">
        <v>11231.278290225</v>
      </c>
      <c r="O984" s="4">
        <v>11244.645977022865</v>
      </c>
      <c r="P984" s="4">
        <v>11195.669313723836</v>
      </c>
      <c r="Q984" s="4">
        <v>11147.442498106751</v>
      </c>
      <c r="R984" s="4">
        <v>11128.375290599688</v>
      </c>
      <c r="T984" s="7">
        <f t="shared" ref="T984:X988" si="125">D984/L984-1</f>
        <v>0</v>
      </c>
      <c r="U984" s="7">
        <f t="shared" si="125"/>
        <v>0</v>
      </c>
      <c r="V984" s="7">
        <f t="shared" si="125"/>
        <v>-1.2260339977938628E-2</v>
      </c>
      <c r="W984" s="7">
        <f t="shared" si="125"/>
        <v>3.0132392576978084E-2</v>
      </c>
      <c r="X984" s="7">
        <f t="shared" si="125"/>
        <v>8.6384873663624129E-2</v>
      </c>
      <c r="Y984" s="7">
        <f t="shared" ref="Y984:Z988" si="126">I984/Q984-1</f>
        <v>0.13419896654974695</v>
      </c>
      <c r="Z984" s="7">
        <f t="shared" si="126"/>
        <v>0.17812154743669084</v>
      </c>
    </row>
    <row r="985" spans="3:26" ht="15.75">
      <c r="C985" s="189" t="s">
        <v>38</v>
      </c>
      <c r="D985" s="188">
        <f>Fixed!Q$60</f>
        <v>8988.8520795000004</v>
      </c>
      <c r="E985" s="188">
        <f>Fixed!R$60</f>
        <v>10278.634920150002</v>
      </c>
      <c r="F985" s="188">
        <f>Fixed!S$60</f>
        <v>12350.602000000001</v>
      </c>
      <c r="G985" s="188">
        <f>Fixed!T$60</f>
        <v>13814.454901958286</v>
      </c>
      <c r="H985" s="188">
        <f>Fixed!U$60</f>
        <v>15074.273505017527</v>
      </c>
      <c r="I985" s="188">
        <f>Fixed!V$60</f>
        <v>15985.542144130201</v>
      </c>
      <c r="J985" s="188">
        <f>Fixed!W$60</f>
        <v>16625.479542510951</v>
      </c>
      <c r="L985" s="188">
        <v>8988.8520795000004</v>
      </c>
      <c r="M985" s="188">
        <v>10278.634920150002</v>
      </c>
      <c r="N985" s="188">
        <v>12255.995114849999</v>
      </c>
      <c r="O985" s="188">
        <v>13735.217610881984</v>
      </c>
      <c r="P985" s="188">
        <v>14788.714852940675</v>
      </c>
      <c r="Q985" s="188">
        <v>15570.373588188831</v>
      </c>
      <c r="R985" s="188">
        <v>16174.153835880872</v>
      </c>
      <c r="T985" s="186">
        <f t="shared" si="125"/>
        <v>0</v>
      </c>
      <c r="U985" s="186">
        <f t="shared" si="125"/>
        <v>0</v>
      </c>
      <c r="V985" s="186">
        <f t="shared" si="125"/>
        <v>7.7192332620443782E-3</v>
      </c>
      <c r="W985" s="186">
        <f t="shared" si="125"/>
        <v>5.7689141389012377E-3</v>
      </c>
      <c r="X985" s="186">
        <f t="shared" si="125"/>
        <v>1.9309226996155671E-2</v>
      </c>
      <c r="Y985" s="186">
        <f t="shared" si="126"/>
        <v>2.666400735922636E-2</v>
      </c>
      <c r="Z985" s="186">
        <f t="shared" si="126"/>
        <v>2.7904130949271355E-2</v>
      </c>
    </row>
    <row r="986" spans="3:26" ht="15.75">
      <c r="C986" s="5" t="s">
        <v>40</v>
      </c>
      <c r="D986" s="4">
        <f>Fixed!Q$61</f>
        <v>2459.61045375</v>
      </c>
      <c r="E986" s="4">
        <f>Fixed!R$61</f>
        <v>2556.1935830999996</v>
      </c>
      <c r="F986" s="4">
        <f>Fixed!S$61</f>
        <v>2893.0630000000001</v>
      </c>
      <c r="G986" s="4">
        <f>Fixed!T$61</f>
        <v>3157.2575684415278</v>
      </c>
      <c r="H986" s="4">
        <f>Fixed!U$61</f>
        <v>3337.9128011780522</v>
      </c>
      <c r="I986" s="4">
        <f>Fixed!V$61</f>
        <v>3447.8750543632441</v>
      </c>
      <c r="J986" s="4">
        <f>Fixed!W$61</f>
        <v>3527.5578465264271</v>
      </c>
      <c r="L986" s="4">
        <v>2459.61045375</v>
      </c>
      <c r="M986" s="4">
        <v>2556.1935830999996</v>
      </c>
      <c r="N986" s="4">
        <v>2874.0282439499997</v>
      </c>
      <c r="O986" s="4">
        <v>3182.1839394860158</v>
      </c>
      <c r="P986" s="4">
        <v>3357.4860822450164</v>
      </c>
      <c r="Q986" s="4">
        <v>3421.2323159755629</v>
      </c>
      <c r="R986" s="4">
        <v>3469.0419912734719</v>
      </c>
      <c r="T986" s="7">
        <f t="shared" si="125"/>
        <v>0</v>
      </c>
      <c r="U986" s="7">
        <f t="shared" si="125"/>
        <v>0</v>
      </c>
      <c r="V986" s="7">
        <f t="shared" si="125"/>
        <v>6.6230233088591106E-3</v>
      </c>
      <c r="W986" s="7">
        <f t="shared" si="125"/>
        <v>-7.833101894327954E-3</v>
      </c>
      <c r="X986" s="7">
        <f t="shared" si="125"/>
        <v>-5.829743024243994E-3</v>
      </c>
      <c r="Y986" s="7">
        <f t="shared" si="126"/>
        <v>7.7874683526377719E-3</v>
      </c>
      <c r="Z986" s="7">
        <f t="shared" si="126"/>
        <v>1.6868015838422901E-2</v>
      </c>
    </row>
    <row r="987" spans="3:26" ht="15.75">
      <c r="C987" s="963" t="s">
        <v>344</v>
      </c>
      <c r="D987" s="962">
        <f>Fixed!Q$62</f>
        <v>650.33588564999866</v>
      </c>
      <c r="E987" s="962">
        <f>Fixed!R$62</f>
        <v>854.19255420000229</v>
      </c>
      <c r="F987" s="962">
        <f>Fixed!S$62</f>
        <v>844.298</v>
      </c>
      <c r="G987" s="962">
        <f>Fixed!T$62</f>
        <v>1106.7020799999998</v>
      </c>
      <c r="H987" s="962">
        <f>Fixed!U$62</f>
        <v>1351.3488340543952</v>
      </c>
      <c r="I987" s="962">
        <f>Fixed!V$62</f>
        <v>1542.7388411233428</v>
      </c>
      <c r="J987" s="962">
        <f>Fixed!W$62</f>
        <v>1662.8765594231186</v>
      </c>
      <c r="L987" s="962">
        <v>650.33588564999866</v>
      </c>
      <c r="M987" s="962">
        <v>854.19255420000229</v>
      </c>
      <c r="N987" s="962">
        <v>910.08135097499996</v>
      </c>
      <c r="O987" s="962">
        <v>1030.212991362961</v>
      </c>
      <c r="P987" s="962">
        <v>1115.8727861313616</v>
      </c>
      <c r="Q987" s="962">
        <v>1218.6750201570169</v>
      </c>
      <c r="R987" s="962">
        <v>1326.3487453427038</v>
      </c>
      <c r="T987" s="186">
        <f t="shared" si="125"/>
        <v>0</v>
      </c>
      <c r="U987" s="186">
        <f t="shared" si="125"/>
        <v>0</v>
      </c>
      <c r="V987" s="186">
        <f t="shared" si="125"/>
        <v>-7.2282934821732203E-2</v>
      </c>
      <c r="W987" s="186">
        <f t="shared" si="125"/>
        <v>7.424589796314307E-2</v>
      </c>
      <c r="X987" s="186">
        <f t="shared" si="125"/>
        <v>0.21102409777319631</v>
      </c>
      <c r="Y987" s="186">
        <f t="shared" si="126"/>
        <v>0.26591487936182756</v>
      </c>
      <c r="Z987" s="186">
        <f t="shared" si="126"/>
        <v>0.25372498391700327</v>
      </c>
    </row>
    <row r="988" spans="3:26" ht="15.75">
      <c r="C988" s="10" t="s">
        <v>345</v>
      </c>
      <c r="D988" s="4">
        <f>Fixed!Q$63</f>
        <v>21975.561000000002</v>
      </c>
      <c r="E988" s="4">
        <f>Fixed!R$63</f>
        <v>24467.556000000004</v>
      </c>
      <c r="F988" s="4">
        <f>Fixed!S$63</f>
        <v>27181.541000000001</v>
      </c>
      <c r="G988" s="4">
        <f>Fixed!T$63</f>
        <v>30003.593000000001</v>
      </c>
      <c r="H988" s="4">
        <f>Fixed!U$63</f>
        <v>33003.952300000004</v>
      </c>
      <c r="I988" s="4">
        <f>Fixed!V$63</f>
        <v>35314.228961000008</v>
      </c>
      <c r="J988" s="4">
        <f>Fixed!W$63</f>
        <v>37433.082698660008</v>
      </c>
      <c r="L988" s="4">
        <v>21975.561000000002</v>
      </c>
      <c r="M988" s="4">
        <v>24467.556000000004</v>
      </c>
      <c r="N988" s="4">
        <v>27271.383000000002</v>
      </c>
      <c r="O988" s="4">
        <v>29192.260518753825</v>
      </c>
      <c r="P988" s="4">
        <v>30457.743035040887</v>
      </c>
      <c r="Q988" s="4">
        <v>31357.723422428164</v>
      </c>
      <c r="R988" s="4">
        <v>32097.919863096737</v>
      </c>
      <c r="T988" s="7">
        <f t="shared" si="125"/>
        <v>0</v>
      </c>
      <c r="U988" s="7">
        <f t="shared" si="125"/>
        <v>0</v>
      </c>
      <c r="V988" s="7">
        <f t="shared" si="125"/>
        <v>-3.2943690461170183E-3</v>
      </c>
      <c r="W988" s="7">
        <f t="shared" si="125"/>
        <v>2.7792725428884113E-2</v>
      </c>
      <c r="X988" s="7">
        <f t="shared" si="125"/>
        <v>8.3598093989753819E-2</v>
      </c>
      <c r="Y988" s="7">
        <f t="shared" si="126"/>
        <v>0.12617323921359702</v>
      </c>
      <c r="Z988" s="7">
        <f t="shared" si="126"/>
        <v>0.16621522074697292</v>
      </c>
    </row>
    <row r="989" spans="3:26" ht="15.75">
      <c r="C989" s="189"/>
      <c r="D989" s="188"/>
      <c r="E989" s="188"/>
      <c r="F989" s="188"/>
      <c r="G989" s="188"/>
      <c r="H989" s="188"/>
      <c r="I989" s="188"/>
      <c r="J989" s="188"/>
      <c r="L989" s="188"/>
      <c r="M989" s="188"/>
      <c r="N989" s="188"/>
      <c r="O989" s="188"/>
      <c r="P989" s="188"/>
      <c r="Q989" s="188"/>
      <c r="R989" s="188"/>
      <c r="T989" s="186"/>
      <c r="U989" s="186"/>
      <c r="V989" s="186"/>
      <c r="W989" s="186"/>
      <c r="X989" s="186"/>
      <c r="Y989" s="186"/>
      <c r="Z989" s="186"/>
    </row>
    <row r="990" spans="3:26" ht="15.75">
      <c r="C990" s="926" t="s">
        <v>346</v>
      </c>
      <c r="D990" s="928">
        <f>Fixed!Q$79</f>
        <v>5179.7300000000005</v>
      </c>
      <c r="E990" s="928">
        <f>Fixed!R$79</f>
        <v>5402.9849999999997</v>
      </c>
      <c r="F990" s="928">
        <f>Fixed!S$79</f>
        <v>5659.3059999999996</v>
      </c>
      <c r="G990" s="928">
        <f>Fixed!T$79</f>
        <v>5426.1180000000004</v>
      </c>
      <c r="H990" s="928">
        <f>Fixed!U$79</f>
        <v>5480.3791800000008</v>
      </c>
      <c r="I990" s="928">
        <f>Fixed!V$79</f>
        <v>5754.3981390000008</v>
      </c>
      <c r="J990" s="928">
        <f>Fixed!W$79</f>
        <v>6042.118045950001</v>
      </c>
      <c r="L990" s="928">
        <v>5179.7300000000005</v>
      </c>
      <c r="M990" s="928">
        <v>5402.9849999999997</v>
      </c>
      <c r="N990" s="928">
        <v>5738.0360000000001</v>
      </c>
      <c r="O990" s="928">
        <v>6223.8967199999997</v>
      </c>
      <c r="P990" s="928">
        <v>6754.8296544000013</v>
      </c>
      <c r="Q990" s="928">
        <v>7335.1839974880022</v>
      </c>
      <c r="R990" s="928">
        <v>7969.7363149377625</v>
      </c>
      <c r="T990" s="7">
        <f t="shared" ref="T990:Z990" si="127">D990/L990-1</f>
        <v>0</v>
      </c>
      <c r="U990" s="7">
        <f t="shared" si="127"/>
        <v>0</v>
      </c>
      <c r="V990" s="7">
        <f t="shared" si="127"/>
        <v>-1.3720722560820575E-2</v>
      </c>
      <c r="W990" s="7">
        <f t="shared" si="127"/>
        <v>-0.12817994190623383</v>
      </c>
      <c r="X990" s="7">
        <f t="shared" si="127"/>
        <v>-0.18867248170645445</v>
      </c>
      <c r="Y990" s="7">
        <f t="shared" si="127"/>
        <v>-0.21550732183805554</v>
      </c>
      <c r="Z990" s="7">
        <f t="shared" si="127"/>
        <v>-0.2418672579386103</v>
      </c>
    </row>
    <row r="991" spans="3:26" ht="15.75">
      <c r="C991" s="190"/>
      <c r="D991" s="188"/>
      <c r="E991" s="188"/>
      <c r="F991" s="188"/>
      <c r="G991" s="188"/>
      <c r="H991" s="188"/>
      <c r="I991" s="188"/>
      <c r="J991" s="188"/>
      <c r="L991" s="188"/>
      <c r="M991" s="188"/>
      <c r="N991" s="188"/>
      <c r="O991" s="188"/>
      <c r="P991" s="188"/>
      <c r="Q991" s="188"/>
      <c r="R991" s="188"/>
      <c r="T991" s="186"/>
      <c r="U991" s="186"/>
      <c r="V991" s="186"/>
      <c r="W991" s="186"/>
      <c r="X991" s="186"/>
      <c r="Y991" s="186"/>
      <c r="Z991" s="186"/>
    </row>
    <row r="992" spans="3:26" ht="15.75">
      <c r="C992" s="924" t="s">
        <v>295</v>
      </c>
      <c r="D992" s="928">
        <f>Master!V$13</f>
        <v>12769.018</v>
      </c>
      <c r="E992" s="928">
        <f>Master!W$13</f>
        <v>13319.993</v>
      </c>
      <c r="F992" s="928">
        <f>Master!X$13</f>
        <v>14629.852999999999</v>
      </c>
      <c r="G992" s="928">
        <f>Master!Y$13</f>
        <v>15936.034</v>
      </c>
      <c r="H992" s="928">
        <f>Master!Z$13</f>
        <v>17317.949166000006</v>
      </c>
      <c r="I992" s="928">
        <f>Master!AA$13</f>
        <v>18891.568466000008</v>
      </c>
      <c r="J992" s="928">
        <f>Master!AB$13</f>
        <v>20433.344349966705</v>
      </c>
      <c r="L992" s="928">
        <v>12769.018</v>
      </c>
      <c r="M992" s="928">
        <v>13319.993</v>
      </c>
      <c r="N992" s="928">
        <v>14629.852999999999</v>
      </c>
      <c r="O992" s="928">
        <v>16191.517410008066</v>
      </c>
      <c r="P992" s="928">
        <v>17590.651390402036</v>
      </c>
      <c r="Q992" s="928">
        <v>18360.184679842514</v>
      </c>
      <c r="R992" s="928">
        <v>19080.080075415462</v>
      </c>
      <c r="T992" s="7">
        <f t="shared" ref="T992:Z992" si="128">D992/L992-1</f>
        <v>0</v>
      </c>
      <c r="U992" s="7">
        <f t="shared" si="128"/>
        <v>0</v>
      </c>
      <c r="V992" s="7">
        <f t="shared" si="128"/>
        <v>0</v>
      </c>
      <c r="W992" s="7">
        <f t="shared" si="128"/>
        <v>-1.5778842929826342E-2</v>
      </c>
      <c r="X992" s="7">
        <f t="shared" si="128"/>
        <v>-1.5502679141877862E-2</v>
      </c>
      <c r="Y992" s="7">
        <f t="shared" si="128"/>
        <v>2.8942180888893443E-2</v>
      </c>
      <c r="Z992" s="7">
        <f t="shared" si="128"/>
        <v>7.0925502891097114E-2</v>
      </c>
    </row>
    <row r="993" spans="3:26" ht="15.75">
      <c r="C993" s="190" t="s">
        <v>45</v>
      </c>
      <c r="D993" s="191">
        <f t="shared" ref="D993:J993" si="129">D992/D981</f>
        <v>0.47021753007810002</v>
      </c>
      <c r="E993" s="191">
        <f t="shared" si="129"/>
        <v>0.44592407770331571</v>
      </c>
      <c r="F993" s="191">
        <f t="shared" si="129"/>
        <v>0.44547732141386848</v>
      </c>
      <c r="G993" s="191">
        <f t="shared" si="129"/>
        <v>0.44979295625055921</v>
      </c>
      <c r="H993" s="191">
        <f t="shared" si="129"/>
        <v>0.45000000000000007</v>
      </c>
      <c r="I993" s="191">
        <f t="shared" si="129"/>
        <v>0.46000000000000008</v>
      </c>
      <c r="J993" s="191">
        <f t="shared" si="129"/>
        <v>0.47</v>
      </c>
      <c r="L993" s="191">
        <v>0.47021753007810002</v>
      </c>
      <c r="M993" s="191">
        <v>0.44592407770331571</v>
      </c>
      <c r="N993" s="191">
        <v>0.44547732141386848</v>
      </c>
      <c r="O993" s="191">
        <v>0.45717883227293327</v>
      </c>
      <c r="P993" s="191">
        <v>0.47270720939413591</v>
      </c>
      <c r="Q993" s="191">
        <v>0.47451034063137076</v>
      </c>
      <c r="R993" s="191">
        <v>0.47619656090279017</v>
      </c>
      <c r="T993" s="186"/>
      <c r="U993" s="186"/>
      <c r="V993" s="186"/>
      <c r="W993" s="186"/>
      <c r="X993" s="186"/>
      <c r="Y993" s="186"/>
      <c r="Z993" s="186"/>
    </row>
    <row r="994" spans="3:26" ht="15.75">
      <c r="C994" s="124"/>
      <c r="D994" s="4"/>
      <c r="E994" s="4"/>
      <c r="F994" s="4"/>
      <c r="G994" s="4"/>
      <c r="H994" s="4"/>
      <c r="I994" s="4"/>
      <c r="J994" s="4"/>
      <c r="L994" s="4"/>
      <c r="M994" s="4"/>
      <c r="N994" s="4"/>
      <c r="O994" s="4"/>
      <c r="P994" s="4"/>
      <c r="Q994" s="4"/>
      <c r="R994" s="4"/>
      <c r="T994" s="7"/>
      <c r="U994" s="7"/>
      <c r="V994" s="7"/>
      <c r="W994" s="7"/>
      <c r="X994" s="7"/>
      <c r="Y994" s="7"/>
      <c r="Z994" s="7"/>
    </row>
    <row r="995" spans="3:26" ht="15.75">
      <c r="C995" s="190" t="s">
        <v>147</v>
      </c>
      <c r="D995" s="188">
        <f>Master!V$43</f>
        <v>11836</v>
      </c>
      <c r="E995" s="188">
        <f>Master!W$43</f>
        <v>12949</v>
      </c>
      <c r="F995" s="188">
        <f>Master!X$43</f>
        <v>10340</v>
      </c>
      <c r="G995" s="188">
        <f>Master!Y$43</f>
        <v>9187.3919999999998</v>
      </c>
      <c r="H995" s="188">
        <f>Master!Z$43</f>
        <v>9717.293698700003</v>
      </c>
      <c r="I995" s="188">
        <f>Master!AA$43</f>
        <v>9856.4705040000026</v>
      </c>
      <c r="J995" s="188">
        <f>Master!AB$43</f>
        <v>9999.2961712603028</v>
      </c>
      <c r="L995" s="188">
        <v>11836</v>
      </c>
      <c r="M995" s="188">
        <v>12949</v>
      </c>
      <c r="N995" s="188">
        <v>10340</v>
      </c>
      <c r="O995" s="188">
        <v>9916.5240268510715</v>
      </c>
      <c r="P995" s="188">
        <v>9303.1431723602218</v>
      </c>
      <c r="Q995" s="188">
        <v>8899.3687065807189</v>
      </c>
      <c r="R995" s="188">
        <v>9215.5609209479353</v>
      </c>
      <c r="T995" s="186">
        <f t="shared" ref="T995:X996" si="130">D995/L995-1</f>
        <v>0</v>
      </c>
      <c r="U995" s="186">
        <f t="shared" si="130"/>
        <v>0</v>
      </c>
      <c r="V995" s="186">
        <f t="shared" si="130"/>
        <v>0</v>
      </c>
      <c r="W995" s="186">
        <f t="shared" si="130"/>
        <v>-7.3526976274831179E-2</v>
      </c>
      <c r="X995" s="186">
        <f t="shared" si="130"/>
        <v>4.4517268912965813E-2</v>
      </c>
      <c r="Y995" s="186">
        <f>I995/Q995-1</f>
        <v>0.10754715631812695</v>
      </c>
      <c r="Z995" s="186">
        <f>J995/R995-1</f>
        <v>8.5044769063471248E-2</v>
      </c>
    </row>
    <row r="996" spans="3:26" ht="15.75">
      <c r="C996" s="151" t="s">
        <v>1063</v>
      </c>
      <c r="D996" s="4">
        <f>Master!V$48</f>
        <v>588.85572139303474</v>
      </c>
      <c r="E996" s="4">
        <f>Master!W$48</f>
        <v>730.34404963338977</v>
      </c>
      <c r="F996" s="4">
        <f>Master!X$48</f>
        <v>565.0273224043716</v>
      </c>
      <c r="G996" s="4">
        <f>Master!Y$48</f>
        <v>478.51</v>
      </c>
      <c r="H996" s="4">
        <f>Master!Z$48</f>
        <v>559.59076871292848</v>
      </c>
      <c r="I996" s="4">
        <f>Master!AA$48</f>
        <v>556.47603665249585</v>
      </c>
      <c r="J996" s="4">
        <f>Master!AB$48</f>
        <v>553.47027435461678</v>
      </c>
      <c r="L996" s="4">
        <v>588.85572139303474</v>
      </c>
      <c r="M996" s="4">
        <v>730.34404963338977</v>
      </c>
      <c r="N996" s="4">
        <v>608.23529411764707</v>
      </c>
      <c r="O996" s="4">
        <v>583.32494275594536</v>
      </c>
      <c r="P996" s="4">
        <v>547.24371602118947</v>
      </c>
      <c r="Q996" s="4">
        <v>523.49227685768938</v>
      </c>
      <c r="R996" s="4">
        <v>542.09181887929026</v>
      </c>
      <c r="T996" s="7">
        <f t="shared" si="130"/>
        <v>0</v>
      </c>
      <c r="U996" s="7">
        <f t="shared" si="130"/>
        <v>0</v>
      </c>
      <c r="V996" s="7">
        <f t="shared" si="130"/>
        <v>-7.1038251366120186E-2</v>
      </c>
      <c r="W996" s="7">
        <f t="shared" si="130"/>
        <v>-0.17968534357667332</v>
      </c>
      <c r="X996" s="7">
        <f t="shared" si="130"/>
        <v>2.2562255774282614E-2</v>
      </c>
      <c r="Y996" s="7">
        <f>I996/Q996-1</f>
        <v>6.3007156462354219E-2</v>
      </c>
      <c r="Z996" s="7">
        <f>J996/R996-1</f>
        <v>2.0989904438790674E-2</v>
      </c>
    </row>
    <row r="997" spans="3:26" ht="15.75">
      <c r="C997" s="190" t="s">
        <v>148</v>
      </c>
      <c r="D997" s="191">
        <f t="shared" ref="D997:J997" si="131">D995/D981</f>
        <v>0.4358592560527671</v>
      </c>
      <c r="E997" s="191">
        <f t="shared" si="131"/>
        <v>0.43350404780094365</v>
      </c>
      <c r="F997" s="191">
        <f t="shared" si="131"/>
        <v>0.31485179676237351</v>
      </c>
      <c r="G997" s="191">
        <f t="shared" si="131"/>
        <v>0.25931321481321751</v>
      </c>
      <c r="H997" s="191">
        <f t="shared" si="131"/>
        <v>0.2525</v>
      </c>
      <c r="I997" s="191">
        <f t="shared" si="131"/>
        <v>0.24</v>
      </c>
      <c r="J997" s="191">
        <f t="shared" si="131"/>
        <v>0.23</v>
      </c>
      <c r="L997" s="191">
        <v>0.4358592560527671</v>
      </c>
      <c r="M997" s="191">
        <v>0.43350404780094365</v>
      </c>
      <c r="N997" s="191">
        <v>0.31485179676237351</v>
      </c>
      <c r="O997" s="191">
        <v>0.28000000000000003</v>
      </c>
      <c r="P997" s="191">
        <v>0.25</v>
      </c>
      <c r="Q997" s="191">
        <v>0.23</v>
      </c>
      <c r="R997" s="191">
        <v>0.23</v>
      </c>
      <c r="T997" s="189"/>
      <c r="U997" s="189"/>
      <c r="V997" s="189"/>
      <c r="W997" s="189"/>
      <c r="X997" s="189"/>
      <c r="Y997" s="189"/>
      <c r="Z997" s="189"/>
    </row>
    <row r="998" spans="3:26" ht="15.75">
      <c r="C998" s="124" t="s">
        <v>92</v>
      </c>
      <c r="D998" s="4">
        <f>Master!V$51</f>
        <v>933.01800000000003</v>
      </c>
      <c r="E998" s="4">
        <f>Master!W$51</f>
        <v>370.99300000000039</v>
      </c>
      <c r="F998" s="4">
        <f>Master!X$51</f>
        <v>4289.8529999999992</v>
      </c>
      <c r="G998" s="4">
        <f>Master!Y$51</f>
        <v>6748.6419999999998</v>
      </c>
      <c r="H998" s="4">
        <f>Master!Z$51</f>
        <v>7600.6554673000028</v>
      </c>
      <c r="I998" s="4">
        <f>Master!AA$51</f>
        <v>9035.0979620000053</v>
      </c>
      <c r="J998" s="4">
        <f>Master!AB$51</f>
        <v>10434.048178706402</v>
      </c>
      <c r="L998" s="4">
        <v>933.01800000000003</v>
      </c>
      <c r="M998" s="4">
        <v>370.99300000000039</v>
      </c>
      <c r="N998" s="4">
        <v>4340.4879460000011</v>
      </c>
      <c r="O998" s="4">
        <v>6274.9933831569942</v>
      </c>
      <c r="P998" s="4">
        <v>8287.508218041814</v>
      </c>
      <c r="Q998" s="4">
        <v>9460.8159732617951</v>
      </c>
      <c r="R998" s="4">
        <v>9864.5191544675272</v>
      </c>
      <c r="T998" s="7">
        <f t="shared" ref="T998:Z998" si="132">D998/L998-1</f>
        <v>0</v>
      </c>
      <c r="U998" s="7">
        <f t="shared" si="132"/>
        <v>0</v>
      </c>
      <c r="V998" s="7">
        <f t="shared" si="132"/>
        <v>-1.1665726671736265E-2</v>
      </c>
      <c r="W998" s="7">
        <f t="shared" si="132"/>
        <v>7.5481930883680048E-2</v>
      </c>
      <c r="X998" s="7">
        <f t="shared" si="132"/>
        <v>-8.2878077785375814E-2</v>
      </c>
      <c r="Y998" s="7">
        <f t="shared" si="132"/>
        <v>-4.4998022629861523E-2</v>
      </c>
      <c r="Z998" s="7">
        <f t="shared" si="132"/>
        <v>5.7735102473894129E-2</v>
      </c>
    </row>
    <row r="999" spans="3:26" ht="15.75">
      <c r="C999" s="961" t="s">
        <v>45</v>
      </c>
      <c r="D999" s="964">
        <f t="shared" ref="D999:J999" si="133">D998/D981</f>
        <v>3.4358274025332938E-2</v>
      </c>
      <c r="E999" s="964">
        <f t="shared" si="133"/>
        <v>1.2420029902372049E-2</v>
      </c>
      <c r="F999" s="964">
        <f t="shared" si="133"/>
        <v>0.13062552465149496</v>
      </c>
      <c r="G999" s="964">
        <f t="shared" si="133"/>
        <v>0.1904797414373417</v>
      </c>
      <c r="H999" s="964">
        <f t="shared" si="133"/>
        <v>0.19750000000000004</v>
      </c>
      <c r="I999" s="964">
        <f t="shared" si="133"/>
        <v>0.22000000000000006</v>
      </c>
      <c r="J999" s="964">
        <f t="shared" si="133"/>
        <v>0.24</v>
      </c>
      <c r="L999" s="964">
        <v>3.4358274025332938E-2</v>
      </c>
      <c r="M999" s="964">
        <v>1.2420029902372049E-2</v>
      </c>
      <c r="N999" s="964">
        <v>0.13216735286494433</v>
      </c>
      <c r="O999" s="964">
        <v>0.17717883227293324</v>
      </c>
      <c r="P999" s="964">
        <v>0.22270720939413588</v>
      </c>
      <c r="Q999" s="964">
        <v>0.24451034063137075</v>
      </c>
      <c r="R999" s="964">
        <v>0.24619656090279016</v>
      </c>
      <c r="T999" s="965"/>
      <c r="U999" s="965"/>
      <c r="V999" s="965"/>
      <c r="W999" s="965"/>
      <c r="X999" s="965"/>
      <c r="Y999" s="965"/>
      <c r="Z999" s="965"/>
    </row>
    <row r="1021" spans="3:17">
      <c r="C1021" s="40" t="s">
        <v>1108</v>
      </c>
      <c r="D1021" s="1051">
        <f>Master!W3</f>
        <v>2023</v>
      </c>
      <c r="E1021" s="1051">
        <f>Master!X3</f>
        <v>2024</v>
      </c>
      <c r="F1021" s="1051">
        <f>Master!Y3</f>
        <v>2025</v>
      </c>
      <c r="G1021" s="233">
        <f>Master!Z3</f>
        <v>2026</v>
      </c>
      <c r="H1021" s="233">
        <f>Master!AA3</f>
        <v>2027</v>
      </c>
      <c r="I1021" s="233">
        <f>Master!AB3</f>
        <v>2028</v>
      </c>
      <c r="J1021" s="233">
        <f>Master!AC3</f>
        <v>2029</v>
      </c>
      <c r="K1021" s="233">
        <f>Master!AD3</f>
        <v>2030</v>
      </c>
      <c r="L1021" s="233">
        <f>Master!AE3</f>
        <v>2031</v>
      </c>
      <c r="M1021" s="233">
        <f>Master!AF3</f>
        <v>2032</v>
      </c>
      <c r="N1021" s="233">
        <f>Master!AG3</f>
        <v>2033</v>
      </c>
      <c r="O1021" s="233">
        <f>Master!AH3</f>
        <v>2034</v>
      </c>
      <c r="P1021" s="233">
        <f>Master!AI3</f>
        <v>2035</v>
      </c>
      <c r="Q1021" s="233"/>
    </row>
    <row r="1022" spans="3:17">
      <c r="C1022" t="str">
        <f>Master!B8</f>
        <v>Reported revenues</v>
      </c>
      <c r="D1022" s="1055">
        <f>Master!W8</f>
        <v>29870.54</v>
      </c>
      <c r="E1022" s="1055">
        <f>Master!X8</f>
        <v>32840.847999999998</v>
      </c>
      <c r="F1022" s="1055">
        <f>Master!Y8</f>
        <v>35429.71</v>
      </c>
      <c r="G1022" s="110">
        <f>Master!Z8</f>
        <v>38484.331480000008</v>
      </c>
      <c r="H1022" s="110">
        <f>Master!AA8</f>
        <v>41068.627100000012</v>
      </c>
      <c r="I1022" s="110">
        <f>Master!AB8</f>
        <v>43475.200744610011</v>
      </c>
      <c r="J1022" s="110">
        <f>Master!AC8</f>
        <v>45648.960781840506</v>
      </c>
      <c r="K1022" s="110">
        <f>Master!AD8</f>
        <v>47440.099610512625</v>
      </c>
      <c r="L1022" s="110">
        <f>Master!AE8</f>
        <v>48384.851334768406</v>
      </c>
      <c r="M1022" s="110">
        <f>Master!AF8</f>
        <v>49355.43184639293</v>
      </c>
      <c r="N1022" s="110">
        <f>Master!AG8</f>
        <v>50352.811452771966</v>
      </c>
      <c r="O1022" s="110">
        <f>Master!AH8</f>
        <v>51378.004159680844</v>
      </c>
      <c r="P1022" s="110">
        <f>Master!AI8</f>
        <v>52432.069783949228</v>
      </c>
    </row>
    <row r="1023" spans="3:17">
      <c r="C1023" t="str">
        <f>Master!B18</f>
        <v>Reported EBITDA</v>
      </c>
      <c r="D1023" s="1055">
        <f>Master!W18</f>
        <v>13319.993</v>
      </c>
      <c r="E1023" s="1055">
        <f>Master!X18</f>
        <v>14629.852999999999</v>
      </c>
      <c r="F1023" s="1055">
        <f>Master!Y18</f>
        <v>15936.034</v>
      </c>
      <c r="G1023" s="110">
        <f>Master!Z18</f>
        <v>17317.949166000006</v>
      </c>
      <c r="H1023" s="110">
        <f>Master!AA18</f>
        <v>18891.568466000008</v>
      </c>
      <c r="I1023" s="110">
        <f>Master!AB18</f>
        <v>20433.344349966705</v>
      </c>
      <c r="J1023" s="110">
        <f>Master!AC18</f>
        <v>21683.256371374238</v>
      </c>
      <c r="K1023" s="110">
        <f>Master!AD18</f>
        <v>22771.247813046059</v>
      </c>
      <c r="L1023" s="110">
        <f>Master!AE18</f>
        <v>23466.652897362677</v>
      </c>
      <c r="M1023" s="110">
        <f>Master!AF18</f>
        <v>24184.161604732537</v>
      </c>
      <c r="N1023" s="110">
        <f>Master!AG18</f>
        <v>24924.641669122124</v>
      </c>
      <c r="O1023" s="110">
        <f>Master!AH18</f>
        <v>25689.002079840422</v>
      </c>
      <c r="P1023" s="110">
        <f>Master!AI18</f>
        <v>26478.195240894362</v>
      </c>
    </row>
    <row r="1024" spans="3:17">
      <c r="C1024" t="str">
        <f>Master!B42</f>
        <v>Capex</v>
      </c>
      <c r="D1024" s="1055">
        <f>Master!W43</f>
        <v>12949</v>
      </c>
      <c r="E1024" s="1055">
        <f>Master!X43</f>
        <v>10340</v>
      </c>
      <c r="F1024" s="1055">
        <f>Master!Y43</f>
        <v>9187.3919999999998</v>
      </c>
      <c r="G1024" s="110">
        <f>Master!Z43</f>
        <v>9717.293698700003</v>
      </c>
      <c r="H1024" s="110">
        <f>Master!AA43</f>
        <v>9856.4705040000026</v>
      </c>
      <c r="I1024" s="110">
        <f>Master!AB43</f>
        <v>9999.2961712603028</v>
      </c>
      <c r="J1024" s="110">
        <f>Master!AC43</f>
        <v>10042.771372004911</v>
      </c>
      <c r="K1024" s="110">
        <f>Master!AD43</f>
        <v>9962.4209182076502</v>
      </c>
      <c r="L1024" s="110">
        <f>Master!AE43</f>
        <v>9918.8945236275231</v>
      </c>
      <c r="M1024" s="110">
        <f>Master!AF43</f>
        <v>9871.0863692785861</v>
      </c>
      <c r="N1024" s="110">
        <f>Master!AG43</f>
        <v>9944.6802619224636</v>
      </c>
      <c r="O1024" s="110">
        <f>Master!AH43</f>
        <v>10018.710811137766</v>
      </c>
      <c r="P1024" s="110">
        <f>Master!AI43</f>
        <v>9962.0932589503536</v>
      </c>
    </row>
    <row r="1025" spans="3:16">
      <c r="C1025" t="s">
        <v>1109</v>
      </c>
      <c r="D1025" s="1055">
        <f>Master!W35</f>
        <v>2895.7810000000004</v>
      </c>
      <c r="E1025" s="1055">
        <f>Master!X35</f>
        <v>2445.3959999999997</v>
      </c>
      <c r="F1025" s="1055">
        <f>Master!Y35</f>
        <v>2851.4839999999999</v>
      </c>
      <c r="G1025" s="110">
        <f>Master!Z35</f>
        <v>3986.9332212597537</v>
      </c>
      <c r="H1025" s="110">
        <f>Master!AA35</f>
        <v>4744.5734332547527</v>
      </c>
      <c r="I1025" s="110">
        <f>Master!AB35</f>
        <v>5887.4171437726372</v>
      </c>
      <c r="J1025" s="110">
        <f>Master!AC35</f>
        <v>6754.4582718960646</v>
      </c>
      <c r="K1025" s="110">
        <f>Master!AD35</f>
        <v>7508.5841846727635</v>
      </c>
      <c r="L1025" s="110">
        <f>Master!AE35</f>
        <v>8006.5307840658397</v>
      </c>
      <c r="M1025" s="110">
        <f>Master!AF35</f>
        <v>8494.8085704459518</v>
      </c>
      <c r="N1025" s="110">
        <f>Master!AG35</f>
        <v>8999.0977931390098</v>
      </c>
      <c r="O1025" s="110">
        <f>Master!AH35</f>
        <v>9501.5307974553161</v>
      </c>
      <c r="P1025" s="110">
        <f>Master!AI35</f>
        <v>10048.09372520238</v>
      </c>
    </row>
    <row r="1026" spans="3:16">
      <c r="D1026" s="1052"/>
      <c r="E1026" s="1052"/>
      <c r="F1026" s="1053"/>
    </row>
    <row r="1027" spans="3:16">
      <c r="C1027" s="40" t="s">
        <v>785</v>
      </c>
      <c r="D1027" s="1051">
        <v>2023</v>
      </c>
      <c r="E1027" s="1051">
        <v>2024</v>
      </c>
      <c r="F1027" s="1051">
        <v>2025</v>
      </c>
      <c r="G1027" s="233">
        <v>2026</v>
      </c>
      <c r="H1027" s="233">
        <v>2027</v>
      </c>
      <c r="I1027" s="233">
        <v>2028</v>
      </c>
      <c r="J1027" s="233">
        <v>2029</v>
      </c>
      <c r="K1027" s="233">
        <v>2030</v>
      </c>
      <c r="L1027" s="233">
        <v>2031</v>
      </c>
      <c r="M1027" s="233">
        <v>2032</v>
      </c>
      <c r="N1027" s="233">
        <v>2033</v>
      </c>
      <c r="O1027" s="233">
        <v>2034</v>
      </c>
      <c r="P1027" s="233">
        <v>2035</v>
      </c>
    </row>
    <row r="1028" spans="3:16">
      <c r="C1028" t="s">
        <v>130</v>
      </c>
      <c r="D1028" s="1056">
        <v>29870.54</v>
      </c>
      <c r="E1028" s="1056">
        <v>32840.847999999998</v>
      </c>
      <c r="F1028" s="1056">
        <v>35478.740188000003</v>
      </c>
      <c r="G1028" s="1057">
        <v>38319.789675190012</v>
      </c>
      <c r="H1028" s="1057">
        <v>40891.147857692311</v>
      </c>
      <c r="I1028" s="1057">
        <v>43286.327504404318</v>
      </c>
      <c r="J1028" s="1057">
        <v>45450.643879624535</v>
      </c>
      <c r="K1028" s="1057">
        <v>46942.690936585976</v>
      </c>
      <c r="L1028" s="1057">
        <v>48485.925792284892</v>
      </c>
      <c r="M1028" s="1057">
        <v>50082.205400034843</v>
      </c>
      <c r="N1028" s="1057">
        <v>51733.458487716365</v>
      </c>
      <c r="O1028" s="1057">
        <v>53441.688514312358</v>
      </c>
      <c r="P1028" s="1057">
        <v>55208.976755304451</v>
      </c>
    </row>
    <row r="1029" spans="3:16">
      <c r="C1029" t="s">
        <v>135</v>
      </c>
      <c r="D1029" s="1056">
        <v>13319.993</v>
      </c>
      <c r="E1029" s="1056">
        <v>14629.852999999999</v>
      </c>
      <c r="F1029" s="1056">
        <v>16144.260472825004</v>
      </c>
      <c r="G1029" s="1057">
        <v>17841.277793256955</v>
      </c>
      <c r="H1029" s="1057">
        <v>19304.411949184352</v>
      </c>
      <c r="I1029" s="1057">
        <v>20964.287442920591</v>
      </c>
      <c r="J1029" s="1057">
        <v>22579.262726956033</v>
      </c>
      <c r="K1029" s="1057">
        <v>23924.631904526443</v>
      </c>
      <c r="L1029" s="1057">
        <v>24879.035778715632</v>
      </c>
      <c r="M1029" s="1057">
        <v>25885.392086405885</v>
      </c>
      <c r="N1029" s="1057">
        <v>26947.571338381218</v>
      </c>
      <c r="O1029" s="1057">
        <v>28069.790294125098</v>
      </c>
      <c r="P1029" s="1057">
        <v>29256.645308484822</v>
      </c>
    </row>
    <row r="1030" spans="3:16">
      <c r="C1030" t="s">
        <v>147</v>
      </c>
      <c r="D1030" s="1056">
        <v>12949</v>
      </c>
      <c r="E1030" s="1056">
        <v>10340</v>
      </c>
      <c r="F1030" s="1056">
        <v>9934.0472526400026</v>
      </c>
      <c r="G1030" s="1057">
        <v>9963.1453155494037</v>
      </c>
      <c r="H1030" s="1057">
        <v>9813.8754858461543</v>
      </c>
      <c r="I1030" s="1057">
        <v>9955.8553260129938</v>
      </c>
      <c r="J1030" s="1057">
        <v>9999.1416535173976</v>
      </c>
      <c r="K1030" s="1057">
        <v>9857.9650966830541</v>
      </c>
      <c r="L1030" s="1057">
        <v>10182.044416379827</v>
      </c>
      <c r="M1030" s="1057">
        <v>10517.263134007317</v>
      </c>
      <c r="N1030" s="1057">
        <v>10864.026282420436</v>
      </c>
      <c r="O1030" s="1057">
        <v>11222.754588005595</v>
      </c>
      <c r="P1030" s="1057">
        <v>11593.885118613935</v>
      </c>
    </row>
    <row r="1031" spans="3:16">
      <c r="C1031" t="s">
        <v>1109</v>
      </c>
      <c r="D1031" s="1056">
        <v>2867.7190000000005</v>
      </c>
      <c r="E1031" s="1056">
        <v>2487.6259999999984</v>
      </c>
      <c r="F1031" s="1056">
        <v>3893.6591431162396</v>
      </c>
      <c r="G1031" s="1057">
        <v>5435.0479357549002</v>
      </c>
      <c r="H1031" s="1057">
        <v>6428.1751601075666</v>
      </c>
      <c r="I1031" s="1057">
        <v>7657.0852689545763</v>
      </c>
      <c r="J1031" s="1057">
        <v>8872.8111164413094</v>
      </c>
      <c r="K1031" s="1057">
        <v>9909.0369307967412</v>
      </c>
      <c r="L1031" s="1057">
        <v>10675.654610638096</v>
      </c>
      <c r="M1031" s="1057">
        <v>11382.669434515112</v>
      </c>
      <c r="N1031" s="1057">
        <v>12045.53140516137</v>
      </c>
      <c r="O1031" s="1057">
        <v>12669.954403398198</v>
      </c>
      <c r="P1031" s="1057">
        <v>13262.126073427889</v>
      </c>
    </row>
    <row r="1032" spans="3:16">
      <c r="D1032" s="1052"/>
      <c r="E1032" s="1052"/>
      <c r="F1032" s="1053"/>
    </row>
    <row r="1033" spans="3:16">
      <c r="C1033" s="40" t="s">
        <v>225</v>
      </c>
      <c r="D1033" s="1051">
        <v>2023</v>
      </c>
      <c r="E1033" s="1051">
        <v>2024</v>
      </c>
      <c r="F1033" s="1051">
        <v>2025</v>
      </c>
      <c r="G1033" s="233">
        <v>2026</v>
      </c>
      <c r="H1033" s="233">
        <v>2027</v>
      </c>
      <c r="I1033" s="233">
        <v>2028</v>
      </c>
      <c r="J1033" s="233">
        <v>2029</v>
      </c>
      <c r="K1033" s="233">
        <v>2030</v>
      </c>
      <c r="L1033" s="233">
        <v>2031</v>
      </c>
      <c r="M1033" s="233">
        <v>2032</v>
      </c>
      <c r="N1033" s="233">
        <v>2033</v>
      </c>
      <c r="O1033" s="233">
        <v>2034</v>
      </c>
      <c r="P1033" s="233">
        <v>2035</v>
      </c>
    </row>
    <row r="1034" spans="3:16">
      <c r="C1034" t="s">
        <v>130</v>
      </c>
      <c r="D1034" s="1054">
        <f>D1022/D1028-1</f>
        <v>0</v>
      </c>
      <c r="E1034" s="1054">
        <f t="shared" ref="E1034:K1034" si="134">E1022/E1028-1</f>
        <v>0</v>
      </c>
      <c r="F1034" s="1054">
        <f t="shared" si="134"/>
        <v>-1.3819596676825086E-3</v>
      </c>
      <c r="G1034" s="93">
        <f t="shared" si="134"/>
        <v>4.2939120022500443E-3</v>
      </c>
      <c r="H1034" s="93">
        <f t="shared" si="134"/>
        <v>4.3402851620932825E-3</v>
      </c>
      <c r="I1034" s="93">
        <f t="shared" si="134"/>
        <v>4.3633463750527568E-3</v>
      </c>
      <c r="J1034" s="93">
        <f t="shared" si="134"/>
        <v>4.3633463750527568E-3</v>
      </c>
      <c r="K1034" s="93">
        <f t="shared" si="134"/>
        <v>1.0596083522322886E-2</v>
      </c>
      <c r="L1034" s="93">
        <f t="shared" ref="L1034:P1034" si="135">L1022/L1028-1</f>
        <v>-2.0846143672597073E-3</v>
      </c>
      <c r="M1034" s="93">
        <f t="shared" si="135"/>
        <v>-1.4511612414764175E-2</v>
      </c>
      <c r="N1034" s="93">
        <f t="shared" si="135"/>
        <v>-2.6687700287275851E-2</v>
      </c>
      <c r="O1034" s="93">
        <f t="shared" si="135"/>
        <v>-3.8615627836662281E-2</v>
      </c>
      <c r="P1034" s="93">
        <f t="shared" si="135"/>
        <v>-5.0298106115296171E-2</v>
      </c>
    </row>
    <row r="1035" spans="3:16">
      <c r="C1035" t="s">
        <v>135</v>
      </c>
      <c r="D1035" s="1054">
        <f t="shared" ref="D1035:K1035" si="136">D1023/D1029-1</f>
        <v>0</v>
      </c>
      <c r="E1035" s="1054">
        <f t="shared" si="136"/>
        <v>0</v>
      </c>
      <c r="F1035" s="1054">
        <f t="shared" si="136"/>
        <v>-1.2897863805871101E-2</v>
      </c>
      <c r="G1035" s="93">
        <f t="shared" si="136"/>
        <v>-2.9332463365081329E-2</v>
      </c>
      <c r="H1035" s="93">
        <f t="shared" si="136"/>
        <v>-2.1385965253491568E-2</v>
      </c>
      <c r="I1035" s="93">
        <f t="shared" si="136"/>
        <v>-2.5326073895880485E-2</v>
      </c>
      <c r="J1035" s="93">
        <f t="shared" si="136"/>
        <v>-3.9682710920056152E-2</v>
      </c>
      <c r="K1035" s="93">
        <f t="shared" si="136"/>
        <v>-4.8209063198258351E-2</v>
      </c>
      <c r="L1035" s="93">
        <f t="shared" ref="L1035:P1035" si="137">L1023/L1029-1</f>
        <v>-5.677000081173833E-2</v>
      </c>
      <c r="M1035" s="93">
        <f t="shared" si="137"/>
        <v>-6.5721642384036993E-2</v>
      </c>
      <c r="N1035" s="93">
        <f t="shared" si="137"/>
        <v>-7.506909041475851E-2</v>
      </c>
      <c r="O1035" s="93">
        <f t="shared" si="137"/>
        <v>-8.4816743885078649E-2</v>
      </c>
      <c r="P1035" s="93">
        <f t="shared" si="137"/>
        <v>-9.4968170078770897E-2</v>
      </c>
    </row>
    <row r="1036" spans="3:16">
      <c r="C1036" t="s">
        <v>147</v>
      </c>
      <c r="D1036" s="1054">
        <f t="shared" ref="D1036:K1037" si="138">D1024/D1030-1</f>
        <v>0</v>
      </c>
      <c r="E1036" s="1054">
        <f t="shared" si="138"/>
        <v>0</v>
      </c>
      <c r="F1036" s="1054">
        <f t="shared" si="138"/>
        <v>-7.5161234253398268E-2</v>
      </c>
      <c r="G1036" s="93">
        <f t="shared" si="138"/>
        <v>-2.4676104690122491E-2</v>
      </c>
      <c r="H1036" s="93">
        <f t="shared" si="138"/>
        <v>4.3402851620932825E-3</v>
      </c>
      <c r="I1036" s="93">
        <f t="shared" si="138"/>
        <v>4.3633463750527568E-3</v>
      </c>
      <c r="J1036" s="93">
        <f t="shared" si="138"/>
        <v>4.3633463750525348E-3</v>
      </c>
      <c r="K1036" s="93">
        <f t="shared" si="138"/>
        <v>1.0596083522322663E-2</v>
      </c>
      <c r="L1036" s="93">
        <f t="shared" ref="L1036:P1036" si="139">L1024/L1030-1</f>
        <v>-2.5844504501372656E-2</v>
      </c>
      <c r="M1036" s="93">
        <f t="shared" si="139"/>
        <v>-6.1439630871203854E-2</v>
      </c>
      <c r="N1036" s="93">
        <f t="shared" si="139"/>
        <v>-8.4622956222557E-2</v>
      </c>
      <c r="O1036" s="93">
        <f t="shared" si="139"/>
        <v>-0.10728594013404347</v>
      </c>
      <c r="P1036" s="93">
        <f t="shared" si="139"/>
        <v>-0.14074590553288702</v>
      </c>
    </row>
    <row r="1037" spans="3:16">
      <c r="C1037" t="s">
        <v>1109</v>
      </c>
      <c r="D1037" s="1054">
        <f t="shared" si="138"/>
        <v>9.785477586890412E-3</v>
      </c>
      <c r="E1037" s="1054">
        <f t="shared" si="138"/>
        <v>-1.6976024531018208E-2</v>
      </c>
      <c r="F1037" s="1054">
        <f t="shared" si="138"/>
        <v>-0.26765957286187825</v>
      </c>
      <c r="G1037" s="93">
        <f t="shared" si="138"/>
        <v>-0.26644009981376748</v>
      </c>
      <c r="H1037" s="93">
        <f t="shared" si="138"/>
        <v>-0.26190974653289334</v>
      </c>
      <c r="I1037" s="93">
        <f t="shared" si="138"/>
        <v>-0.2311151127383948</v>
      </c>
      <c r="J1037" s="93">
        <f t="shared" si="138"/>
        <v>-0.23874652765006343</v>
      </c>
      <c r="K1037" s="93">
        <f t="shared" si="138"/>
        <v>-0.24224884445263317</v>
      </c>
      <c r="L1037" s="93">
        <f t="shared" ref="L1037:P1037" si="140">L1025/L1031-1</f>
        <v>-0.25001968721548207</v>
      </c>
      <c r="M1037" s="93">
        <f t="shared" si="140"/>
        <v>-0.25370681988817501</v>
      </c>
      <c r="N1037" s="93">
        <f t="shared" si="140"/>
        <v>-0.25290985590864001</v>
      </c>
      <c r="O1037" s="93">
        <f t="shared" si="140"/>
        <v>-0.25007379703695554</v>
      </c>
      <c r="P1037" s="93">
        <f t="shared" si="140"/>
        <v>-0.24234668939433268</v>
      </c>
    </row>
    <row r="1044" spans="3:17">
      <c r="C1044" s="584"/>
      <c r="D1044" s="585"/>
      <c r="E1044" s="585"/>
      <c r="F1044" s="584"/>
      <c r="G1044" s="584"/>
      <c r="H1044" s="584"/>
      <c r="I1044" s="584"/>
      <c r="J1044" s="584"/>
      <c r="K1044" s="584"/>
      <c r="L1044" s="584"/>
      <c r="M1044" s="584"/>
      <c r="N1044" s="584"/>
      <c r="O1044" s="584"/>
      <c r="P1044" s="584"/>
      <c r="Q1044" s="584"/>
    </row>
    <row r="1045" spans="3:17" ht="22.5" customHeight="1">
      <c r="C1045" s="634" t="s">
        <v>1110</v>
      </c>
      <c r="D1045" s="604"/>
      <c r="E1045" s="604"/>
      <c r="F1045" s="604"/>
      <c r="G1045" s="604"/>
      <c r="H1045" s="604"/>
      <c r="I1045" s="604"/>
      <c r="J1045" s="604"/>
      <c r="K1045" s="604"/>
      <c r="L1045" s="584"/>
      <c r="M1045" s="584"/>
      <c r="N1045" s="584"/>
      <c r="O1045" s="584"/>
      <c r="P1045" s="584"/>
      <c r="Q1045" s="584"/>
    </row>
    <row r="1046" spans="3:17">
      <c r="C1046" s="584"/>
      <c r="D1046" s="584"/>
      <c r="E1046" s="584"/>
      <c r="F1046" s="584"/>
      <c r="G1046" s="584"/>
      <c r="H1046" s="584"/>
      <c r="I1046" s="584"/>
      <c r="J1046" s="584"/>
      <c r="K1046" s="584"/>
      <c r="L1046" s="584"/>
      <c r="M1046" s="584"/>
      <c r="N1046" s="584"/>
      <c r="O1046" s="584"/>
      <c r="P1046" s="584"/>
      <c r="Q1046" s="584"/>
    </row>
    <row r="1047" spans="3:17">
      <c r="C1047" s="582" t="s">
        <v>18</v>
      </c>
      <c r="D1047" s="586"/>
      <c r="E1047" s="584"/>
      <c r="F1047" s="584"/>
      <c r="G1047" s="584"/>
      <c r="H1047" s="584"/>
      <c r="I1047" s="584"/>
      <c r="J1047" s="584"/>
      <c r="K1047" s="584"/>
      <c r="L1047" s="584"/>
      <c r="M1047" s="584"/>
      <c r="N1047" s="584"/>
      <c r="O1047" s="584"/>
      <c r="P1047" s="584"/>
      <c r="Q1047" s="584"/>
    </row>
    <row r="1048" spans="3:17">
      <c r="C1048" s="582" t="s">
        <v>1111</v>
      </c>
      <c r="D1048" s="587"/>
      <c r="E1048" s="584"/>
      <c r="F1048" s="584"/>
      <c r="G1048" s="584"/>
      <c r="H1048" s="584"/>
      <c r="I1048" s="584"/>
      <c r="J1048" s="584"/>
      <c r="K1048" s="584"/>
      <c r="L1048" s="584"/>
      <c r="M1048" s="584"/>
      <c r="N1048" s="584"/>
      <c r="O1048" s="584"/>
      <c r="P1048" s="584"/>
      <c r="Q1048" s="584"/>
    </row>
    <row r="1049" spans="3:17">
      <c r="C1049" s="582" t="s">
        <v>1112</v>
      </c>
      <c r="D1049" s="591">
        <f>D1051-D1050</f>
        <v>49397.038700650039</v>
      </c>
      <c r="E1049" s="584"/>
      <c r="F1049" s="584"/>
      <c r="G1049" s="584"/>
      <c r="H1049" s="584"/>
      <c r="I1049" s="584"/>
      <c r="J1049" s="584"/>
      <c r="K1049" s="584"/>
      <c r="L1049" s="584"/>
      <c r="M1049" s="584"/>
      <c r="N1049" s="584"/>
      <c r="O1049" s="584"/>
      <c r="P1049" s="584"/>
      <c r="Q1049" s="584"/>
    </row>
    <row r="1050" spans="3:17">
      <c r="C1050" s="582" t="s">
        <v>1113</v>
      </c>
      <c r="D1050" s="591">
        <f>D1087*D1084</f>
        <v>0</v>
      </c>
      <c r="E1050" s="584"/>
      <c r="F1050" s="584"/>
      <c r="G1050" s="584"/>
      <c r="H1050" s="584"/>
      <c r="I1050" s="584"/>
      <c r="J1050" s="584"/>
      <c r="K1050" s="584"/>
      <c r="L1050" s="584"/>
      <c r="M1050" s="584"/>
      <c r="N1050" s="584"/>
      <c r="O1050" s="584"/>
      <c r="P1050" s="584"/>
      <c r="Q1050" s="584"/>
    </row>
    <row r="1051" spans="3:17">
      <c r="C1051" s="582" t="s">
        <v>1114</v>
      </c>
      <c r="D1051" s="591">
        <f>D1085</f>
        <v>49397.038700650039</v>
      </c>
      <c r="E1051" s="584"/>
      <c r="F1051" s="584"/>
      <c r="G1051" s="584"/>
      <c r="H1051" s="584"/>
      <c r="I1051" s="584"/>
      <c r="J1051" s="584"/>
      <c r="K1051" s="584"/>
      <c r="L1051" s="584"/>
      <c r="M1051" s="584"/>
      <c r="N1051" s="584"/>
      <c r="O1051" s="584"/>
      <c r="P1051" s="584"/>
      <c r="Q1051" s="584"/>
    </row>
    <row r="1052" spans="3:17">
      <c r="C1052" s="582" t="s">
        <v>1115</v>
      </c>
      <c r="D1052" s="588">
        <f>D1051/(G1065*D1084)</f>
        <v>3.9792774117880705</v>
      </c>
      <c r="E1052" s="584"/>
      <c r="F1052" s="584"/>
      <c r="G1052" s="584"/>
      <c r="H1052" s="584"/>
      <c r="I1052" s="584"/>
      <c r="J1052" s="584"/>
      <c r="K1052" s="584"/>
      <c r="L1052" s="584"/>
      <c r="M1052" s="584"/>
      <c r="N1052" s="584"/>
      <c r="O1052" s="584"/>
      <c r="P1052" s="584"/>
      <c r="Q1052" s="584"/>
    </row>
    <row r="1053" spans="3:17">
      <c r="C1053" s="584"/>
      <c r="D1053" s="584"/>
      <c r="E1053" s="584"/>
      <c r="F1053" s="584"/>
      <c r="G1053" s="584"/>
      <c r="H1053" s="584"/>
      <c r="I1053" s="584"/>
      <c r="J1053" s="584"/>
      <c r="K1053" s="584"/>
      <c r="L1053" s="584"/>
      <c r="M1053" s="584"/>
      <c r="N1053" s="584"/>
      <c r="O1053" s="584"/>
      <c r="P1053" s="584"/>
      <c r="Q1053" s="584"/>
    </row>
    <row r="1054" spans="3:17">
      <c r="C1054" s="600" t="s">
        <v>1116</v>
      </c>
      <c r="D1054" s="601">
        <v>1</v>
      </c>
      <c r="E1054" s="584"/>
      <c r="F1054" s="584"/>
      <c r="G1054" s="584"/>
      <c r="H1054" s="584"/>
      <c r="I1054" s="584"/>
      <c r="J1054" s="584"/>
      <c r="K1054" s="584"/>
      <c r="L1054" s="584"/>
      <c r="M1054" s="584"/>
      <c r="N1054" s="584"/>
      <c r="O1054" s="584"/>
      <c r="P1054" s="584"/>
      <c r="Q1054" s="584"/>
    </row>
    <row r="1055" spans="3:17">
      <c r="C1055" s="584" t="s">
        <v>1117</v>
      </c>
      <c r="D1055" s="591">
        <f>D1049*D1054</f>
        <v>49397.038700650039</v>
      </c>
      <c r="E1055" s="584"/>
      <c r="F1055" s="584"/>
      <c r="G1055" s="584"/>
      <c r="H1055" s="584"/>
      <c r="I1055" s="584"/>
      <c r="J1055" s="584"/>
      <c r="K1055" s="584"/>
      <c r="L1055" s="584"/>
      <c r="M1055" s="584"/>
      <c r="N1055" s="584"/>
      <c r="O1055" s="584"/>
      <c r="P1055" s="584"/>
      <c r="Q1055" s="584"/>
    </row>
    <row r="1056" spans="3:17">
      <c r="C1056" s="584" t="s">
        <v>1118</v>
      </c>
      <c r="D1056" s="591">
        <f>D1049-D1055</f>
        <v>0</v>
      </c>
      <c r="E1056" s="584"/>
      <c r="F1056" s="584"/>
      <c r="G1056" s="584"/>
      <c r="H1056" s="584"/>
      <c r="I1056" s="584"/>
      <c r="J1056" s="584"/>
      <c r="K1056" s="584"/>
      <c r="L1056" s="584"/>
      <c r="M1056" s="584"/>
      <c r="N1056" s="584"/>
      <c r="O1056" s="584"/>
      <c r="P1056" s="584"/>
      <c r="Q1056" s="584"/>
    </row>
    <row r="1057" spans="3:32">
      <c r="C1057" s="584" t="s">
        <v>1119</v>
      </c>
      <c r="D1057" s="588">
        <f>Valuation!C4</f>
        <v>59.58</v>
      </c>
      <c r="E1057" s="584"/>
      <c r="F1057" s="584"/>
      <c r="G1057" s="584"/>
      <c r="H1057" s="584"/>
      <c r="I1057" s="584"/>
      <c r="J1057" s="584"/>
      <c r="K1057" s="584"/>
      <c r="L1057" s="584"/>
      <c r="M1057" s="584"/>
      <c r="N1057" s="584"/>
      <c r="O1057" s="584"/>
      <c r="P1057" s="584"/>
      <c r="Q1057" s="584"/>
    </row>
    <row r="1058" spans="3:32">
      <c r="C1058" s="584" t="s">
        <v>1120</v>
      </c>
      <c r="D1058" s="591">
        <f>D1056/D1057</f>
        <v>0</v>
      </c>
      <c r="E1058" s="584"/>
      <c r="F1058" s="584"/>
      <c r="G1058" s="584"/>
      <c r="H1058" s="584"/>
      <c r="I1058" s="584"/>
      <c r="J1058" s="584"/>
      <c r="K1058" s="584"/>
      <c r="L1058" s="584"/>
      <c r="M1058" s="584"/>
      <c r="N1058" s="584"/>
      <c r="O1058" s="584"/>
      <c r="P1058" s="584"/>
      <c r="Q1058" s="584"/>
    </row>
    <row r="1059" spans="3:32">
      <c r="C1059" s="584"/>
      <c r="D1059" s="584"/>
      <c r="E1059" s="584"/>
      <c r="F1059" s="584"/>
      <c r="G1059" s="584"/>
      <c r="H1059" s="584"/>
      <c r="I1059" s="584"/>
      <c r="J1059" s="584"/>
      <c r="K1059" s="584"/>
      <c r="L1059" s="584"/>
      <c r="M1059" s="584"/>
      <c r="N1059" s="584"/>
      <c r="O1059" s="584"/>
      <c r="P1059" s="584"/>
      <c r="Q1059" s="584"/>
    </row>
    <row r="1060" spans="3:32">
      <c r="C1060" s="584"/>
      <c r="D1060" s="584"/>
      <c r="E1060" s="584"/>
      <c r="F1060" s="584"/>
      <c r="G1060" s="584"/>
      <c r="H1060" s="584"/>
      <c r="I1060" s="584"/>
      <c r="J1060" s="584"/>
      <c r="K1060" s="584"/>
      <c r="L1060" s="584"/>
      <c r="M1060" s="584"/>
      <c r="N1060" s="584"/>
      <c r="O1060" s="584"/>
      <c r="P1060" s="584"/>
      <c r="Q1060" s="584"/>
    </row>
    <row r="1061" spans="3:32">
      <c r="C1061" s="603" t="s">
        <v>1121</v>
      </c>
      <c r="D1061" s="584"/>
      <c r="E1061" s="584"/>
      <c r="F1061" s="584"/>
      <c r="G1061" s="584"/>
      <c r="H1061" s="584"/>
      <c r="I1061" s="584"/>
      <c r="J1061" s="584"/>
      <c r="K1061" s="584"/>
      <c r="L1061" s="584"/>
      <c r="M1061" s="584"/>
      <c r="N1061" s="584"/>
      <c r="O1061" s="584"/>
      <c r="P1061" s="584"/>
      <c r="Q1061" s="584"/>
    </row>
    <row r="1062" spans="3:32">
      <c r="C1062" s="583" t="s">
        <v>1122</v>
      </c>
      <c r="D1062" s="583">
        <v>2021</v>
      </c>
      <c r="E1062" s="583">
        <v>2022</v>
      </c>
      <c r="F1062" s="583">
        <v>2023</v>
      </c>
      <c r="G1062" s="583">
        <f t="shared" ref="G1062:M1062" si="141">F1062+1</f>
        <v>2024</v>
      </c>
      <c r="H1062" s="583">
        <f t="shared" si="141"/>
        <v>2025</v>
      </c>
      <c r="I1062" s="583">
        <f t="shared" si="141"/>
        <v>2026</v>
      </c>
      <c r="J1062" s="583">
        <f t="shared" si="141"/>
        <v>2027</v>
      </c>
      <c r="K1062" s="583">
        <f t="shared" si="141"/>
        <v>2028</v>
      </c>
      <c r="L1062" s="583">
        <f t="shared" si="141"/>
        <v>2029</v>
      </c>
      <c r="M1062" s="583">
        <f t="shared" si="141"/>
        <v>2030</v>
      </c>
      <c r="P1062" s="582" t="s">
        <v>65</v>
      </c>
      <c r="Q1062" s="584"/>
      <c r="R1062" s="584"/>
      <c r="S1062" s="584"/>
      <c r="T1062" s="584"/>
      <c r="U1062" s="584"/>
      <c r="V1062" s="584"/>
      <c r="W1062" s="617" t="s">
        <v>1123</v>
      </c>
      <c r="X1062" s="612">
        <v>2021</v>
      </c>
      <c r="Y1062" s="612">
        <v>2022</v>
      </c>
      <c r="Z1062" s="612">
        <v>2023</v>
      </c>
      <c r="AA1062" s="612">
        <f>Z1062+1</f>
        <v>2024</v>
      </c>
      <c r="AB1062" s="612">
        <f>AA1062+1</f>
        <v>2025</v>
      </c>
      <c r="AC1062" s="612">
        <f>AB1062+1</f>
        <v>2026</v>
      </c>
      <c r="AD1062" s="612">
        <f>AC1062+1</f>
        <v>2027</v>
      </c>
      <c r="AE1062" s="612">
        <f>AD1062+1</f>
        <v>2028</v>
      </c>
      <c r="AF1062" s="611"/>
    </row>
    <row r="1063" spans="3:32">
      <c r="C1063" s="582" t="s">
        <v>43</v>
      </c>
      <c r="D1063" s="622">
        <v>2747</v>
      </c>
      <c r="E1063" s="622">
        <f>861+785+808+690</f>
        <v>3144</v>
      </c>
      <c r="F1063" s="622">
        <f>1090+992+967+883</f>
        <v>3932</v>
      </c>
      <c r="G1063" s="622">
        <v>4232</v>
      </c>
      <c r="H1063" s="622">
        <v>4379</v>
      </c>
      <c r="I1063" s="591">
        <f>H1063*(1+I1064)</f>
        <v>4510.37</v>
      </c>
      <c r="J1063" s="591">
        <f>I1063*(1+J1064)</f>
        <v>4645.6810999999998</v>
      </c>
      <c r="K1063" s="591">
        <f>J1063*(1+K1064)</f>
        <v>4785.0515329999998</v>
      </c>
      <c r="L1063" s="591">
        <f>K1063*(1+L1064)</f>
        <v>4928.6030789899996</v>
      </c>
      <c r="M1063" s="591">
        <f>L1063*(1+M1064)</f>
        <v>5076.4611713596996</v>
      </c>
      <c r="Q1063" s="584"/>
      <c r="R1063" s="584"/>
      <c r="S1063" s="584"/>
      <c r="T1063" s="584"/>
      <c r="V1063" s="584"/>
      <c r="W1063" s="613" t="s">
        <v>43</v>
      </c>
      <c r="X1063" s="613">
        <v>2747</v>
      </c>
      <c r="Y1063" s="613">
        <v>3144</v>
      </c>
      <c r="Z1063" s="613">
        <v>3932</v>
      </c>
      <c r="AA1063" s="616">
        <v>4319</v>
      </c>
      <c r="AB1063" s="616">
        <v>4528</v>
      </c>
      <c r="AC1063" s="616">
        <v>4682</v>
      </c>
      <c r="AD1063" s="616">
        <v>4750</v>
      </c>
      <c r="AE1063" s="616">
        <v>5042</v>
      </c>
      <c r="AF1063" s="614"/>
    </row>
    <row r="1064" spans="3:32">
      <c r="C1064" s="582" t="s">
        <v>442</v>
      </c>
      <c r="D1064" s="589"/>
      <c r="E1064" s="589">
        <f>E1063/D1063-1</f>
        <v>0.14452129595922836</v>
      </c>
      <c r="F1064" s="589">
        <f>F1063/E1063-1</f>
        <v>0.25063613231552173</v>
      </c>
      <c r="G1064" s="589">
        <f>G1063/F1063-1</f>
        <v>7.6297049847405818E-2</v>
      </c>
      <c r="H1064" s="589">
        <f>H1063/G1063-1</f>
        <v>3.4735349716446207E-2</v>
      </c>
      <c r="I1064" s="590">
        <v>0.03</v>
      </c>
      <c r="J1064" s="590">
        <v>0.03</v>
      </c>
      <c r="K1064" s="590">
        <v>0.03</v>
      </c>
      <c r="L1064" s="590">
        <v>0.03</v>
      </c>
      <c r="M1064" s="590">
        <v>0.03</v>
      </c>
      <c r="Q1064" s="584"/>
      <c r="R1064" s="584"/>
      <c r="S1064" s="584"/>
      <c r="T1064" s="584"/>
      <c r="V1064" s="584"/>
      <c r="W1064" s="613" t="s">
        <v>442</v>
      </c>
      <c r="X1064" s="613"/>
      <c r="Y1064" s="619">
        <f>Y1063/X1063-1</f>
        <v>0.14452129595922836</v>
      </c>
      <c r="Z1064" s="619">
        <f t="shared" ref="Z1064:AE1064" si="142">Z1063/Y1063-1</f>
        <v>0.25063613231552173</v>
      </c>
      <c r="AA1064" s="619">
        <f t="shared" si="142"/>
        <v>9.8423194303153716E-2</v>
      </c>
      <c r="AB1064" s="619">
        <f t="shared" si="142"/>
        <v>4.8390831210928464E-2</v>
      </c>
      <c r="AC1064" s="619">
        <f t="shared" si="142"/>
        <v>3.4010600706713801E-2</v>
      </c>
      <c r="AD1064" s="619">
        <f t="shared" si="142"/>
        <v>1.4523707817172049E-2</v>
      </c>
      <c r="AE1064" s="619">
        <f t="shared" si="142"/>
        <v>6.1473684210526347E-2</v>
      </c>
      <c r="AF1064" s="611"/>
    </row>
    <row r="1065" spans="3:32">
      <c r="C1065" s="582" t="s">
        <v>295</v>
      </c>
      <c r="D1065" s="622">
        <v>95</v>
      </c>
      <c r="E1065" s="622">
        <f>59+87+101+85</f>
        <v>332</v>
      </c>
      <c r="F1065" s="622">
        <f>145+146+155+137</f>
        <v>583</v>
      </c>
      <c r="G1065" s="622">
        <v>697</v>
      </c>
      <c r="H1065" s="622">
        <v>816</v>
      </c>
      <c r="I1065" s="591">
        <f>I1066*I1063</f>
        <v>840.48</v>
      </c>
      <c r="J1065" s="591">
        <f>J1066*J1063</f>
        <v>865.69439999999997</v>
      </c>
      <c r="K1065" s="591">
        <f>K1066*K1063</f>
        <v>891.66523199999995</v>
      </c>
      <c r="L1065" s="591">
        <f>L1066*L1063</f>
        <v>918.41518895999991</v>
      </c>
      <c r="M1065" s="591">
        <f>M1066*M1063</f>
        <v>945.96764462879992</v>
      </c>
      <c r="Q1065" s="584"/>
      <c r="R1065" s="584"/>
      <c r="S1065" s="584"/>
      <c r="T1065" s="584"/>
      <c r="V1065" s="584"/>
      <c r="W1065" s="613" t="s">
        <v>295</v>
      </c>
      <c r="X1065" s="613">
        <v>95</v>
      </c>
      <c r="Y1065" s="613">
        <v>332</v>
      </c>
      <c r="Z1065" s="613">
        <v>583</v>
      </c>
      <c r="AA1065" s="616">
        <v>685.7</v>
      </c>
      <c r="AB1065" s="616">
        <v>736.6</v>
      </c>
      <c r="AC1065" s="616">
        <v>818.4</v>
      </c>
      <c r="AD1065" s="616">
        <v>851.5</v>
      </c>
      <c r="AE1065" s="616">
        <v>903.2</v>
      </c>
      <c r="AF1065" s="614"/>
    </row>
    <row r="1066" spans="3:32">
      <c r="C1066" s="582" t="s">
        <v>490</v>
      </c>
      <c r="D1066" s="589">
        <f>D1065/D1063</f>
        <v>3.4583181652712049E-2</v>
      </c>
      <c r="E1066" s="589">
        <f>E1065/E1063</f>
        <v>0.10559796437659033</v>
      </c>
      <c r="F1066" s="589">
        <f>F1065/F1063</f>
        <v>0.14827060020345881</v>
      </c>
      <c r="G1066" s="589">
        <f>G1065/G1063</f>
        <v>0.16469754253308128</v>
      </c>
      <c r="H1066" s="589">
        <f>H1065/H1063</f>
        <v>0.18634391413564741</v>
      </c>
      <c r="I1066" s="590">
        <f>H1066</f>
        <v>0.18634391413564741</v>
      </c>
      <c r="J1066" s="590">
        <f>I1066</f>
        <v>0.18634391413564741</v>
      </c>
      <c r="K1066" s="590">
        <f>J1066</f>
        <v>0.18634391413564741</v>
      </c>
      <c r="L1066" s="590">
        <f>K1066</f>
        <v>0.18634391413564741</v>
      </c>
      <c r="M1066" s="590">
        <f>L1066</f>
        <v>0.18634391413564741</v>
      </c>
      <c r="P1066" s="584"/>
      <c r="Q1066" s="584"/>
      <c r="R1066" s="584"/>
      <c r="S1066" s="584"/>
      <c r="T1066" s="584"/>
      <c r="U1066" s="584"/>
      <c r="V1066" s="584"/>
      <c r="W1066" s="613" t="s">
        <v>490</v>
      </c>
      <c r="X1066" s="615">
        <f t="shared" ref="X1066:AE1066" si="143">X1065/X1063</f>
        <v>3.4583181652712049E-2</v>
      </c>
      <c r="Y1066" s="615">
        <f t="shared" si="143"/>
        <v>0.10559796437659033</v>
      </c>
      <c r="Z1066" s="615">
        <f t="shared" si="143"/>
        <v>0.14827060020345881</v>
      </c>
      <c r="AA1066" s="615">
        <f t="shared" si="143"/>
        <v>0.15876360268580691</v>
      </c>
      <c r="AB1066" s="615">
        <f t="shared" si="143"/>
        <v>0.16267667844522968</v>
      </c>
      <c r="AC1066" s="615">
        <f t="shared" si="143"/>
        <v>0.17479709525843656</v>
      </c>
      <c r="AD1066" s="615">
        <f t="shared" si="143"/>
        <v>0.17926315789473685</v>
      </c>
      <c r="AE1066" s="615">
        <f t="shared" si="143"/>
        <v>0.17913526378421263</v>
      </c>
      <c r="AF1066" s="611"/>
    </row>
    <row r="1067" spans="3:32">
      <c r="C1067" s="584" t="s">
        <v>509</v>
      </c>
      <c r="D1067" s="622">
        <v>605</v>
      </c>
      <c r="E1067" s="622">
        <v>658</v>
      </c>
      <c r="F1067" s="622">
        <v>724</v>
      </c>
      <c r="G1067" s="622">
        <v>657</v>
      </c>
      <c r="H1067" s="622">
        <v>671</v>
      </c>
      <c r="I1067" s="591"/>
      <c r="J1067" s="591"/>
      <c r="K1067" s="591"/>
      <c r="P1067" s="584"/>
      <c r="Q1067" s="584"/>
      <c r="R1067" s="584"/>
      <c r="S1067" s="584"/>
      <c r="T1067" s="584"/>
      <c r="U1067" s="584"/>
      <c r="V1067" s="584"/>
      <c r="W1067" s="613" t="s">
        <v>509</v>
      </c>
      <c r="X1067" s="613">
        <v>605</v>
      </c>
      <c r="Y1067" s="613">
        <v>658</v>
      </c>
      <c r="Z1067" s="613">
        <v>724</v>
      </c>
      <c r="AA1067" s="616">
        <f>AA1065-AA1068</f>
        <v>725.5</v>
      </c>
      <c r="AB1067" s="616">
        <f>AB1065-AB1068</f>
        <v>752.4</v>
      </c>
      <c r="AC1067" s="616">
        <f>AC1065-AC1068</f>
        <v>756.1</v>
      </c>
      <c r="AD1067" s="616">
        <f>AD1065-AD1068</f>
        <v>770.5</v>
      </c>
      <c r="AE1067" s="616">
        <f>AE1065-AE1068</f>
        <v>764.1</v>
      </c>
      <c r="AF1067" s="611"/>
    </row>
    <row r="1068" spans="3:32">
      <c r="C1068" s="582" t="s">
        <v>1124</v>
      </c>
      <c r="D1068" s="591">
        <f>D1065-D1067</f>
        <v>-510</v>
      </c>
      <c r="E1068" s="591">
        <f>E1065-E1067</f>
        <v>-326</v>
      </c>
      <c r="F1068" s="591">
        <f>F1065-F1067</f>
        <v>-141</v>
      </c>
      <c r="G1068" s="591">
        <f>G1065-G1067</f>
        <v>40</v>
      </c>
      <c r="H1068" s="591">
        <f>H1065-H1067</f>
        <v>145</v>
      </c>
      <c r="I1068" s="591"/>
      <c r="J1068" s="591"/>
      <c r="K1068" s="591"/>
      <c r="P1068" s="584"/>
      <c r="Q1068" s="584"/>
      <c r="R1068" s="584"/>
      <c r="S1068" s="584"/>
      <c r="T1068" s="584"/>
      <c r="U1068" s="584"/>
      <c r="V1068" s="584"/>
      <c r="W1068" s="613" t="s">
        <v>1124</v>
      </c>
      <c r="X1068" s="613">
        <f>X1065-X1067</f>
        <v>-510</v>
      </c>
      <c r="Y1068" s="613">
        <f>Y1065-Y1067</f>
        <v>-326</v>
      </c>
      <c r="Z1068" s="613">
        <f>Z1065-Z1067</f>
        <v>-141</v>
      </c>
      <c r="AA1068" s="613">
        <v>-39.799999999999997</v>
      </c>
      <c r="AB1068" s="613">
        <v>-15.8</v>
      </c>
      <c r="AC1068" s="613">
        <v>62.3</v>
      </c>
      <c r="AD1068" s="613">
        <v>81</v>
      </c>
      <c r="AE1068" s="613">
        <v>139.1</v>
      </c>
      <c r="AF1068" s="611"/>
    </row>
    <row r="1069" spans="3:32">
      <c r="C1069" s="582" t="s">
        <v>147</v>
      </c>
      <c r="D1069" s="622">
        <v>319</v>
      </c>
      <c r="E1069" s="622">
        <v>360</v>
      </c>
      <c r="F1069" s="622">
        <v>298</v>
      </c>
      <c r="G1069" s="591">
        <f>G1070*G1063</f>
        <v>423.20000000000005</v>
      </c>
      <c r="H1069" s="591">
        <f>H1070*H1063</f>
        <v>437.90000000000003</v>
      </c>
      <c r="I1069" s="591">
        <f>I1070*I1063</f>
        <v>451.03700000000003</v>
      </c>
      <c r="J1069" s="591">
        <f>J1070*J1063</f>
        <v>464.56810999999999</v>
      </c>
      <c r="K1069" s="591">
        <f>K1070*K1063</f>
        <v>478.50515330000002</v>
      </c>
      <c r="P1069" s="584"/>
      <c r="Q1069" s="584"/>
      <c r="R1069" s="584"/>
      <c r="S1069" s="584"/>
      <c r="T1069" s="584"/>
      <c r="U1069" s="584"/>
      <c r="V1069" s="584"/>
      <c r="W1069" s="613" t="s">
        <v>1125</v>
      </c>
      <c r="X1069" s="613">
        <v>3528</v>
      </c>
      <c r="Y1069" s="613">
        <v>3718</v>
      </c>
      <c r="Z1069" s="613">
        <v>3750</v>
      </c>
      <c r="AA1069" s="616"/>
      <c r="AB1069" s="616"/>
      <c r="AC1069" s="616"/>
      <c r="AD1069" s="616"/>
      <c r="AE1069" s="616"/>
      <c r="AF1069" s="611"/>
    </row>
    <row r="1070" spans="3:32">
      <c r="C1070" s="582" t="s">
        <v>1126</v>
      </c>
      <c r="D1070" s="589">
        <f>D1069/D1063</f>
        <v>0.11612668365489626</v>
      </c>
      <c r="E1070" s="589">
        <f>E1069/E1063</f>
        <v>0.11450381679389313</v>
      </c>
      <c r="F1070" s="589">
        <f>F1069/F1063</f>
        <v>7.5788402848423198E-2</v>
      </c>
      <c r="G1070" s="590">
        <v>0.1</v>
      </c>
      <c r="H1070" s="590">
        <v>0.1</v>
      </c>
      <c r="I1070" s="590">
        <v>0.1</v>
      </c>
      <c r="J1070" s="590">
        <v>0.1</v>
      </c>
      <c r="K1070" s="590">
        <v>0.1</v>
      </c>
      <c r="P1070" s="584"/>
      <c r="Q1070" s="584"/>
      <c r="R1070" s="584"/>
      <c r="S1070" s="584"/>
      <c r="T1070" s="584"/>
      <c r="U1070" s="584"/>
      <c r="V1070" s="584"/>
      <c r="W1070" s="613" t="s">
        <v>1127</v>
      </c>
      <c r="X1070" s="613"/>
      <c r="Y1070" s="613">
        <f>Y1069-X1069+E1067</f>
        <v>848</v>
      </c>
      <c r="Z1070" s="613">
        <f>Z1069-Y1069+F1067</f>
        <v>756</v>
      </c>
      <c r="AA1070" s="616"/>
      <c r="AB1070" s="616"/>
      <c r="AC1070" s="616"/>
      <c r="AD1070" s="616"/>
      <c r="AE1070" s="616"/>
    </row>
    <row r="1071" spans="3:32">
      <c r="C1071" s="582" t="s">
        <v>92</v>
      </c>
      <c r="D1071" s="591">
        <f t="shared" ref="D1071:K1071" si="144">D1065-D1069</f>
        <v>-224</v>
      </c>
      <c r="E1071" s="591">
        <f t="shared" si="144"/>
        <v>-28</v>
      </c>
      <c r="F1071" s="591">
        <f t="shared" si="144"/>
        <v>285</v>
      </c>
      <c r="G1071" s="591">
        <f t="shared" si="144"/>
        <v>273.79999999999995</v>
      </c>
      <c r="H1071" s="591">
        <f t="shared" si="144"/>
        <v>378.09999999999997</v>
      </c>
      <c r="I1071" s="591">
        <f t="shared" si="144"/>
        <v>389.44299999999998</v>
      </c>
      <c r="J1071" s="591">
        <f t="shared" si="144"/>
        <v>401.12628999999998</v>
      </c>
      <c r="K1071" s="591">
        <f t="shared" si="144"/>
        <v>413.16007869999993</v>
      </c>
      <c r="P1071" s="584"/>
      <c r="Q1071" s="584"/>
      <c r="R1071" s="584"/>
      <c r="S1071" s="584"/>
      <c r="T1071" s="584"/>
      <c r="U1071" s="584"/>
      <c r="V1071" s="584"/>
      <c r="W1071" s="613"/>
      <c r="X1071" s="616"/>
      <c r="Y1071" s="616"/>
      <c r="Z1071" s="616"/>
      <c r="AA1071" s="616"/>
      <c r="AB1071" s="616"/>
      <c r="AC1071" s="616"/>
      <c r="AD1071" s="616"/>
      <c r="AE1071" s="616"/>
    </row>
    <row r="1072" spans="3:32">
      <c r="C1072" s="582" t="s">
        <v>1126</v>
      </c>
      <c r="D1072" s="589">
        <f t="shared" ref="D1072:K1072" si="145">D1071/D1063</f>
        <v>-8.1543502002184201E-2</v>
      </c>
      <c r="E1072" s="589">
        <f t="shared" si="145"/>
        <v>-8.9058524173027988E-3</v>
      </c>
      <c r="F1072" s="589">
        <f t="shared" si="145"/>
        <v>7.248219735503561E-2</v>
      </c>
      <c r="G1072" s="589">
        <f t="shared" si="145"/>
        <v>6.469754253308127E-2</v>
      </c>
      <c r="H1072" s="589">
        <f t="shared" si="145"/>
        <v>8.6343914135647404E-2</v>
      </c>
      <c r="I1072" s="589">
        <f t="shared" si="145"/>
        <v>8.6343914135647404E-2</v>
      </c>
      <c r="J1072" s="589">
        <f t="shared" si="145"/>
        <v>8.6343914135647404E-2</v>
      </c>
      <c r="K1072" s="589">
        <f t="shared" si="145"/>
        <v>8.634391413564739E-2</v>
      </c>
      <c r="P1072" s="584"/>
      <c r="Q1072" s="584"/>
      <c r="R1072" s="584"/>
      <c r="S1072" s="584"/>
      <c r="T1072" s="584"/>
      <c r="U1072" s="584"/>
      <c r="V1072" s="584"/>
      <c r="W1072" s="613"/>
      <c r="X1072" s="618"/>
      <c r="Y1072" s="618"/>
      <c r="Z1072" s="618"/>
      <c r="AA1072" s="616"/>
      <c r="AB1072" s="616"/>
      <c r="AC1072" s="616"/>
      <c r="AD1072" s="616"/>
      <c r="AE1072" s="616"/>
    </row>
    <row r="1073" spans="3:31">
      <c r="C1073" s="582" t="s">
        <v>808</v>
      </c>
      <c r="D1073" s="602">
        <v>0.3</v>
      </c>
      <c r="E1073" s="602">
        <v>0.3</v>
      </c>
      <c r="F1073" s="602">
        <v>0.3</v>
      </c>
      <c r="G1073" s="590">
        <v>0.3</v>
      </c>
      <c r="H1073" s="590">
        <v>0.3</v>
      </c>
      <c r="I1073" s="590">
        <v>0.3</v>
      </c>
      <c r="J1073" s="590">
        <v>0.3</v>
      </c>
      <c r="K1073" s="590">
        <v>0.3</v>
      </c>
      <c r="P1073" s="584"/>
      <c r="Q1073" s="584"/>
      <c r="R1073" s="584"/>
      <c r="S1073" s="584"/>
      <c r="T1073" s="584"/>
      <c r="U1073" s="584"/>
      <c r="V1073" s="584"/>
      <c r="W1073" s="613"/>
      <c r="X1073" s="618"/>
      <c r="Y1073" s="618"/>
      <c r="Z1073" s="618"/>
      <c r="AA1073" s="616"/>
      <c r="AB1073" s="616"/>
      <c r="AC1073" s="616"/>
      <c r="AD1073" s="616"/>
      <c r="AE1073" s="616"/>
    </row>
    <row r="1074" spans="3:31">
      <c r="C1074" s="582" t="s">
        <v>93</v>
      </c>
      <c r="D1074" s="591">
        <f>(1-D1073)*D1071</f>
        <v>-156.79999999999998</v>
      </c>
      <c r="E1074" s="591">
        <f>(1-E1073)*E1071</f>
        <v>-19.599999999999998</v>
      </c>
      <c r="F1074" s="591">
        <f t="shared" ref="F1074:K1074" si="146">(1-F1073)*F1071</f>
        <v>199.5</v>
      </c>
      <c r="G1074" s="591">
        <f t="shared" si="146"/>
        <v>191.65999999999997</v>
      </c>
      <c r="H1074" s="591">
        <f t="shared" si="146"/>
        <v>264.66999999999996</v>
      </c>
      <c r="I1074" s="591">
        <f t="shared" si="146"/>
        <v>272.61009999999999</v>
      </c>
      <c r="J1074" s="591">
        <f t="shared" si="146"/>
        <v>280.78840299999996</v>
      </c>
      <c r="K1074" s="591">
        <f t="shared" si="146"/>
        <v>289.21205508999992</v>
      </c>
      <c r="P1074" s="584"/>
      <c r="Q1074" s="584"/>
      <c r="R1074" s="584"/>
      <c r="S1074" s="584"/>
      <c r="T1074" s="584"/>
      <c r="U1074" s="584"/>
      <c r="V1074" s="584"/>
      <c r="W1074" s="613"/>
      <c r="X1074" s="616"/>
      <c r="Y1074" s="616"/>
      <c r="Z1074" s="616"/>
      <c r="AA1074" s="616"/>
      <c r="AB1074" s="616"/>
      <c r="AC1074" s="616"/>
      <c r="AD1074" s="616"/>
      <c r="AE1074" s="616"/>
    </row>
    <row r="1075" spans="3:31">
      <c r="C1075" s="584"/>
      <c r="D1075" s="584"/>
      <c r="E1075" s="584"/>
      <c r="F1075" s="584"/>
      <c r="G1075" s="584"/>
      <c r="H1075" s="584"/>
      <c r="I1075" s="584"/>
      <c r="P1075" s="584"/>
      <c r="Q1075" s="584"/>
      <c r="R1075" s="584"/>
      <c r="S1075" s="584"/>
      <c r="T1075" s="584"/>
      <c r="U1075" s="584"/>
      <c r="V1075" s="584"/>
      <c r="X1075" s="584"/>
    </row>
    <row r="1076" spans="3:31">
      <c r="C1076" s="161" t="s">
        <v>120</v>
      </c>
      <c r="D1076" s="292">
        <v>0.127</v>
      </c>
      <c r="E1076" s="584" t="s">
        <v>123</v>
      </c>
      <c r="F1076" s="584"/>
      <c r="G1076" s="584"/>
      <c r="H1076" s="584"/>
      <c r="I1076" s="584"/>
      <c r="P1076" s="584"/>
      <c r="Q1076" s="584"/>
      <c r="R1076" s="584"/>
      <c r="S1076" s="584"/>
      <c r="T1076" s="584"/>
      <c r="U1076" s="584"/>
      <c r="V1076" s="584"/>
      <c r="X1076" s="584"/>
    </row>
    <row r="1077" spans="3:31">
      <c r="C1077" s="161" t="s">
        <v>94</v>
      </c>
      <c r="D1077" s="307">
        <f>NPV(D1076,H1074:K1074)</f>
        <v>824.91058209674679</v>
      </c>
      <c r="E1077" s="584"/>
      <c r="F1077" s="584"/>
      <c r="G1077" s="584"/>
      <c r="H1077" s="584"/>
      <c r="I1077" s="584"/>
      <c r="P1077" s="584"/>
      <c r="Q1077" s="584"/>
      <c r="R1077" s="584"/>
      <c r="S1077" s="584"/>
      <c r="T1077" s="584"/>
      <c r="U1077" s="584"/>
      <c r="V1077" s="584"/>
      <c r="W1077" s="584"/>
    </row>
    <row r="1078" spans="3:31">
      <c r="C1078" s="161" t="s">
        <v>95</v>
      </c>
      <c r="D1078" s="292">
        <v>3.5000000000000003E-2</v>
      </c>
      <c r="E1078" s="584" t="s">
        <v>123</v>
      </c>
      <c r="F1078" s="584"/>
      <c r="G1078" s="584"/>
      <c r="H1078" s="584"/>
      <c r="I1078" s="584"/>
      <c r="P1078" s="584"/>
      <c r="Q1078" s="584"/>
      <c r="R1078" s="584"/>
      <c r="S1078" s="584"/>
      <c r="T1078" s="584"/>
      <c r="U1078" s="584"/>
      <c r="V1078" s="584"/>
      <c r="W1078" s="584"/>
    </row>
    <row r="1079" spans="3:31">
      <c r="C1079" s="161" t="s">
        <v>96</v>
      </c>
      <c r="D1079" s="266">
        <f>1/(D1076-D1078)</f>
        <v>10.869565217391305</v>
      </c>
      <c r="E1079" s="584"/>
      <c r="F1079" s="584"/>
      <c r="G1079" s="584"/>
      <c r="H1079" s="584"/>
      <c r="I1079" s="584"/>
      <c r="P1079" s="584"/>
      <c r="Q1079" s="584"/>
      <c r="R1079" s="584"/>
      <c r="S1079" s="584"/>
      <c r="T1079" s="584"/>
      <c r="U1079" s="584"/>
      <c r="V1079" s="584"/>
      <c r="W1079" s="584"/>
    </row>
    <row r="1080" spans="3:31">
      <c r="C1080" s="161" t="s">
        <v>97</v>
      </c>
      <c r="D1080" s="307">
        <f>D1079*K1074</f>
        <v>3143.6092944565212</v>
      </c>
      <c r="E1080" s="584"/>
      <c r="F1080" s="584"/>
      <c r="G1080" s="584"/>
      <c r="H1080" s="584"/>
      <c r="I1080" s="584"/>
      <c r="P1080" s="584"/>
      <c r="Q1080" s="584"/>
      <c r="R1080" s="584"/>
      <c r="S1080" s="584"/>
      <c r="T1080" s="584"/>
      <c r="U1080" s="584"/>
      <c r="V1080" s="584"/>
      <c r="W1080" s="584"/>
    </row>
    <row r="1081" spans="3:31">
      <c r="C1081" s="161" t="s">
        <v>98</v>
      </c>
      <c r="D1081" s="307">
        <f>D1080/(1+D1076)^4</f>
        <v>1948.6457739195389</v>
      </c>
      <c r="E1081" s="584"/>
      <c r="F1081" s="584"/>
      <c r="G1081" s="584"/>
      <c r="H1081" s="584"/>
      <c r="I1081" s="584"/>
      <c r="P1081" s="584"/>
      <c r="Q1081" s="584"/>
      <c r="R1081" s="584"/>
      <c r="S1081" s="584"/>
      <c r="T1081" s="584"/>
      <c r="U1081" s="584"/>
      <c r="V1081" s="584"/>
      <c r="W1081" s="584"/>
    </row>
    <row r="1082" spans="3:31">
      <c r="C1082" s="594" t="s">
        <v>30</v>
      </c>
      <c r="D1082" s="599">
        <f>D1077+D1081</f>
        <v>2773.5563560162855</v>
      </c>
      <c r="E1082" s="584"/>
      <c r="F1082" s="584"/>
      <c r="G1082" s="584"/>
      <c r="H1082" s="584"/>
      <c r="I1082" s="584"/>
      <c r="P1082" s="584"/>
      <c r="Q1082" s="584"/>
      <c r="R1082" s="584"/>
      <c r="S1082" s="584"/>
      <c r="T1082" s="584"/>
      <c r="U1082" s="584"/>
      <c r="V1082" s="584"/>
      <c r="W1082" s="584"/>
    </row>
    <row r="1083" spans="3:31">
      <c r="C1083" s="584"/>
      <c r="D1083" s="591"/>
      <c r="E1083" s="584"/>
      <c r="F1083" s="584"/>
      <c r="G1083" s="584"/>
      <c r="H1083" s="584"/>
      <c r="I1083" s="584"/>
      <c r="P1083" s="584"/>
      <c r="Q1083" s="584"/>
      <c r="R1083" s="584"/>
      <c r="S1083" s="584"/>
      <c r="T1083" s="584"/>
      <c r="U1083" s="584"/>
      <c r="V1083" s="584"/>
      <c r="W1083" s="584"/>
    </row>
    <row r="1084" spans="3:31">
      <c r="C1084" s="584" t="s">
        <v>1128</v>
      </c>
      <c r="D1084" s="596">
        <v>17.809999999999999</v>
      </c>
      <c r="E1084" s="584"/>
      <c r="F1084" s="584"/>
      <c r="G1084" s="584"/>
      <c r="H1084" s="584"/>
      <c r="I1084" s="584"/>
      <c r="P1084" s="584"/>
      <c r="Q1084" s="584"/>
      <c r="R1084" s="584"/>
      <c r="S1084" s="584"/>
      <c r="T1084" s="584"/>
      <c r="U1084" s="584"/>
      <c r="V1084" s="584"/>
    </row>
    <row r="1085" spans="3:31">
      <c r="C1085" s="594" t="s">
        <v>1129</v>
      </c>
      <c r="D1085" s="595">
        <f>D1082*D1084</f>
        <v>49397.038700650039</v>
      </c>
      <c r="E1085" s="584"/>
      <c r="F1085" s="584"/>
      <c r="G1085" s="584"/>
      <c r="H1085" s="584"/>
      <c r="I1085" s="584"/>
      <c r="P1085" s="584"/>
      <c r="Q1085" s="584"/>
      <c r="R1085" s="584"/>
      <c r="S1085" s="584"/>
      <c r="T1085" s="584"/>
      <c r="U1085" s="584"/>
      <c r="V1085" s="584"/>
    </row>
    <row r="1086" spans="3:31">
      <c r="C1086" s="584"/>
      <c r="D1086" s="591"/>
      <c r="E1086" s="584"/>
      <c r="F1086" s="584"/>
      <c r="G1086" s="584"/>
      <c r="H1086" s="584"/>
      <c r="I1086" s="584"/>
      <c r="P1086" s="584"/>
      <c r="Q1086" s="584"/>
      <c r="R1086" s="584"/>
      <c r="S1086" s="584"/>
      <c r="T1086" s="584"/>
      <c r="U1086" s="584"/>
      <c r="V1086" s="584"/>
      <c r="W1086" s="584"/>
    </row>
    <row r="1087" spans="3:31">
      <c r="C1087" s="161" t="s">
        <v>24</v>
      </c>
      <c r="D1087" s="349">
        <v>0</v>
      </c>
      <c r="E1087" s="584"/>
      <c r="F1087" s="584"/>
      <c r="G1087" s="584"/>
      <c r="H1087" s="584"/>
      <c r="I1087" s="584"/>
      <c r="P1087" s="584"/>
      <c r="Q1087" s="584"/>
      <c r="R1087" s="584"/>
      <c r="S1087" s="584"/>
      <c r="T1087" s="584"/>
      <c r="U1087" s="584"/>
      <c r="V1087" s="584"/>
      <c r="W1087" s="584"/>
    </row>
    <row r="1088" spans="3:31">
      <c r="C1088" s="163" t="s">
        <v>105</v>
      </c>
      <c r="D1088" s="308">
        <f>D1082-D1087</f>
        <v>2773.5563560162855</v>
      </c>
      <c r="E1088" s="584"/>
      <c r="F1088" s="584"/>
      <c r="G1088" s="584"/>
      <c r="H1088" s="584"/>
      <c r="I1088" s="584"/>
      <c r="P1088" s="584"/>
      <c r="Q1088" s="584"/>
      <c r="R1088" s="584"/>
      <c r="S1088" s="584"/>
      <c r="T1088" s="584"/>
      <c r="U1088" s="584"/>
      <c r="V1088" s="584"/>
      <c r="W1088" s="584"/>
    </row>
    <row r="1089" spans="3:23">
      <c r="C1089" s="163" t="s">
        <v>1130</v>
      </c>
      <c r="D1089" s="308">
        <f>D1088*D1084</f>
        <v>49397.038700650039</v>
      </c>
      <c r="E1089" s="584"/>
      <c r="F1089" s="584"/>
      <c r="G1089" s="584"/>
      <c r="H1089" s="584"/>
      <c r="I1089" s="584"/>
      <c r="P1089" s="584"/>
      <c r="Q1089" s="584"/>
      <c r="R1089" s="584"/>
      <c r="S1089" s="584"/>
      <c r="T1089" s="584"/>
      <c r="U1089" s="584"/>
      <c r="V1089" s="584"/>
      <c r="W1089" s="584"/>
    </row>
    <row r="1090" spans="3:23">
      <c r="C1090" s="584"/>
      <c r="D1090" s="591"/>
      <c r="E1090" s="584"/>
      <c r="F1090" s="584"/>
      <c r="G1090" s="584"/>
      <c r="H1090" s="584"/>
      <c r="I1090" s="584"/>
      <c r="P1090" s="584"/>
      <c r="Q1090" s="584"/>
      <c r="R1090" s="584"/>
      <c r="S1090" s="584"/>
      <c r="T1090" s="584"/>
      <c r="U1090" s="584"/>
      <c r="V1090" s="584"/>
      <c r="W1090" s="584"/>
    </row>
    <row r="1091" spans="3:23">
      <c r="C1091" s="584" t="s">
        <v>1131</v>
      </c>
      <c r="D1091" s="307">
        <v>22316</v>
      </c>
      <c r="E1091" s="584"/>
      <c r="F1091" s="584"/>
      <c r="G1091" s="584"/>
      <c r="H1091" s="584"/>
      <c r="I1091" s="584"/>
      <c r="P1091" s="584"/>
      <c r="Q1091" s="584"/>
      <c r="R1091" s="584"/>
      <c r="S1091" s="584"/>
      <c r="T1091" s="584"/>
      <c r="U1091" s="584"/>
      <c r="V1091" s="584"/>
      <c r="W1091" s="584"/>
    </row>
    <row r="1092" spans="3:23">
      <c r="C1092" s="584" t="s">
        <v>1132</v>
      </c>
      <c r="D1092" s="307">
        <f>D1085*1000/D1091</f>
        <v>2213.5256632304195</v>
      </c>
      <c r="E1092" s="584"/>
      <c r="F1092" s="584"/>
      <c r="G1092" s="584"/>
      <c r="H1092" s="584"/>
      <c r="I1092" s="584"/>
      <c r="P1092" s="584"/>
      <c r="Q1092" s="584"/>
      <c r="R1092" s="584"/>
      <c r="S1092" s="584"/>
      <c r="T1092" s="584"/>
      <c r="U1092" s="584"/>
      <c r="V1092" s="584"/>
      <c r="W1092" s="584"/>
    </row>
    <row r="1093" spans="3:23">
      <c r="C1093" s="584" t="s">
        <v>1133</v>
      </c>
      <c r="D1093" s="307">
        <f>935731*1000/83994</f>
        <v>11140.450508369646</v>
      </c>
      <c r="E1093" s="584"/>
      <c r="F1093" s="584"/>
      <c r="G1093" s="584"/>
      <c r="H1093" s="584"/>
      <c r="I1093" s="584"/>
      <c r="P1093" s="584"/>
      <c r="Q1093" s="584"/>
      <c r="R1093" s="584"/>
      <c r="S1093" s="584"/>
      <c r="T1093" s="584"/>
      <c r="U1093" s="584"/>
      <c r="V1093" s="584"/>
      <c r="W1093" s="584"/>
    </row>
    <row r="1094" spans="3:23">
      <c r="C1094" s="584"/>
      <c r="D1094" s="584"/>
      <c r="E1094" s="584"/>
      <c r="F1094" s="584"/>
      <c r="G1094" s="584"/>
      <c r="H1094" s="584"/>
      <c r="I1094" s="584"/>
      <c r="P1094" s="584"/>
      <c r="Q1094" s="584"/>
      <c r="R1094" s="584"/>
      <c r="S1094" s="584"/>
      <c r="T1094" s="584"/>
      <c r="U1094" s="584"/>
      <c r="V1094" s="584"/>
      <c r="W1094" s="584"/>
    </row>
    <row r="1095" spans="3:23">
      <c r="C1095" s="582" t="s">
        <v>113</v>
      </c>
      <c r="D1095" s="590">
        <v>0.11</v>
      </c>
      <c r="E1095" s="584" t="s">
        <v>123</v>
      </c>
      <c r="G1095" s="584"/>
      <c r="H1095" s="584"/>
      <c r="I1095" s="584"/>
      <c r="P1095" s="584"/>
      <c r="Q1095" s="584"/>
      <c r="R1095" s="584"/>
      <c r="S1095" s="584"/>
      <c r="T1095" s="584"/>
      <c r="U1095" s="584"/>
      <c r="V1095" s="584"/>
      <c r="W1095" s="584"/>
    </row>
    <row r="1096" spans="3:23">
      <c r="C1096" s="582" t="s">
        <v>1134</v>
      </c>
      <c r="D1096" s="589">
        <f>D1095*(1-F1073)</f>
        <v>7.6999999999999999E-2</v>
      </c>
      <c r="E1096" s="584"/>
      <c r="G1096" s="584"/>
      <c r="H1096" s="584"/>
      <c r="I1096" s="584"/>
      <c r="J1096" s="584"/>
      <c r="K1096" s="584"/>
      <c r="L1096" s="584"/>
      <c r="M1096" s="584"/>
      <c r="N1096" s="584"/>
      <c r="O1096" s="584"/>
      <c r="P1096" s="584"/>
      <c r="Q1096" s="584"/>
    </row>
    <row r="1097" spans="3:23">
      <c r="C1097" s="584"/>
      <c r="D1097" s="584"/>
      <c r="E1097" s="584"/>
      <c r="F1097" s="584"/>
      <c r="G1097" s="584"/>
      <c r="H1097" s="584"/>
      <c r="I1097" s="584"/>
      <c r="J1097" s="584"/>
      <c r="K1097" s="584"/>
      <c r="L1097" s="584"/>
      <c r="M1097" s="584"/>
      <c r="N1097" s="584"/>
      <c r="O1097" s="584"/>
      <c r="P1097" s="584"/>
      <c r="Q1097" s="584"/>
    </row>
    <row r="1098" spans="3:23">
      <c r="C1098" s="582" t="s">
        <v>226</v>
      </c>
      <c r="E1098" s="584"/>
      <c r="F1098" s="584"/>
      <c r="G1098" s="587">
        <f>D1096*(D1055+D1050)</f>
        <v>3803.571979950053</v>
      </c>
      <c r="H1098" s="17">
        <f>G1098</f>
        <v>3803.571979950053</v>
      </c>
      <c r="I1098" s="17">
        <f>H1098</f>
        <v>3803.571979950053</v>
      </c>
      <c r="J1098" s="17">
        <f>I1098</f>
        <v>3803.571979950053</v>
      </c>
      <c r="K1098" s="17">
        <f>J1098</f>
        <v>3803.571979950053</v>
      </c>
      <c r="L1098" s="584"/>
      <c r="M1098" s="584"/>
      <c r="N1098" s="584"/>
      <c r="O1098" s="584"/>
      <c r="P1098" s="584"/>
      <c r="Q1098" s="584"/>
    </row>
    <row r="1099" spans="3:23">
      <c r="C1099" s="582" t="s">
        <v>847</v>
      </c>
      <c r="E1099" s="584"/>
      <c r="F1099" s="584"/>
      <c r="G1099" s="587">
        <f>F1099+G1098</f>
        <v>3803.571979950053</v>
      </c>
      <c r="H1099" s="587">
        <f>G1099+H1098</f>
        <v>7607.143959900106</v>
      </c>
      <c r="I1099" s="587">
        <f>H1099+I1098</f>
        <v>11410.715939850159</v>
      </c>
      <c r="J1099" s="587">
        <f>I1099+J1098</f>
        <v>15214.287919800212</v>
      </c>
      <c r="K1099" s="587">
        <f>J1099+K1098</f>
        <v>19017.859899750263</v>
      </c>
      <c r="L1099" s="584"/>
      <c r="M1099" s="584"/>
      <c r="N1099" s="584"/>
      <c r="O1099" s="584"/>
      <c r="P1099" s="584"/>
      <c r="Q1099" s="584"/>
    </row>
    <row r="1100" spans="3:23">
      <c r="L1100" s="584"/>
      <c r="M1100" s="584"/>
      <c r="N1100" s="584"/>
      <c r="O1100" s="584"/>
      <c r="P1100" s="584"/>
      <c r="Q1100" s="584"/>
    </row>
    <row r="1101" spans="3:23">
      <c r="E1101" s="584"/>
      <c r="F1101" s="584"/>
      <c r="G1101" s="584"/>
      <c r="H1101" s="584"/>
      <c r="I1101" s="584"/>
      <c r="J1101" s="584"/>
      <c r="K1101" s="584"/>
      <c r="L1101" s="584"/>
      <c r="M1101" s="584"/>
      <c r="N1101" s="584"/>
      <c r="O1101" s="584"/>
      <c r="P1101" s="584"/>
      <c r="Q1101" s="584"/>
    </row>
    <row r="1102" spans="3:23">
      <c r="C1102" s="621" t="s">
        <v>122</v>
      </c>
      <c r="L1102" s="584"/>
      <c r="M1102" s="584"/>
      <c r="N1102" s="584"/>
      <c r="O1102" s="584"/>
      <c r="P1102" s="584"/>
      <c r="Q1102" s="584"/>
    </row>
    <row r="1103" spans="3:23">
      <c r="C1103" s="594"/>
      <c r="L1103" s="584"/>
      <c r="M1103" s="584"/>
      <c r="N1103" s="584"/>
      <c r="O1103" s="584"/>
      <c r="P1103" s="584"/>
      <c r="Q1103" s="584"/>
    </row>
    <row r="1104" spans="3:23">
      <c r="C1104" s="583" t="s">
        <v>1135</v>
      </c>
      <c r="D1104" s="583">
        <v>2021</v>
      </c>
      <c r="E1104" s="583">
        <v>2022</v>
      </c>
      <c r="F1104" s="583">
        <v>2023</v>
      </c>
      <c r="G1104" s="583">
        <f>F1104+1</f>
        <v>2024</v>
      </c>
      <c r="H1104" s="583">
        <f>G1104+1</f>
        <v>2025</v>
      </c>
      <c r="I1104" s="583">
        <f>H1104+1</f>
        <v>2026</v>
      </c>
      <c r="J1104" s="583">
        <f>I1104+1</f>
        <v>2027</v>
      </c>
      <c r="K1104" s="583">
        <f>J1104+1</f>
        <v>2028</v>
      </c>
      <c r="L1104" s="584"/>
      <c r="M1104" s="584"/>
      <c r="N1104" s="584"/>
      <c r="O1104" s="584"/>
      <c r="P1104" s="584"/>
      <c r="Q1104" s="584"/>
    </row>
    <row r="1105" spans="3:17">
      <c r="D1105" s="581"/>
      <c r="E1105" s="581"/>
      <c r="F1105" s="581"/>
      <c r="G1105" s="581"/>
      <c r="H1105" s="581"/>
      <c r="I1105" s="581"/>
      <c r="J1105" s="581"/>
      <c r="K1105" s="581"/>
      <c r="L1105" s="584"/>
      <c r="M1105" s="584"/>
      <c r="N1105" s="584"/>
      <c r="O1105" s="584"/>
      <c r="P1105" s="584"/>
      <c r="Q1105" s="584"/>
    </row>
    <row r="1106" spans="3:17">
      <c r="C1106" s="582" t="s">
        <v>1136</v>
      </c>
      <c r="E1106" s="584"/>
      <c r="F1106" s="584"/>
      <c r="G1106" s="591">
        <f>Master!X104</f>
        <v>21960.904999999999</v>
      </c>
      <c r="H1106" s="591">
        <f>Master!Y104</f>
        <v>21457.014000000003</v>
      </c>
      <c r="I1106" s="591">
        <f>Master!Z104</f>
        <v>21013.537985576048</v>
      </c>
      <c r="J1106" s="591">
        <f>Master!AA104</f>
        <v>20295.302956888452</v>
      </c>
      <c r="K1106" s="591">
        <f>Master!AB104</f>
        <v>19152.179257487169</v>
      </c>
      <c r="L1106" s="584"/>
      <c r="M1106" s="584"/>
      <c r="N1106" s="584"/>
      <c r="O1106" s="584"/>
      <c r="P1106" s="584"/>
      <c r="Q1106" s="584"/>
    </row>
    <row r="1107" spans="3:17">
      <c r="C1107" s="582" t="s">
        <v>295</v>
      </c>
      <c r="E1107" s="584"/>
      <c r="F1107" s="584"/>
      <c r="G1107" s="591">
        <f>Master!X13</f>
        <v>14629.852999999999</v>
      </c>
      <c r="H1107" s="591">
        <f>Master!Y13</f>
        <v>15936.034</v>
      </c>
      <c r="I1107" s="591">
        <f>Master!Z13</f>
        <v>17317.949166000006</v>
      </c>
      <c r="J1107" s="591">
        <f>Master!AA13</f>
        <v>18891.568466000008</v>
      </c>
      <c r="K1107" s="591">
        <f>Master!AB13</f>
        <v>20433.344349966705</v>
      </c>
      <c r="L1107" s="584"/>
      <c r="M1107" s="584"/>
      <c r="N1107" s="584"/>
      <c r="O1107" s="584"/>
      <c r="P1107" s="584"/>
      <c r="Q1107" s="584"/>
    </row>
    <row r="1108" spans="3:17">
      <c r="C1108" s="581" t="s">
        <v>90</v>
      </c>
      <c r="D1108" s="233"/>
      <c r="E1108" s="594"/>
      <c r="F1108" s="594"/>
      <c r="G1108" s="627">
        <f>G1106/G1107</f>
        <v>1.5011022325378116</v>
      </c>
      <c r="H1108" s="627">
        <f>H1106/H1107</f>
        <v>1.3464462989976052</v>
      </c>
      <c r="I1108" s="627">
        <f>I1106/I1107</f>
        <v>1.2133964468975067</v>
      </c>
      <c r="J1108" s="627">
        <f>J1106/J1107</f>
        <v>1.074304814521611</v>
      </c>
      <c r="K1108" s="627">
        <f>K1106/K1107</f>
        <v>0.93730027397685278</v>
      </c>
      <c r="L1108" s="584"/>
      <c r="M1108" s="584"/>
      <c r="N1108" s="584"/>
      <c r="O1108" s="584"/>
      <c r="P1108" s="584"/>
      <c r="Q1108" s="584"/>
    </row>
    <row r="1109" spans="3:17">
      <c r="C1109" s="582" t="s">
        <v>31</v>
      </c>
      <c r="E1109" s="584"/>
      <c r="F1109" s="584"/>
      <c r="G1109" s="591">
        <f>Valuation!Q28</f>
        <v>14.795999999999026</v>
      </c>
      <c r="H1109" s="591">
        <f>Valuation!R28</f>
        <v>2632.5992499999998</v>
      </c>
      <c r="I1109" s="591">
        <f>Valuation!S28</f>
        <v>3407.2556144239556</v>
      </c>
      <c r="J1109" s="591">
        <f>Valuation!T28</f>
        <v>4122.5972335475972</v>
      </c>
      <c r="K1109" s="591">
        <f>Valuation!U28</f>
        <v>5043.6209299212833</v>
      </c>
      <c r="L1109" s="584"/>
      <c r="M1109" s="584"/>
      <c r="N1109" s="584"/>
      <c r="O1109" s="584"/>
      <c r="P1109" s="584"/>
      <c r="Q1109" s="584"/>
    </row>
    <row r="1110" spans="3:17">
      <c r="C1110" s="582" t="s">
        <v>1111</v>
      </c>
      <c r="E1110" s="584"/>
      <c r="F1110" s="584"/>
      <c r="G1110" s="591">
        <f>Master!X348/2</f>
        <v>858.50049999999999</v>
      </c>
      <c r="H1110" s="591">
        <f>Master!Y348/2</f>
        <v>858.12400000000002</v>
      </c>
      <c r="I1110" s="591">
        <f>Master!Z348/2</f>
        <v>858.12400000000002</v>
      </c>
      <c r="J1110" s="591">
        <f>Master!AA348/2</f>
        <v>858.12400000000002</v>
      </c>
      <c r="K1110" s="591">
        <f>Master!AB348/2</f>
        <v>858.12400000000002</v>
      </c>
      <c r="L1110" s="584"/>
      <c r="M1110" s="584"/>
      <c r="N1110" s="584"/>
      <c r="O1110" s="584"/>
      <c r="P1110" s="584"/>
      <c r="Q1110" s="584"/>
    </row>
    <row r="1111" spans="3:17">
      <c r="C1111" s="582" t="s">
        <v>1137</v>
      </c>
      <c r="E1111" s="584"/>
      <c r="F1111" s="584"/>
      <c r="G1111" s="593">
        <f>G1109/G1110</f>
        <v>1.7234701668780654E-2</v>
      </c>
      <c r="H1111" s="593">
        <f>H1109/H1110</f>
        <v>3.0678541213158002</v>
      </c>
      <c r="I1111" s="593">
        <f>I1109/I1110</f>
        <v>3.9705865520879913</v>
      </c>
      <c r="J1111" s="593">
        <f>J1109/J1110</f>
        <v>4.804197567656419</v>
      </c>
      <c r="K1111" s="593">
        <f>K1109/K1110</f>
        <v>5.877496643749951</v>
      </c>
      <c r="L1111" s="584"/>
      <c r="M1111" s="584"/>
      <c r="N1111" s="584"/>
      <c r="O1111" s="584"/>
      <c r="P1111" s="584"/>
      <c r="Q1111" s="584"/>
    </row>
    <row r="1112" spans="3:17">
      <c r="C1112" s="582" t="s">
        <v>30</v>
      </c>
      <c r="E1112" s="584"/>
      <c r="F1112" s="584"/>
      <c r="G1112" s="591">
        <f>G1113*G1107</f>
        <v>74706.267789999998</v>
      </c>
      <c r="H1112" s="591">
        <f>H1113*H1107</f>
        <v>74179.944920000009</v>
      </c>
      <c r="I1112" s="591">
        <f>I1113*I1107</f>
        <v>70561.410105576055</v>
      </c>
      <c r="J1112" s="591">
        <f>J1113*J1107</f>
        <v>66206.405752028455</v>
      </c>
      <c r="K1112" s="591">
        <f>K1113*K1107</f>
        <v>60907.136990107174</v>
      </c>
      <c r="L1112" s="584"/>
      <c r="M1112" s="584"/>
      <c r="N1112" s="584"/>
      <c r="O1112" s="584"/>
      <c r="P1112" s="584"/>
      <c r="Q1112" s="584"/>
    </row>
    <row r="1113" spans="3:17">
      <c r="C1113" s="582" t="s">
        <v>19</v>
      </c>
      <c r="E1113" s="584"/>
      <c r="F1113" s="584"/>
      <c r="G1113" s="592">
        <f>Valuation!Q41</f>
        <v>5.106426413853919</v>
      </c>
      <c r="H1113" s="592">
        <f>Valuation!R41</f>
        <v>4.6548560902919771</v>
      </c>
      <c r="I1113" s="592">
        <f>Valuation!S41</f>
        <v>4.0744668684042509</v>
      </c>
      <c r="J1113" s="592">
        <f>Valuation!T41</f>
        <v>3.5045478553664324</v>
      </c>
      <c r="K1113" s="592">
        <f>Valuation!U41</f>
        <v>2.9807718182073519</v>
      </c>
      <c r="L1113" s="584"/>
      <c r="M1113" s="584"/>
      <c r="N1113" s="584"/>
      <c r="O1113" s="584"/>
      <c r="P1113" s="584"/>
      <c r="Q1113" s="584"/>
    </row>
    <row r="1114" spans="3:17">
      <c r="C1114" s="582" t="s">
        <v>671</v>
      </c>
      <c r="E1114" s="584"/>
      <c r="F1114" s="584"/>
      <c r="G1114" s="591">
        <f>G1110*Valuation!$C$4</f>
        <v>51149.459790000001</v>
      </c>
      <c r="H1114" s="591">
        <f>H1110*Valuation!$C$4</f>
        <v>51127.02792</v>
      </c>
      <c r="I1114" s="591">
        <f>I1110*Valuation!$C$4</f>
        <v>51127.02792</v>
      </c>
      <c r="J1114" s="591">
        <f>J1110*Valuation!$C$4</f>
        <v>51127.02792</v>
      </c>
      <c r="K1114" s="591">
        <f>K1110*Valuation!$C$4</f>
        <v>51127.02792</v>
      </c>
      <c r="L1114" s="584"/>
      <c r="M1114" s="584"/>
      <c r="N1114" s="584"/>
      <c r="O1114" s="584"/>
      <c r="P1114" s="584"/>
      <c r="Q1114" s="584"/>
    </row>
    <row r="1115" spans="3:17">
      <c r="C1115" s="584"/>
      <c r="E1115" s="584"/>
      <c r="F1115" s="584"/>
      <c r="G1115" s="584"/>
      <c r="H1115" s="584"/>
      <c r="I1115" s="584"/>
      <c r="J1115" s="584"/>
      <c r="K1115" s="584"/>
      <c r="L1115" s="584"/>
      <c r="M1115" s="584"/>
      <c r="N1115" s="584"/>
      <c r="O1115" s="584"/>
      <c r="P1115" s="584"/>
      <c r="Q1115" s="584"/>
    </row>
    <row r="1116" spans="3:17">
      <c r="C1116" s="584"/>
      <c r="E1116" s="584"/>
      <c r="F1116" s="584"/>
      <c r="G1116" s="584"/>
      <c r="H1116" s="584"/>
      <c r="I1116" s="584"/>
      <c r="J1116" s="584"/>
      <c r="K1116" s="584"/>
      <c r="L1116" s="584"/>
      <c r="M1116" s="584"/>
      <c r="N1116" s="584"/>
      <c r="O1116" s="584"/>
      <c r="P1116" s="584"/>
      <c r="Q1116" s="584"/>
    </row>
    <row r="1117" spans="3:17">
      <c r="C1117" s="583" t="s">
        <v>1138</v>
      </c>
      <c r="D1117" s="583">
        <v>2021</v>
      </c>
      <c r="E1117" s="583">
        <v>2022</v>
      </c>
      <c r="F1117" s="583">
        <v>2023</v>
      </c>
      <c r="G1117" s="583">
        <f>F1117+1</f>
        <v>2024</v>
      </c>
      <c r="H1117" s="583">
        <f>G1117+1</f>
        <v>2025</v>
      </c>
      <c r="I1117" s="583">
        <f>H1117+1</f>
        <v>2026</v>
      </c>
      <c r="J1117" s="583">
        <f>I1117+1</f>
        <v>2027</v>
      </c>
      <c r="K1117" s="583">
        <f>J1117+1</f>
        <v>2028</v>
      </c>
      <c r="L1117" s="584"/>
      <c r="M1117" s="584"/>
      <c r="N1117" s="584"/>
      <c r="O1117" s="584"/>
      <c r="P1117" s="584"/>
      <c r="Q1117" s="584"/>
    </row>
    <row r="1118" spans="3:17">
      <c r="C1118" s="581"/>
      <c r="D1118" s="581"/>
      <c r="E1118" s="581"/>
      <c r="F1118" s="581"/>
      <c r="G1118" s="581"/>
      <c r="H1118" s="581"/>
      <c r="I1118" s="581"/>
      <c r="J1118" s="581"/>
      <c r="K1118" s="581"/>
      <c r="L1118" s="584"/>
      <c r="M1118" s="584"/>
      <c r="N1118" s="584"/>
      <c r="O1118" s="584"/>
      <c r="P1118" s="584"/>
      <c r="Q1118" s="584"/>
    </row>
    <row r="1119" spans="3:17">
      <c r="C1119" s="584" t="str">
        <f>C1106</f>
        <v xml:space="preserve">MEGA net debt </v>
      </c>
      <c r="E1119" s="584"/>
      <c r="F1119" s="584"/>
      <c r="G1119" s="591">
        <f>G1106+$D$1055+$D$1050</f>
        <v>71357.943700650037</v>
      </c>
      <c r="H1119" s="591">
        <f>H1106+$D$1055+$D$1050+H1099</f>
        <v>78461.196660550137</v>
      </c>
      <c r="I1119" s="591">
        <f>I1106+$D$1055+$D$1050+I1099</f>
        <v>81821.292626076247</v>
      </c>
      <c r="J1119" s="591">
        <f>J1106+$D$1055+$D$1050+J1099</f>
        <v>84906.629577338696</v>
      </c>
      <c r="K1119" s="591">
        <f>K1106+$D$1055+$D$1050+K1099</f>
        <v>87567.07785788746</v>
      </c>
      <c r="L1119" s="584"/>
      <c r="M1119" s="584"/>
      <c r="N1119" s="584"/>
      <c r="O1119" s="584"/>
      <c r="P1119" s="584"/>
      <c r="Q1119" s="584"/>
    </row>
    <row r="1120" spans="3:17">
      <c r="C1120" s="582" t="s">
        <v>295</v>
      </c>
      <c r="E1120" s="584"/>
      <c r="F1120" s="584"/>
      <c r="G1120" s="591">
        <f>G1107+G1065*$D$1084</f>
        <v>27043.422999999999</v>
      </c>
      <c r="H1120" s="591">
        <f>H1107+H1065*$D$1084</f>
        <v>30468.993999999999</v>
      </c>
      <c r="I1120" s="591">
        <f>I1107+I1065*$D$1084</f>
        <v>32286.897966000004</v>
      </c>
      <c r="J1120" s="591">
        <f>J1107+J1065*$D$1084</f>
        <v>34309.585730000006</v>
      </c>
      <c r="K1120" s="591">
        <f>K1107+K1065*$D$1084</f>
        <v>36313.902131886702</v>
      </c>
      <c r="L1120" s="584"/>
      <c r="M1120" s="584"/>
      <c r="N1120" s="584"/>
      <c r="O1120" s="584"/>
      <c r="P1120" s="584"/>
      <c r="Q1120" s="584"/>
    </row>
    <row r="1121" spans="3:35">
      <c r="C1121" s="600" t="s">
        <v>90</v>
      </c>
      <c r="D1121" s="605"/>
      <c r="E1121" s="606"/>
      <c r="F1121" s="607"/>
      <c r="G1121" s="608">
        <f>G1119/G1120</f>
        <v>2.6386431813994125</v>
      </c>
      <c r="H1121" s="608">
        <f>H1119/H1120</f>
        <v>2.5751160888524951</v>
      </c>
      <c r="I1121" s="608">
        <f>I1119/I1120</f>
        <v>2.5341949143655382</v>
      </c>
      <c r="J1121" s="608">
        <f>J1119/J1120</f>
        <v>2.4747203375031446</v>
      </c>
      <c r="K1121" s="609">
        <f>K1119/K1120</f>
        <v>2.4113926820603533</v>
      </c>
      <c r="L1121" s="584"/>
      <c r="M1121" s="584"/>
      <c r="N1121" s="584"/>
      <c r="O1121" s="584"/>
      <c r="P1121" s="584"/>
      <c r="Q1121" s="584"/>
    </row>
    <row r="1122" spans="3:35">
      <c r="C1122" s="582" t="s">
        <v>31</v>
      </c>
      <c r="E1122" s="584"/>
      <c r="F1122" s="584"/>
      <c r="G1122" s="591">
        <f>G1109+G1074*$D$1084-G1098</f>
        <v>-375.31137995005474</v>
      </c>
      <c r="H1122" s="591">
        <f>H1109+H1074*$D$1084-H1098</f>
        <v>3542.7999700499458</v>
      </c>
      <c r="I1122" s="591">
        <f>I1109+I1074*$D$1084-I1098</f>
        <v>4458.8695154739016</v>
      </c>
      <c r="J1122" s="591">
        <f>J1109+J1074*$D$1084-J1098</f>
        <v>5319.8667110275437</v>
      </c>
      <c r="K1122" s="591">
        <f>K1109+K1074*$D$1084-K1098</f>
        <v>6390.915651124129</v>
      </c>
      <c r="L1122" s="584"/>
      <c r="M1122" s="584"/>
      <c r="N1122" s="584"/>
      <c r="O1122" s="584"/>
      <c r="P1122" s="584"/>
      <c r="Q1122" s="584"/>
    </row>
    <row r="1123" spans="3:35">
      <c r="C1123" s="582" t="s">
        <v>1139</v>
      </c>
      <c r="E1123" s="584"/>
      <c r="F1123" s="584"/>
      <c r="G1123" s="591">
        <f>G1110+$D$1058</f>
        <v>858.50049999999999</v>
      </c>
      <c r="H1123" s="591">
        <f>H1110+$D$1058</f>
        <v>858.12400000000002</v>
      </c>
      <c r="I1123" s="591">
        <f>I1110+$D$1058</f>
        <v>858.12400000000002</v>
      </c>
      <c r="J1123" s="591">
        <f>J1110+$D$1058</f>
        <v>858.12400000000002</v>
      </c>
      <c r="K1123" s="591">
        <f>K1110+$D$1058</f>
        <v>858.12400000000002</v>
      </c>
      <c r="L1123" s="584"/>
      <c r="M1123" s="584"/>
      <c r="N1123" s="584"/>
      <c r="O1123" s="584"/>
      <c r="P1123" s="584"/>
      <c r="Q1123" s="584"/>
    </row>
    <row r="1124" spans="3:35">
      <c r="C1124" s="582" t="s">
        <v>1140</v>
      </c>
      <c r="E1124" s="584"/>
      <c r="F1124" s="584"/>
      <c r="G1124" s="593">
        <f>G1122/G1123</f>
        <v>-0.437170834437551</v>
      </c>
      <c r="H1124" s="593">
        <f>H1122/H1123</f>
        <v>4.1285408286564014</v>
      </c>
      <c r="I1124" s="593">
        <f>I1122/I1123</f>
        <v>5.1960666704041625</v>
      </c>
      <c r="J1124" s="593">
        <f>J1122/J1123</f>
        <v>6.1994148992774276</v>
      </c>
      <c r="K1124" s="593">
        <f>K1122/K1123</f>
        <v>7.4475433050749409</v>
      </c>
      <c r="L1124" s="584"/>
      <c r="M1124" s="584"/>
      <c r="N1124" s="584"/>
      <c r="O1124" s="584"/>
      <c r="P1124" s="584"/>
      <c r="Q1124" s="584"/>
    </row>
    <row r="1125" spans="3:35">
      <c r="C1125" s="623" t="s">
        <v>131</v>
      </c>
      <c r="D1125" s="605"/>
      <c r="E1125" s="606"/>
      <c r="F1125" s="624"/>
      <c r="G1125" s="625">
        <f>G1124/G1111-1</f>
        <v>-26.365732627066738</v>
      </c>
      <c r="H1125" s="625">
        <f>H1124/H1111-1</f>
        <v>0.34574222417253453</v>
      </c>
      <c r="I1125" s="625">
        <f>I1124/I1111-1</f>
        <v>0.3086395680436016</v>
      </c>
      <c r="J1125" s="625">
        <f>J1124/J1111-1</f>
        <v>0.29041631031456983</v>
      </c>
      <c r="K1125" s="626">
        <f>K1124/K1111-1</f>
        <v>0.26712846582303973</v>
      </c>
      <c r="L1125" s="584"/>
      <c r="M1125" s="584"/>
      <c r="N1125" s="584"/>
      <c r="O1125" s="584"/>
      <c r="P1125" s="584"/>
      <c r="Q1125" s="584"/>
    </row>
    <row r="1126" spans="3:35">
      <c r="L1126" s="591"/>
      <c r="M1126" s="591"/>
      <c r="N1126" s="591"/>
      <c r="O1126" s="591"/>
      <c r="P1126" s="584"/>
      <c r="Q1126" s="584"/>
      <c r="T1126" s="14">
        <f>X1133/G1110</f>
        <v>118.97768433524504</v>
      </c>
      <c r="X1126" s="14">
        <f>X1133</f>
        <v>102142.40149065004</v>
      </c>
      <c r="Z1126">
        <v>859</v>
      </c>
      <c r="AA1126">
        <f>X1126/Z1126</f>
        <v>118.9084999891153</v>
      </c>
      <c r="AF1126" s="14">
        <f>D1058</f>
        <v>0</v>
      </c>
      <c r="AI1126">
        <f>AF1126*AG1128</f>
        <v>0</v>
      </c>
    </row>
    <row r="1127" spans="3:35">
      <c r="C1127" s="582" t="s">
        <v>1141</v>
      </c>
      <c r="E1127" s="584"/>
      <c r="F1127" s="584"/>
      <c r="G1127" s="591">
        <f>G1123*Valuation!$C$4</f>
        <v>51149.459790000001</v>
      </c>
      <c r="H1127" s="591">
        <f>H1123*Valuation!$C$4</f>
        <v>51127.02792</v>
      </c>
      <c r="I1127" s="591">
        <f>I1123*Valuation!$C$4</f>
        <v>51127.02792</v>
      </c>
      <c r="J1127" s="591">
        <f>J1123*Valuation!$C$4</f>
        <v>51127.02792</v>
      </c>
      <c r="K1127" s="591">
        <f>K1123*Valuation!$C$4</f>
        <v>51127.02792</v>
      </c>
      <c r="L1127" s="591"/>
      <c r="M1127" s="591"/>
      <c r="N1127" s="591"/>
      <c r="O1127" s="591"/>
      <c r="P1127" s="584"/>
      <c r="Q1127" s="584"/>
      <c r="T1127" s="620">
        <f>D1049/T1126</f>
        <v>415.17902265994127</v>
      </c>
      <c r="X1127" s="14">
        <f>D1049</f>
        <v>49397.038700650039</v>
      </c>
      <c r="AF1127" s="14">
        <f>G1110</f>
        <v>858.50049999999999</v>
      </c>
    </row>
    <row r="1128" spans="3:35">
      <c r="C1128" s="582" t="s">
        <v>1142</v>
      </c>
      <c r="E1128" s="584"/>
      <c r="F1128" s="584"/>
      <c r="G1128" s="591">
        <f>G1119</f>
        <v>71357.943700650037</v>
      </c>
      <c r="H1128" s="591">
        <f>H1119</f>
        <v>78461.196660550137</v>
      </c>
      <c r="I1128" s="591">
        <f>I1119</f>
        <v>81821.292626076247</v>
      </c>
      <c r="J1128" s="591">
        <f>J1119</f>
        <v>84906.629577338696</v>
      </c>
      <c r="K1128" s="591">
        <f>K1119</f>
        <v>87567.07785788746</v>
      </c>
      <c r="L1128" s="591"/>
      <c r="M1128" s="591"/>
      <c r="N1128" s="591"/>
      <c r="O1128" s="591"/>
      <c r="P1128" s="584"/>
      <c r="Q1128" s="584"/>
      <c r="X1128" s="14">
        <f>G1114</f>
        <v>51149.459790000001</v>
      </c>
      <c r="AF1128" s="14">
        <f>AF1126+AF1127</f>
        <v>858.50049999999999</v>
      </c>
      <c r="AG1128">
        <f>X1133/AF1128</f>
        <v>118.97768433524504</v>
      </c>
    </row>
    <row r="1129" spans="3:35">
      <c r="C1129" s="582" t="s">
        <v>1143</v>
      </c>
      <c r="E1129" s="584"/>
      <c r="F1129" s="584"/>
      <c r="G1129" s="591">
        <f>G1127+G1128</f>
        <v>122507.40349065003</v>
      </c>
      <c r="H1129" s="591">
        <f>H1127+H1128</f>
        <v>129588.22458055013</v>
      </c>
      <c r="I1129" s="591">
        <f>I1127+I1128</f>
        <v>132948.32054607625</v>
      </c>
      <c r="J1129" s="591">
        <f>J1127+J1128</f>
        <v>136033.65749733869</v>
      </c>
      <c r="K1129" s="591">
        <f>K1127+K1128</f>
        <v>138694.10577788745</v>
      </c>
      <c r="L1129" s="591"/>
      <c r="M1129" s="591"/>
      <c r="N1129" s="591"/>
      <c r="O1129" s="584"/>
      <c r="P1129" s="584"/>
      <c r="Q1129" s="584"/>
      <c r="T1129" s="14">
        <f>G1110</f>
        <v>858.50049999999999</v>
      </c>
      <c r="U1129" s="610">
        <f>T1129/T1131</f>
        <v>0.67403179899376486</v>
      </c>
      <c r="V1129" s="591">
        <f>U1129*X1133</f>
        <v>68847.226630286255</v>
      </c>
      <c r="X1129" s="14">
        <f>X1126-X1127-X1128</f>
        <v>1595.9029999999984</v>
      </c>
      <c r="AC1129" s="14">
        <f>X1127-X1129</f>
        <v>47801.13570065004</v>
      </c>
    </row>
    <row r="1130" spans="3:35">
      <c r="C1130" s="582" t="s">
        <v>1144</v>
      </c>
      <c r="E1130" s="584"/>
      <c r="F1130" s="584"/>
      <c r="G1130" s="592">
        <f>G1129/G1120</f>
        <v>4.5300257844818699</v>
      </c>
      <c r="H1130" s="592">
        <f>H1129/H1120</f>
        <v>4.2531179263926511</v>
      </c>
      <c r="I1130" s="592">
        <f>I1129/I1120</f>
        <v>4.117717369010756</v>
      </c>
      <c r="J1130" s="592">
        <f>J1129/J1120</f>
        <v>3.9648877887322325</v>
      </c>
      <c r="K1130" s="592">
        <f>K1129/K1120</f>
        <v>3.8193115483478213</v>
      </c>
      <c r="L1130" s="591"/>
      <c r="M1130" s="591"/>
      <c r="N1130" s="591"/>
      <c r="O1130" s="584"/>
      <c r="P1130" s="584"/>
      <c r="Q1130" s="584"/>
      <c r="T1130" s="17">
        <f>T1127</f>
        <v>415.17902265994127</v>
      </c>
      <c r="U1130" s="610">
        <f>T1130/T1131</f>
        <v>0.32596820100623508</v>
      </c>
      <c r="V1130" s="591">
        <f>U1130*X1133</f>
        <v>33295.174860363775</v>
      </c>
      <c r="X1130">
        <f>X1127+X1129/2</f>
        <v>50194.990200650034</v>
      </c>
      <c r="Y1130" s="15">
        <f>X1130/X1126</f>
        <v>0.49142167667993208</v>
      </c>
    </row>
    <row r="1131" spans="3:35">
      <c r="C1131" s="623" t="s">
        <v>131</v>
      </c>
      <c r="D1131" s="605"/>
      <c r="E1131" s="606"/>
      <c r="F1131" s="624"/>
      <c r="G1131" s="625">
        <f>G1130/G1113-1</f>
        <v>-0.11287749644413825</v>
      </c>
      <c r="H1131" s="625">
        <f>H1130/H1113-1</f>
        <v>-8.6305173802725843E-2</v>
      </c>
      <c r="I1131" s="625">
        <f>I1130/I1113-1</f>
        <v>1.061500854060049E-2</v>
      </c>
      <c r="J1131" s="625">
        <f>J1130/J1113-1</f>
        <v>0.13135501421699591</v>
      </c>
      <c r="K1131" s="626">
        <f>K1130/K1113-1</f>
        <v>0.2813163104329035</v>
      </c>
      <c r="L1131" s="584"/>
      <c r="M1131" s="584"/>
      <c r="N1131" s="584"/>
      <c r="O1131" s="584"/>
      <c r="P1131" s="584"/>
      <c r="Q1131" s="584"/>
      <c r="T1131" s="14">
        <f>T1129+T1130</f>
        <v>1273.6795226599413</v>
      </c>
      <c r="X1131">
        <f>X1128+X1129/2</f>
        <v>51947.411290000004</v>
      </c>
      <c r="Y1131" s="15">
        <f>X1131/X1126</f>
        <v>0.50857832332006792</v>
      </c>
    </row>
    <row r="1132" spans="3:35">
      <c r="C1132" s="584"/>
      <c r="E1132" s="584"/>
      <c r="F1132" s="584"/>
      <c r="G1132" s="584"/>
      <c r="H1132" s="584"/>
      <c r="I1132" s="584"/>
      <c r="J1132" s="584"/>
      <c r="K1132" s="584"/>
      <c r="L1132" s="584"/>
      <c r="M1132" s="584"/>
      <c r="N1132" s="584"/>
      <c r="O1132" s="584"/>
      <c r="P1132" s="584"/>
      <c r="Q1132" s="584"/>
    </row>
    <row r="1133" spans="3:35">
      <c r="C1133" s="637" t="s">
        <v>1145</v>
      </c>
      <c r="M1133" s="584"/>
      <c r="N1133" s="584"/>
      <c r="O1133" s="584"/>
      <c r="P1133" s="584"/>
      <c r="Q1133" s="584"/>
      <c r="T1133" s="582" t="s">
        <v>1141</v>
      </c>
      <c r="U1133" s="632"/>
      <c r="V1133" s="582"/>
      <c r="W1133" s="582"/>
      <c r="X1133" s="628">
        <f>(G1112+$D$1051)-(G1106+$D$1087)</f>
        <v>102142.40149065004</v>
      </c>
      <c r="Y1133" s="628">
        <f>(H1112+$D$1051)-(H1106+$D$1087)</f>
        <v>102119.96962065005</v>
      </c>
      <c r="Z1133" s="628">
        <f>(I1112+$D$1051)-(I1106+$D$1087)</f>
        <v>98944.910820650053</v>
      </c>
      <c r="AA1133" s="628">
        <f>(J1112+$D$1051)-(J1106+$D$1087)</f>
        <v>95308.141495790042</v>
      </c>
      <c r="AB1133" s="628">
        <f>(K1112+$D$1051)-(K1106+$D$1087)</f>
        <v>91151.996433270047</v>
      </c>
      <c r="AC1133" s="584"/>
    </row>
    <row r="1134" spans="3:35">
      <c r="M1134" s="584"/>
      <c r="N1134" s="584"/>
      <c r="O1134" s="584"/>
      <c r="P1134" s="584"/>
      <c r="Q1134" s="584"/>
      <c r="U1134" s="90"/>
      <c r="V1134" s="90"/>
      <c r="AC1134" s="584"/>
    </row>
    <row r="1135" spans="3:35">
      <c r="U1135" s="90"/>
      <c r="V1135" s="90"/>
      <c r="X1135" s="14"/>
    </row>
    <row r="1138" spans="3:11" ht="21.75" customHeight="1">
      <c r="C1138" s="634" t="s">
        <v>1146</v>
      </c>
      <c r="D1138" s="604"/>
      <c r="E1138" s="604"/>
      <c r="F1138" s="604"/>
      <c r="G1138" s="604"/>
      <c r="H1138" s="604"/>
      <c r="I1138" s="604"/>
      <c r="J1138" s="604"/>
      <c r="K1138" s="604"/>
    </row>
    <row r="1139" spans="3:11">
      <c r="C1139" s="584"/>
      <c r="D1139" s="584"/>
      <c r="E1139" s="584"/>
      <c r="F1139" s="584"/>
      <c r="G1139" s="584"/>
      <c r="H1139" s="584"/>
      <c r="I1139" s="584"/>
      <c r="J1139" s="584"/>
      <c r="K1139" s="584"/>
    </row>
    <row r="1140" spans="3:11">
      <c r="C1140" s="582" t="s">
        <v>18</v>
      </c>
      <c r="D1140" s="586"/>
      <c r="E1140" s="584"/>
      <c r="F1140" s="584"/>
      <c r="G1140" s="584"/>
      <c r="H1140" s="584"/>
      <c r="I1140" s="584"/>
      <c r="J1140" s="584"/>
      <c r="K1140" s="584"/>
    </row>
    <row r="1141" spans="3:11">
      <c r="C1141" s="582" t="s">
        <v>1111</v>
      </c>
      <c r="D1141" s="587"/>
      <c r="E1141" s="584"/>
      <c r="F1141" s="584"/>
      <c r="G1141" s="584"/>
      <c r="H1141" s="584"/>
      <c r="I1141" s="584"/>
      <c r="J1141" s="584"/>
      <c r="K1141" s="584"/>
    </row>
    <row r="1142" spans="3:11">
      <c r="C1142" s="582" t="s">
        <v>1147</v>
      </c>
      <c r="D1142" s="591">
        <f>D1144-D1143</f>
        <v>14230.190000000002</v>
      </c>
      <c r="E1142" s="584"/>
      <c r="F1142" s="584"/>
      <c r="G1142" s="584"/>
      <c r="H1142" s="584"/>
      <c r="I1142" s="584"/>
      <c r="J1142" s="584"/>
      <c r="K1142" s="584"/>
    </row>
    <row r="1143" spans="3:11">
      <c r="C1143" s="582" t="s">
        <v>1148</v>
      </c>
      <c r="D1143" s="591">
        <f>(D1150)*D1147</f>
        <v>71257.81</v>
      </c>
      <c r="E1143" s="584"/>
      <c r="F1143" s="584"/>
      <c r="G1143" s="584"/>
      <c r="H1143" s="584"/>
      <c r="I1143" s="584"/>
      <c r="J1143" s="584"/>
      <c r="K1143" s="584"/>
    </row>
    <row r="1144" spans="3:11">
      <c r="C1144" s="582" t="s">
        <v>1149</v>
      </c>
      <c r="D1144" s="591">
        <f>(D1148+D1149+D1151)*D1147</f>
        <v>85488</v>
      </c>
      <c r="E1144" s="584"/>
      <c r="F1144" s="584"/>
      <c r="G1144" s="584"/>
      <c r="H1144" s="584"/>
      <c r="I1144" s="584"/>
      <c r="J1144" s="584"/>
      <c r="K1144" s="584"/>
    </row>
    <row r="1145" spans="3:11">
      <c r="C1145" s="582" t="s">
        <v>1115</v>
      </c>
      <c r="D1145" s="588">
        <f>D1144/(G1170)</f>
        <v>3.7005099640597461</v>
      </c>
      <c r="E1145" s="584"/>
      <c r="F1145" s="584"/>
      <c r="G1145" s="584"/>
      <c r="H1145" s="584"/>
      <c r="I1145" s="584"/>
      <c r="J1145" s="584"/>
      <c r="K1145" s="584"/>
    </row>
    <row r="1146" spans="3:11">
      <c r="C1146" s="584"/>
      <c r="D1146" s="584"/>
      <c r="E1146" s="584"/>
      <c r="F1146" s="584"/>
      <c r="G1146" s="584"/>
      <c r="H1146" s="584"/>
      <c r="I1146" s="584"/>
      <c r="J1146" s="584"/>
      <c r="K1146" s="584"/>
    </row>
    <row r="1147" spans="3:11">
      <c r="C1147" s="584" t="s">
        <v>1128</v>
      </c>
      <c r="D1147" s="596">
        <v>17.809999999999999</v>
      </c>
      <c r="E1147" s="584"/>
      <c r="F1147" s="584"/>
      <c r="G1147" s="584"/>
      <c r="H1147" s="584"/>
      <c r="I1147" s="584"/>
      <c r="J1147" s="584"/>
      <c r="K1147" s="584"/>
    </row>
    <row r="1148" spans="3:11">
      <c r="C1148" s="584" t="s">
        <v>1150</v>
      </c>
      <c r="D1148" s="591">
        <v>3542</v>
      </c>
      <c r="E1148" s="584"/>
      <c r="F1148" s="584"/>
      <c r="G1148" s="584"/>
      <c r="H1148" s="584"/>
      <c r="I1148" s="584"/>
      <c r="J1148" s="584"/>
      <c r="K1148" s="584"/>
    </row>
    <row r="1149" spans="3:11">
      <c r="C1149" s="584" t="s">
        <v>1151</v>
      </c>
      <c r="D1149" s="591">
        <v>779</v>
      </c>
      <c r="E1149" s="584"/>
      <c r="F1149" s="584"/>
      <c r="G1149" s="584"/>
      <c r="H1149" s="584"/>
      <c r="I1149" s="584"/>
      <c r="J1149" s="584"/>
      <c r="K1149" s="584"/>
    </row>
    <row r="1150" spans="3:11">
      <c r="C1150" s="584" t="s">
        <v>24</v>
      </c>
      <c r="D1150" s="591">
        <f>3458+543</f>
        <v>4001</v>
      </c>
      <c r="E1150" s="584"/>
      <c r="F1150" s="584"/>
      <c r="G1150" s="584"/>
      <c r="H1150" s="584"/>
      <c r="I1150" s="584"/>
      <c r="J1150" s="584"/>
      <c r="K1150" s="584"/>
    </row>
    <row r="1151" spans="3:11">
      <c r="C1151" s="584" t="s">
        <v>1152</v>
      </c>
      <c r="D1151" s="591">
        <v>479</v>
      </c>
      <c r="E1151" s="584"/>
      <c r="F1151" s="584"/>
      <c r="G1151" s="584"/>
      <c r="H1151" s="584"/>
      <c r="I1151" s="584"/>
      <c r="J1151" s="584"/>
      <c r="K1151" s="584"/>
    </row>
    <row r="1152" spans="3:11">
      <c r="C1152" s="584"/>
      <c r="D1152" s="584"/>
      <c r="E1152" s="584"/>
      <c r="F1152" s="584"/>
      <c r="G1152" s="584"/>
      <c r="H1152" s="584"/>
      <c r="I1152" s="584"/>
      <c r="J1152" s="584"/>
      <c r="K1152" s="584"/>
    </row>
    <row r="1153" spans="3:11">
      <c r="C1153" s="600" t="s">
        <v>1116</v>
      </c>
      <c r="D1153" s="601">
        <v>0.5</v>
      </c>
      <c r="E1153" s="584"/>
      <c r="F1153" s="584"/>
      <c r="G1153" s="584"/>
      <c r="H1153" s="584"/>
      <c r="I1153" s="584"/>
      <c r="J1153" s="584"/>
      <c r="K1153" s="584"/>
    </row>
    <row r="1154" spans="3:11">
      <c r="C1154" s="584" t="s">
        <v>1117</v>
      </c>
      <c r="D1154" s="591">
        <f>D1142*D1153</f>
        <v>7115.0950000000012</v>
      </c>
      <c r="E1154" s="584"/>
      <c r="F1154" s="584"/>
      <c r="G1154" s="584"/>
      <c r="H1154" s="584"/>
      <c r="I1154" s="584"/>
      <c r="J1154" s="584"/>
      <c r="K1154" s="584"/>
    </row>
    <row r="1155" spans="3:11">
      <c r="C1155" s="584" t="s">
        <v>1118</v>
      </c>
      <c r="D1155" s="591">
        <f>D1142-D1154</f>
        <v>7115.0950000000012</v>
      </c>
      <c r="E1155" s="584"/>
      <c r="F1155" s="584"/>
      <c r="G1155" s="584"/>
      <c r="H1155" s="584"/>
      <c r="I1155" s="584"/>
      <c r="J1155" s="584"/>
      <c r="K1155" s="584"/>
    </row>
    <row r="1156" spans="3:11">
      <c r="C1156" s="584" t="s">
        <v>1119</v>
      </c>
      <c r="D1156" s="588">
        <f>Valuation!C4</f>
        <v>59.58</v>
      </c>
      <c r="E1156" s="584"/>
      <c r="F1156" s="584"/>
      <c r="G1156" s="584"/>
      <c r="H1156" s="584"/>
      <c r="I1156" s="584"/>
      <c r="J1156" s="584"/>
      <c r="K1156" s="584"/>
    </row>
    <row r="1157" spans="3:11">
      <c r="C1157" s="584" t="s">
        <v>1120</v>
      </c>
      <c r="D1157" s="591">
        <f>D1155/D1156</f>
        <v>119.42086270560593</v>
      </c>
      <c r="E1157" s="584"/>
      <c r="F1157" s="584"/>
      <c r="G1157" s="584"/>
      <c r="H1157" s="584"/>
      <c r="I1157" s="584"/>
      <c r="J1157" s="584"/>
      <c r="K1157" s="584"/>
    </row>
    <row r="1158" spans="3:11">
      <c r="C1158" s="584"/>
      <c r="D1158" s="584"/>
      <c r="E1158" s="584"/>
      <c r="F1158" s="584"/>
      <c r="G1158" s="584"/>
      <c r="H1158" s="584"/>
      <c r="I1158" s="584"/>
      <c r="J1158" s="584"/>
      <c r="K1158" s="584"/>
    </row>
    <row r="1159" spans="3:11">
      <c r="C1159" s="584" t="s">
        <v>1153</v>
      </c>
      <c r="D1159" s="586"/>
      <c r="E1159" s="584"/>
      <c r="F1159" s="584"/>
      <c r="G1159" s="584"/>
      <c r="H1159" s="584"/>
      <c r="I1159" s="584"/>
      <c r="J1159" s="584"/>
      <c r="K1159" s="584"/>
    </row>
    <row r="1160" spans="3:11">
      <c r="C1160" s="584"/>
      <c r="D1160" s="584"/>
      <c r="E1160" s="584"/>
      <c r="F1160" s="584"/>
      <c r="G1160" s="584"/>
      <c r="H1160" s="584"/>
      <c r="I1160" s="584"/>
      <c r="J1160" s="584"/>
      <c r="K1160" s="584"/>
    </row>
    <row r="1161" spans="3:11">
      <c r="C1161" s="584"/>
      <c r="D1161" s="584"/>
      <c r="E1161" s="584"/>
      <c r="F1161" s="584"/>
      <c r="G1161" s="584"/>
      <c r="H1161" s="584"/>
      <c r="I1161" s="584"/>
      <c r="J1161" s="584"/>
      <c r="K1161" s="584"/>
    </row>
    <row r="1162" spans="3:11">
      <c r="C1162" s="603" t="s">
        <v>857</v>
      </c>
      <c r="D1162" s="584"/>
      <c r="E1162" s="584"/>
      <c r="F1162" s="584"/>
      <c r="G1162" s="584"/>
      <c r="H1162" s="584"/>
      <c r="I1162" s="584"/>
      <c r="J1162" s="584"/>
      <c r="K1162" s="584"/>
    </row>
    <row r="1163" spans="3:11">
      <c r="C1163" s="583" t="s">
        <v>11</v>
      </c>
      <c r="D1163" s="583">
        <v>2021</v>
      </c>
      <c r="E1163" s="583">
        <v>2022</v>
      </c>
      <c r="F1163" s="583">
        <v>2023</v>
      </c>
      <c r="G1163" s="583">
        <f>F1163+1</f>
        <v>2024</v>
      </c>
      <c r="H1163" s="583">
        <f>G1163+1</f>
        <v>2025</v>
      </c>
      <c r="I1163" s="583">
        <f>H1163+1</f>
        <v>2026</v>
      </c>
      <c r="J1163" s="583">
        <f>I1163+1</f>
        <v>2027</v>
      </c>
      <c r="K1163" s="583">
        <f>J1163+1</f>
        <v>2028</v>
      </c>
    </row>
    <row r="1164" spans="3:11">
      <c r="C1164" s="629" t="s">
        <v>653</v>
      </c>
      <c r="D1164" s="630">
        <v>48020.9</v>
      </c>
      <c r="E1164" s="630">
        <v>48411.8</v>
      </c>
      <c r="F1164" s="630">
        <v>48802.5</v>
      </c>
      <c r="G1164" s="631">
        <v>48802.5</v>
      </c>
      <c r="H1164" s="631">
        <v>49290.525000000001</v>
      </c>
      <c r="I1164" s="631">
        <v>50276.335500000001</v>
      </c>
      <c r="J1164" s="631">
        <v>51533.243887499993</v>
      </c>
      <c r="K1164" s="631">
        <v>53208.074313843739</v>
      </c>
    </row>
    <row r="1165" spans="3:11">
      <c r="C1165" s="629" t="s">
        <v>652</v>
      </c>
      <c r="D1165" s="630">
        <v>22026.6</v>
      </c>
      <c r="E1165" s="630">
        <v>20339</v>
      </c>
      <c r="F1165" s="630">
        <v>17585.2</v>
      </c>
      <c r="G1165" s="631">
        <v>15669.651064570926</v>
      </c>
      <c r="H1165" s="631">
        <v>14471.39653698212</v>
      </c>
      <c r="I1165" s="631">
        <v>13649.527111625455</v>
      </c>
      <c r="J1165" s="631">
        <v>12959.924872841093</v>
      </c>
      <c r="K1165" s="631">
        <v>12296.149820803679</v>
      </c>
    </row>
    <row r="1166" spans="3:11">
      <c r="C1166" s="582" t="s">
        <v>43</v>
      </c>
      <c r="D1166" s="628">
        <f>D1164+D1165</f>
        <v>70047.5</v>
      </c>
      <c r="E1166" s="628">
        <f t="shared" ref="E1166:K1166" si="147">E1164+E1165</f>
        <v>68750.8</v>
      </c>
      <c r="F1166" s="628">
        <f t="shared" si="147"/>
        <v>66387.7</v>
      </c>
      <c r="G1166" s="628">
        <f t="shared" si="147"/>
        <v>64472.151064570928</v>
      </c>
      <c r="H1166" s="628">
        <f t="shared" si="147"/>
        <v>63761.921536982118</v>
      </c>
      <c r="I1166" s="628">
        <f t="shared" si="147"/>
        <v>63925.86261162546</v>
      </c>
      <c r="J1166" s="628">
        <f t="shared" si="147"/>
        <v>64493.168760341083</v>
      </c>
      <c r="K1166" s="628">
        <f t="shared" si="147"/>
        <v>65504.224134647418</v>
      </c>
    </row>
    <row r="1167" spans="3:11">
      <c r="C1167" s="582" t="s">
        <v>442</v>
      </c>
      <c r="D1167" s="589"/>
      <c r="E1167" s="589">
        <f>E1166/D1166-1</f>
        <v>-1.8511724187158629E-2</v>
      </c>
      <c r="F1167" s="589">
        <f t="shared" ref="F1167:K1167" si="148">F1166/E1166-1</f>
        <v>-3.4371963671695593E-2</v>
      </c>
      <c r="G1167" s="589">
        <f t="shared" si="148"/>
        <v>-2.8853973483477624E-2</v>
      </c>
      <c r="H1167" s="589">
        <f t="shared" si="148"/>
        <v>-1.1016066873237862E-2</v>
      </c>
      <c r="I1167" s="589">
        <f t="shared" si="148"/>
        <v>2.5711438848068369E-3</v>
      </c>
      <c r="J1167" s="589">
        <f t="shared" si="148"/>
        <v>8.8744386941201903E-3</v>
      </c>
      <c r="K1167" s="589">
        <f t="shared" si="148"/>
        <v>1.5676937476331032E-2</v>
      </c>
    </row>
    <row r="1168" spans="3:11">
      <c r="C1168" s="629" t="s">
        <v>653</v>
      </c>
      <c r="D1168" s="630">
        <v>20285</v>
      </c>
      <c r="E1168" s="630">
        <v>19902.8</v>
      </c>
      <c r="F1168" s="630">
        <v>18821</v>
      </c>
      <c r="G1168" s="631">
        <v>18178.931250000001</v>
      </c>
      <c r="H1168" s="631">
        <v>18237.49425</v>
      </c>
      <c r="I1168" s="631">
        <v>18602.244135000001</v>
      </c>
      <c r="J1168" s="631">
        <v>19067.300238374999</v>
      </c>
      <c r="K1168" s="631">
        <v>19686.987496122183</v>
      </c>
    </row>
    <row r="1169" spans="3:11">
      <c r="C1169" s="629" t="s">
        <v>652</v>
      </c>
      <c r="D1169" s="630">
        <v>8504.2000000000007</v>
      </c>
      <c r="E1169" s="630">
        <v>6416.33</v>
      </c>
      <c r="F1169" s="630">
        <v>5731.4</v>
      </c>
      <c r="G1169" s="631">
        <v>4922.7495535325561</v>
      </c>
      <c r="H1169" s="631">
        <v>4929.4109901492266</v>
      </c>
      <c r="I1169" s="631">
        <v>4593.9127511233182</v>
      </c>
      <c r="J1169" s="631">
        <v>4309.5155330454008</v>
      </c>
      <c r="K1169" s="631">
        <v>4038.7446351704884</v>
      </c>
    </row>
    <row r="1170" spans="3:11">
      <c r="C1170" s="582" t="s">
        <v>295</v>
      </c>
      <c r="D1170" s="628">
        <f>D1168+D1169</f>
        <v>28789.200000000001</v>
      </c>
      <c r="E1170" s="628">
        <f t="shared" ref="E1170:K1170" si="149">E1168+E1169</f>
        <v>26319.129999999997</v>
      </c>
      <c r="F1170" s="628">
        <f t="shared" si="149"/>
        <v>24552.400000000001</v>
      </c>
      <c r="G1170" s="628">
        <f t="shared" si="149"/>
        <v>23101.680803532559</v>
      </c>
      <c r="H1170" s="628">
        <f t="shared" si="149"/>
        <v>23166.905240149226</v>
      </c>
      <c r="I1170" s="628">
        <f t="shared" si="149"/>
        <v>23196.156886123317</v>
      </c>
      <c r="J1170" s="628">
        <f t="shared" si="149"/>
        <v>23376.815771420399</v>
      </c>
      <c r="K1170" s="628">
        <f t="shared" si="149"/>
        <v>23725.732131292672</v>
      </c>
    </row>
    <row r="1171" spans="3:11">
      <c r="C1171" s="582" t="s">
        <v>490</v>
      </c>
      <c r="D1171" s="589">
        <f>D1170/D1166</f>
        <v>0.41099539598129842</v>
      </c>
      <c r="E1171" s="589">
        <f t="shared" ref="E1171:K1171" si="150">E1170/E1166</f>
        <v>0.38281925446685705</v>
      </c>
      <c r="F1171" s="589">
        <f t="shared" si="150"/>
        <v>0.36983356856767147</v>
      </c>
      <c r="G1171" s="589">
        <f t="shared" si="150"/>
        <v>0.35832030453575969</v>
      </c>
      <c r="H1171" s="589">
        <f t="shared" si="150"/>
        <v>0.36333448995435852</v>
      </c>
      <c r="I1171" s="589">
        <f t="shared" si="150"/>
        <v>0.36286028750286897</v>
      </c>
      <c r="J1171" s="589">
        <f t="shared" si="150"/>
        <v>0.36246964168080315</v>
      </c>
      <c r="K1171" s="589">
        <f t="shared" si="150"/>
        <v>0.36220155943719246</v>
      </c>
    </row>
    <row r="1172" spans="3:11">
      <c r="C1172" s="584" t="s">
        <v>509</v>
      </c>
      <c r="D1172" s="622"/>
      <c r="E1172" s="622"/>
      <c r="F1172" s="622"/>
      <c r="G1172" s="591"/>
      <c r="H1172" s="591"/>
      <c r="I1172" s="591"/>
      <c r="J1172" s="591"/>
      <c r="K1172" s="591"/>
    </row>
    <row r="1173" spans="3:11">
      <c r="C1173" s="582" t="s">
        <v>1124</v>
      </c>
      <c r="D1173" s="591"/>
      <c r="E1173" s="591"/>
      <c r="F1173" s="591"/>
      <c r="G1173" s="591"/>
      <c r="H1173" s="591"/>
      <c r="I1173" s="591"/>
      <c r="J1173" s="591"/>
      <c r="K1173" s="591"/>
    </row>
    <row r="1174" spans="3:11">
      <c r="C1174" s="629" t="s">
        <v>653</v>
      </c>
      <c r="D1174" s="630">
        <v>17333.977760915466</v>
      </c>
      <c r="E1174" s="630">
        <v>12989.048999999999</v>
      </c>
      <c r="F1174" s="630">
        <v>11204.1</v>
      </c>
      <c r="G1174" s="631">
        <v>10614.543750000001</v>
      </c>
      <c r="H1174" s="631">
        <v>10351.010249999999</v>
      </c>
      <c r="I1174" s="631">
        <v>10683.721293750001</v>
      </c>
      <c r="J1174" s="631">
        <v>10821.981216374998</v>
      </c>
      <c r="K1174" s="631">
        <v>11040.675420122576</v>
      </c>
    </row>
    <row r="1175" spans="3:11">
      <c r="C1175" s="629" t="s">
        <v>652</v>
      </c>
      <c r="D1175" s="630">
        <v>4951.6956950725162</v>
      </c>
      <c r="E1175" s="630">
        <v>3883.241</v>
      </c>
      <c r="F1175" s="630">
        <v>2640.8399999999997</v>
      </c>
      <c r="G1175" s="631">
        <v>2251.9050200465481</v>
      </c>
      <c r="H1175" s="631">
        <v>1941.688477155318</v>
      </c>
      <c r="I1175" s="631">
        <v>1829.6112633518183</v>
      </c>
      <c r="J1175" s="631">
        <v>1737.3741275341638</v>
      </c>
      <c r="K1175" s="631">
        <v>1649.0110697285515</v>
      </c>
    </row>
    <row r="1176" spans="3:11">
      <c r="C1176" s="582" t="s">
        <v>147</v>
      </c>
      <c r="D1176" s="628">
        <f>D1174+D1175</f>
        <v>22285.673455987984</v>
      </c>
      <c r="E1176" s="628">
        <f t="shared" ref="E1176:K1176" si="151">E1174+E1175</f>
        <v>16872.29</v>
      </c>
      <c r="F1176" s="628">
        <f t="shared" si="151"/>
        <v>13844.94</v>
      </c>
      <c r="G1176" s="628">
        <f t="shared" si="151"/>
        <v>12866.448770046549</v>
      </c>
      <c r="H1176" s="628">
        <f t="shared" si="151"/>
        <v>12292.698727155317</v>
      </c>
      <c r="I1176" s="628">
        <f t="shared" si="151"/>
        <v>12513.332557101819</v>
      </c>
      <c r="J1176" s="628">
        <f t="shared" si="151"/>
        <v>12559.355343909161</v>
      </c>
      <c r="K1176" s="628">
        <f t="shared" si="151"/>
        <v>12689.686489851127</v>
      </c>
    </row>
    <row r="1177" spans="3:11">
      <c r="C1177" s="582" t="s">
        <v>1126</v>
      </c>
      <c r="D1177" s="589">
        <f>D1176/D1166</f>
        <v>0.31815087556283927</v>
      </c>
      <c r="E1177" s="589">
        <f t="shared" ref="E1177:K1177" si="152">E1176/E1166</f>
        <v>0.2454122715662945</v>
      </c>
      <c r="F1177" s="589">
        <f t="shared" si="152"/>
        <v>0.20854676393368049</v>
      </c>
      <c r="G1177" s="589">
        <f t="shared" si="152"/>
        <v>0.19956599179016671</v>
      </c>
      <c r="H1177" s="589">
        <f t="shared" si="152"/>
        <v>0.19279059399151754</v>
      </c>
      <c r="I1177" s="589">
        <f t="shared" si="152"/>
        <v>0.19574757454780381</v>
      </c>
      <c r="J1177" s="589">
        <f t="shared" si="152"/>
        <v>0.19473931247788698</v>
      </c>
      <c r="K1177" s="589">
        <f t="shared" si="152"/>
        <v>0.19372317827575211</v>
      </c>
    </row>
    <row r="1178" spans="3:11">
      <c r="C1178" s="582" t="s">
        <v>92</v>
      </c>
      <c r="D1178" s="591">
        <f t="shared" ref="D1178:K1178" si="153">D1170-D1176</f>
        <v>6503.5265440120165</v>
      </c>
      <c r="E1178" s="591">
        <f t="shared" si="153"/>
        <v>9446.8399999999965</v>
      </c>
      <c r="F1178" s="591">
        <f t="shared" si="153"/>
        <v>10707.460000000001</v>
      </c>
      <c r="G1178" s="591">
        <f t="shared" si="153"/>
        <v>10235.232033486011</v>
      </c>
      <c r="H1178" s="591">
        <f t="shared" si="153"/>
        <v>10874.206512993909</v>
      </c>
      <c r="I1178" s="591">
        <f t="shared" si="153"/>
        <v>10682.824329021498</v>
      </c>
      <c r="J1178" s="591">
        <f t="shared" si="153"/>
        <v>10817.460427511238</v>
      </c>
      <c r="K1178" s="591">
        <f t="shared" si="153"/>
        <v>11036.045641441546</v>
      </c>
    </row>
    <row r="1179" spans="3:11">
      <c r="C1179" s="582" t="s">
        <v>1126</v>
      </c>
      <c r="D1179" s="589">
        <f t="shared" ref="D1179:K1179" si="154">D1178/D1166</f>
        <v>9.2844520418459142E-2</v>
      </c>
      <c r="E1179" s="589">
        <f t="shared" si="154"/>
        <v>0.13740698290056255</v>
      </c>
      <c r="F1179" s="589">
        <f t="shared" si="154"/>
        <v>0.16128680463399095</v>
      </c>
      <c r="G1179" s="589">
        <f t="shared" si="154"/>
        <v>0.15875431274559301</v>
      </c>
      <c r="H1179" s="589">
        <f t="shared" si="154"/>
        <v>0.170543895962841</v>
      </c>
      <c r="I1179" s="589">
        <f t="shared" si="154"/>
        <v>0.16711271295506516</v>
      </c>
      <c r="J1179" s="589">
        <f t="shared" si="154"/>
        <v>0.16773032920291617</v>
      </c>
      <c r="K1179" s="589">
        <f t="shared" si="154"/>
        <v>0.16847838116144032</v>
      </c>
    </row>
    <row r="1180" spans="3:11">
      <c r="C1180" s="582" t="s">
        <v>808</v>
      </c>
      <c r="D1180" s="590">
        <v>0.28000000000000003</v>
      </c>
      <c r="E1180" s="590">
        <v>0.28000000000000003</v>
      </c>
      <c r="F1180" s="590">
        <v>0.28000000000000003</v>
      </c>
      <c r="G1180" s="590">
        <v>0.28000000000000003</v>
      </c>
      <c r="H1180" s="590">
        <v>0.28000000000000003</v>
      </c>
      <c r="I1180" s="590">
        <v>0.28000000000000003</v>
      </c>
      <c r="J1180" s="590">
        <v>0.28000000000000003</v>
      </c>
      <c r="K1180" s="590">
        <v>0.28000000000000003</v>
      </c>
    </row>
    <row r="1181" spans="3:11">
      <c r="C1181" s="582" t="s">
        <v>93</v>
      </c>
      <c r="D1181" s="591">
        <f>(1-D1180)*D1178</f>
        <v>4682.5391116886522</v>
      </c>
      <c r="E1181" s="591">
        <f>(1-E1180)*E1178</f>
        <v>6801.7247999999972</v>
      </c>
      <c r="F1181" s="591">
        <f t="shared" ref="F1181:K1181" si="155">(1-F1180)*F1178</f>
        <v>7709.3712000000005</v>
      </c>
      <c r="G1181" s="591">
        <f t="shared" si="155"/>
        <v>7369.367064109927</v>
      </c>
      <c r="H1181" s="591">
        <f t="shared" si="155"/>
        <v>7829.4286893556146</v>
      </c>
      <c r="I1181" s="591">
        <f t="shared" si="155"/>
        <v>7691.6335168954784</v>
      </c>
      <c r="J1181" s="591">
        <f t="shared" si="155"/>
        <v>7788.5715078080912</v>
      </c>
      <c r="K1181" s="591">
        <f t="shared" si="155"/>
        <v>7945.9528618379127</v>
      </c>
    </row>
    <row r="1184" spans="3:11">
      <c r="C1184" s="582" t="s">
        <v>113</v>
      </c>
      <c r="D1184" s="590">
        <v>0.11</v>
      </c>
      <c r="E1184" s="584" t="s">
        <v>123</v>
      </c>
    </row>
    <row r="1185" spans="3:11">
      <c r="C1185" s="582" t="s">
        <v>1134</v>
      </c>
      <c r="D1185" s="589">
        <f>D1184*(1-G1180)</f>
        <v>7.9199999999999993E-2</v>
      </c>
      <c r="E1185" s="584"/>
    </row>
    <row r="1187" spans="3:11">
      <c r="C1187" s="582" t="s">
        <v>226</v>
      </c>
      <c r="E1187" s="584"/>
      <c r="F1187" s="584"/>
      <c r="G1187" s="587">
        <f>D1185*(D1154+D1143)</f>
        <v>6207.1340759999994</v>
      </c>
      <c r="H1187" s="17">
        <f>G1187</f>
        <v>6207.1340759999994</v>
      </c>
      <c r="I1187" s="17">
        <f>H1187</f>
        <v>6207.1340759999994</v>
      </c>
      <c r="J1187" s="17">
        <f>I1187</f>
        <v>6207.1340759999994</v>
      </c>
      <c r="K1187" s="17">
        <f>J1187</f>
        <v>6207.1340759999994</v>
      </c>
    </row>
    <row r="1188" spans="3:11">
      <c r="C1188" s="582" t="s">
        <v>847</v>
      </c>
      <c r="E1188" s="584"/>
      <c r="F1188" s="584"/>
      <c r="G1188" s="587">
        <f>F1188+G1187</f>
        <v>6207.1340759999994</v>
      </c>
      <c r="H1188" s="587">
        <f>G1188+H1187</f>
        <v>12414.268151999999</v>
      </c>
      <c r="I1188" s="587">
        <f>H1188+I1187</f>
        <v>18621.402227999999</v>
      </c>
      <c r="J1188" s="587">
        <f>I1188+J1187</f>
        <v>24828.536303999997</v>
      </c>
      <c r="K1188" s="587">
        <f>J1188+K1187</f>
        <v>31035.670379999996</v>
      </c>
    </row>
    <row r="1192" spans="3:11">
      <c r="C1192" s="621" t="s">
        <v>122</v>
      </c>
    </row>
    <row r="1193" spans="3:11">
      <c r="C1193" s="594"/>
    </row>
    <row r="1194" spans="3:11">
      <c r="C1194" s="583" t="s">
        <v>1154</v>
      </c>
      <c r="D1194" s="583">
        <v>2021</v>
      </c>
      <c r="E1194" s="583">
        <v>2022</v>
      </c>
      <c r="F1194" s="583">
        <v>2023</v>
      </c>
      <c r="G1194" s="583">
        <f>F1194+1</f>
        <v>2024</v>
      </c>
      <c r="H1194" s="583">
        <f>G1194+1</f>
        <v>2025</v>
      </c>
      <c r="I1194" s="583">
        <f>H1194+1</f>
        <v>2026</v>
      </c>
      <c r="J1194" s="583">
        <f>I1194+1</f>
        <v>2027</v>
      </c>
      <c r="K1194" s="583">
        <f>J1194+1</f>
        <v>2028</v>
      </c>
    </row>
    <row r="1195" spans="3:11">
      <c r="D1195" s="581"/>
      <c r="E1195" s="581"/>
      <c r="F1195" s="581"/>
      <c r="G1195" s="581"/>
      <c r="H1195" s="581"/>
      <c r="I1195" s="581"/>
      <c r="J1195" s="581"/>
      <c r="K1195" s="581"/>
    </row>
    <row r="1196" spans="3:11">
      <c r="C1196" s="582" t="s">
        <v>1136</v>
      </c>
      <c r="E1196" s="584"/>
      <c r="F1196" s="584"/>
      <c r="G1196" s="591">
        <f t="shared" ref="G1196:K1197" si="156">G1119</f>
        <v>71357.943700650037</v>
      </c>
      <c r="H1196" s="591">
        <f t="shared" si="156"/>
        <v>78461.196660550137</v>
      </c>
      <c r="I1196" s="591">
        <f t="shared" si="156"/>
        <v>81821.292626076247</v>
      </c>
      <c r="J1196" s="591">
        <f t="shared" si="156"/>
        <v>84906.629577338696</v>
      </c>
      <c r="K1196" s="591">
        <f t="shared" si="156"/>
        <v>87567.07785788746</v>
      </c>
    </row>
    <row r="1197" spans="3:11">
      <c r="C1197" s="582" t="s">
        <v>295</v>
      </c>
      <c r="E1197" s="584"/>
      <c r="F1197" s="584"/>
      <c r="G1197" s="591">
        <f t="shared" si="156"/>
        <v>27043.422999999999</v>
      </c>
      <c r="H1197" s="591">
        <f t="shared" si="156"/>
        <v>30468.993999999999</v>
      </c>
      <c r="I1197" s="591">
        <f t="shared" si="156"/>
        <v>32286.897966000004</v>
      </c>
      <c r="J1197" s="591">
        <f t="shared" si="156"/>
        <v>34309.585730000006</v>
      </c>
      <c r="K1197" s="591">
        <f t="shared" si="156"/>
        <v>36313.902131886702</v>
      </c>
    </row>
    <row r="1198" spans="3:11">
      <c r="C1198" s="581" t="s">
        <v>90</v>
      </c>
      <c r="D1198" s="233"/>
      <c r="E1198" s="594"/>
      <c r="F1198" s="594"/>
      <c r="G1198" s="627">
        <f>G1196/G1197</f>
        <v>2.6386431813994125</v>
      </c>
      <c r="H1198" s="627">
        <f>H1196/H1197</f>
        <v>2.5751160888524951</v>
      </c>
      <c r="I1198" s="627">
        <f>I1196/I1197</f>
        <v>2.5341949143655382</v>
      </c>
      <c r="J1198" s="627">
        <f>J1196/J1197</f>
        <v>2.4747203375031446</v>
      </c>
      <c r="K1198" s="627">
        <f>K1196/K1197</f>
        <v>2.4113926820603533</v>
      </c>
    </row>
    <row r="1199" spans="3:11">
      <c r="C1199" s="582" t="s">
        <v>31</v>
      </c>
      <c r="E1199" s="584"/>
      <c r="F1199" s="584"/>
      <c r="G1199" s="591">
        <f t="shared" ref="G1199:K1200" si="157">G1122</f>
        <v>-375.31137995005474</v>
      </c>
      <c r="H1199" s="591">
        <f t="shared" si="157"/>
        <v>3542.7999700499458</v>
      </c>
      <c r="I1199" s="591">
        <f t="shared" si="157"/>
        <v>4458.8695154739016</v>
      </c>
      <c r="J1199" s="591">
        <f t="shared" si="157"/>
        <v>5319.8667110275437</v>
      </c>
      <c r="K1199" s="591">
        <f t="shared" si="157"/>
        <v>6390.915651124129</v>
      </c>
    </row>
    <row r="1200" spans="3:11">
      <c r="C1200" s="582" t="s">
        <v>1111</v>
      </c>
      <c r="E1200" s="584"/>
      <c r="F1200" s="584"/>
      <c r="G1200" s="591">
        <f t="shared" si="157"/>
        <v>858.50049999999999</v>
      </c>
      <c r="H1200" s="591">
        <f t="shared" si="157"/>
        <v>858.12400000000002</v>
      </c>
      <c r="I1200" s="591">
        <f t="shared" si="157"/>
        <v>858.12400000000002</v>
      </c>
      <c r="J1200" s="591">
        <f t="shared" si="157"/>
        <v>858.12400000000002</v>
      </c>
      <c r="K1200" s="591">
        <f t="shared" si="157"/>
        <v>858.12400000000002</v>
      </c>
    </row>
    <row r="1201" spans="3:12">
      <c r="C1201" s="582" t="s">
        <v>1137</v>
      </c>
      <c r="E1201" s="584"/>
      <c r="F1201" s="584"/>
      <c r="G1201" s="593">
        <f>G1199/G1200</f>
        <v>-0.437170834437551</v>
      </c>
      <c r="H1201" s="593">
        <f>H1199/H1200</f>
        <v>4.1285408286564014</v>
      </c>
      <c r="I1201" s="593">
        <f>I1199/I1200</f>
        <v>5.1960666704041625</v>
      </c>
      <c r="J1201" s="593">
        <f>J1199/J1200</f>
        <v>6.1994148992774276</v>
      </c>
      <c r="K1201" s="593">
        <f>K1199/K1200</f>
        <v>7.4475433050749409</v>
      </c>
    </row>
    <row r="1202" spans="3:12">
      <c r="C1202" s="582" t="s">
        <v>30</v>
      </c>
      <c r="E1202" s="584"/>
      <c r="F1202" s="584"/>
      <c r="G1202" s="591">
        <f>G1129</f>
        <v>122507.40349065003</v>
      </c>
      <c r="H1202" s="591">
        <f>H1129</f>
        <v>129588.22458055013</v>
      </c>
      <c r="I1202" s="591">
        <f>I1129</f>
        <v>132948.32054607625</v>
      </c>
      <c r="J1202" s="591">
        <f>J1129</f>
        <v>136033.65749733869</v>
      </c>
      <c r="K1202" s="591">
        <f>K1129</f>
        <v>138694.10577788745</v>
      </c>
    </row>
    <row r="1203" spans="3:12">
      <c r="C1203" s="582" t="s">
        <v>19</v>
      </c>
      <c r="E1203" s="584"/>
      <c r="F1203" s="584"/>
      <c r="G1203" s="592">
        <f>G1202/G1197</f>
        <v>4.5300257844818699</v>
      </c>
      <c r="H1203" s="592">
        <f>H1202/H1197</f>
        <v>4.2531179263926511</v>
      </c>
      <c r="I1203" s="592">
        <f>I1202/I1197</f>
        <v>4.117717369010756</v>
      </c>
      <c r="J1203" s="592">
        <f>J1202/J1197</f>
        <v>3.9648877887322325</v>
      </c>
      <c r="K1203" s="592">
        <f>K1202/K1197</f>
        <v>3.8193115483478213</v>
      </c>
    </row>
    <row r="1204" spans="3:12">
      <c r="C1204" s="582" t="s">
        <v>671</v>
      </c>
      <c r="E1204" s="584"/>
      <c r="F1204" s="584"/>
      <c r="G1204" s="591">
        <f>G1127</f>
        <v>51149.459790000001</v>
      </c>
      <c r="H1204" s="591">
        <f>H1200*Valuation!$C$4</f>
        <v>51127.02792</v>
      </c>
      <c r="I1204" s="591">
        <f>I1200*Valuation!$C$4</f>
        <v>51127.02792</v>
      </c>
      <c r="J1204" s="591">
        <f>J1200*Valuation!$C$4</f>
        <v>51127.02792</v>
      </c>
      <c r="K1204" s="591">
        <f>K1200*Valuation!$C$4</f>
        <v>51127.02792</v>
      </c>
    </row>
    <row r="1205" spans="3:12">
      <c r="C1205" s="584"/>
      <c r="D1205" s="591"/>
      <c r="E1205" s="591"/>
      <c r="F1205" s="591"/>
      <c r="G1205" s="591"/>
      <c r="H1205" s="591"/>
      <c r="I1205" s="591"/>
      <c r="J1205" s="591"/>
      <c r="K1205" s="591"/>
    </row>
    <row r="1206" spans="3:12">
      <c r="C1206" s="583" t="s">
        <v>955</v>
      </c>
      <c r="D1206" s="583">
        <v>2021</v>
      </c>
      <c r="E1206" s="583">
        <v>2022</v>
      </c>
      <c r="F1206" s="583">
        <v>2023</v>
      </c>
      <c r="G1206" s="583">
        <f>F1206+1</f>
        <v>2024</v>
      </c>
      <c r="H1206" s="583">
        <f>G1206+1</f>
        <v>2025</v>
      </c>
      <c r="I1206" s="583">
        <f>H1206+1</f>
        <v>2026</v>
      </c>
      <c r="J1206" s="583">
        <f>I1206+1</f>
        <v>2027</v>
      </c>
      <c r="K1206" s="583">
        <f>J1206+1</f>
        <v>2028</v>
      </c>
    </row>
    <row r="1207" spans="3:12">
      <c r="C1207" s="584"/>
      <c r="D1207" s="591"/>
      <c r="E1207" s="591"/>
      <c r="F1207" s="591"/>
      <c r="G1207" s="591"/>
      <c r="H1207" s="591"/>
      <c r="I1207" s="591"/>
      <c r="J1207" s="591"/>
      <c r="K1207" s="591"/>
    </row>
    <row r="1208" spans="3:12">
      <c r="C1208" s="594" t="s">
        <v>1155</v>
      </c>
      <c r="D1208" s="591"/>
      <c r="E1208" s="591"/>
      <c r="F1208" s="591"/>
      <c r="G1208" s="591"/>
      <c r="H1208" s="591"/>
      <c r="I1208" s="591"/>
      <c r="J1208" s="591"/>
      <c r="K1208" s="591"/>
    </row>
    <row r="1209" spans="3:12">
      <c r="C1209" s="584" t="s">
        <v>1156</v>
      </c>
      <c r="D1209" s="591"/>
      <c r="E1209" s="591"/>
      <c r="F1209" s="591"/>
      <c r="G1209" s="591">
        <v>0</v>
      </c>
      <c r="H1209" s="591">
        <v>1150</v>
      </c>
      <c r="I1209" s="591">
        <v>2300</v>
      </c>
      <c r="J1209" s="591">
        <v>2300</v>
      </c>
      <c r="K1209" s="591">
        <v>2300</v>
      </c>
      <c r="L1209" s="638" t="s">
        <v>1157</v>
      </c>
    </row>
    <row r="1210" spans="3:12">
      <c r="C1210" s="584" t="s">
        <v>1158</v>
      </c>
      <c r="D1210" s="591"/>
      <c r="E1210" s="591"/>
      <c r="F1210" s="591"/>
      <c r="G1210" s="591">
        <f>3397</f>
        <v>3397</v>
      </c>
      <c r="H1210" s="591">
        <v>2944</v>
      </c>
      <c r="I1210" s="591">
        <v>2074</v>
      </c>
      <c r="J1210" s="591">
        <v>1608</v>
      </c>
      <c r="K1210" s="591">
        <v>1469</v>
      </c>
      <c r="L1210" s="638" t="s">
        <v>1157</v>
      </c>
    </row>
    <row r="1211" spans="3:12">
      <c r="C1211" s="584" t="s">
        <v>1159</v>
      </c>
      <c r="D1211" s="591"/>
      <c r="E1211" s="591"/>
      <c r="F1211" s="591"/>
      <c r="G1211" s="591">
        <v>0</v>
      </c>
      <c r="H1211" s="591">
        <v>-1500</v>
      </c>
      <c r="I1211" s="591">
        <v>-500</v>
      </c>
      <c r="J1211" s="591"/>
      <c r="K1211" s="591"/>
      <c r="L1211" s="638" t="s">
        <v>1157</v>
      </c>
    </row>
    <row r="1212" spans="3:12">
      <c r="C1212" s="584"/>
      <c r="D1212" s="591"/>
      <c r="E1212" s="591"/>
      <c r="F1212" s="591"/>
      <c r="G1212" s="591"/>
      <c r="H1212" s="591"/>
      <c r="I1212" s="591"/>
      <c r="J1212" s="591"/>
      <c r="K1212" s="591"/>
    </row>
    <row r="1213" spans="3:12">
      <c r="C1213" s="594" t="s">
        <v>1160</v>
      </c>
      <c r="D1213" s="591"/>
      <c r="E1213" s="591"/>
      <c r="F1213" s="591"/>
      <c r="G1213" s="591"/>
      <c r="H1213" s="591"/>
      <c r="I1213" s="591"/>
      <c r="J1213" s="591"/>
      <c r="K1213" s="591"/>
    </row>
    <row r="1214" spans="3:12">
      <c r="C1214" s="584" t="s">
        <v>958</v>
      </c>
      <c r="D1214" s="591"/>
      <c r="E1214" s="591"/>
      <c r="F1214" s="591"/>
      <c r="G1214" s="591">
        <f>(G1063-G1065)*$D$1084+(Master!X8-Master!X13)+(G1166-G1170)</f>
        <v>122539.81526103837</v>
      </c>
      <c r="H1214" s="591">
        <f>(H1063-H1065)*$D$1084+(Master!Y8-Master!Y13)+(H1166-H1170)</f>
        <v>123545.7222968329</v>
      </c>
      <c r="I1214" s="591">
        <f>(I1063-I1065)*$D$1084+(Master!Z8-Master!Z13)+(I1166-I1170)</f>
        <v>127256.82893950213</v>
      </c>
      <c r="J1214" s="591">
        <f>(J1063-J1065)*$D$1084+(Master!AA8-Master!AA13)+(J1166-J1170)</f>
        <v>130614.97474992067</v>
      </c>
      <c r="K1214" s="591">
        <f>(K1063-K1065)*$D$1084+(Master!AB8-Master!AB13)+(K1166-K1170)</f>
        <v>134161.55841880804</v>
      </c>
    </row>
    <row r="1215" spans="3:12">
      <c r="C1215" s="584" t="s">
        <v>960</v>
      </c>
      <c r="D1215" s="591"/>
      <c r="E1215" s="591"/>
      <c r="F1215" s="591"/>
      <c r="G1215" s="591">
        <f>G1069*$D$1084+Master!X43+G1176</f>
        <v>30743.64077004655</v>
      </c>
      <c r="H1215" s="591">
        <f>H1069*$D$1084+Master!Y43+H1176</f>
        <v>29279.089727155319</v>
      </c>
      <c r="I1215" s="591">
        <f>I1069*$D$1084+Master!Z43+I1176</f>
        <v>30263.595225801822</v>
      </c>
      <c r="J1215" s="591">
        <f>J1069*$D$1084+Master!AA43+J1176</f>
        <v>30689.783887009165</v>
      </c>
      <c r="K1215" s="591">
        <f>K1069*$D$1084+Master!AB43+K1176</f>
        <v>31211.159441384429</v>
      </c>
    </row>
    <row r="1216" spans="3:12">
      <c r="C1216" s="584" t="s">
        <v>1161</v>
      </c>
      <c r="D1216" s="591"/>
      <c r="E1216" s="591"/>
      <c r="F1216" s="591"/>
      <c r="G1216" s="591">
        <f>G1214+G1215</f>
        <v>153283.45603108493</v>
      </c>
      <c r="H1216" s="591">
        <f>H1214+H1215</f>
        <v>152824.81202398823</v>
      </c>
      <c r="I1216" s="591">
        <f>I1214+I1215</f>
        <v>157520.42416530394</v>
      </c>
      <c r="J1216" s="591">
        <f>J1214+J1215</f>
        <v>161304.75863692985</v>
      </c>
      <c r="K1216" s="591">
        <f>K1214+K1215</f>
        <v>165372.71786019247</v>
      </c>
    </row>
    <row r="1217" spans="3:11">
      <c r="C1217" s="584" t="s">
        <v>1162</v>
      </c>
      <c r="D1217" s="591"/>
      <c r="E1217" s="591"/>
      <c r="F1217" s="591"/>
      <c r="G1217" s="633">
        <v>0.05</v>
      </c>
      <c r="H1217" s="636"/>
      <c r="I1217" s="636"/>
      <c r="J1217" s="636"/>
      <c r="K1217" s="636"/>
    </row>
    <row r="1218" spans="3:11">
      <c r="C1218" s="584" t="s">
        <v>1163</v>
      </c>
      <c r="D1218" s="591"/>
      <c r="E1218" s="591"/>
      <c r="F1218" s="591"/>
      <c r="G1218" s="591">
        <f>G1217*G1216</f>
        <v>7664.1728015542467</v>
      </c>
      <c r="H1218" s="635">
        <f>G1218</f>
        <v>7664.1728015542467</v>
      </c>
      <c r="I1218" s="635">
        <f>H1218</f>
        <v>7664.1728015542467</v>
      </c>
      <c r="J1218" s="635">
        <f>I1218</f>
        <v>7664.1728015542467</v>
      </c>
      <c r="K1218" s="635">
        <f>J1218</f>
        <v>7664.1728015542467</v>
      </c>
    </row>
    <row r="1219" spans="3:11">
      <c r="C1219" s="584" t="s">
        <v>1164</v>
      </c>
      <c r="D1219" s="591"/>
      <c r="E1219" s="591"/>
      <c r="F1219" s="591"/>
      <c r="G1219" s="591">
        <f>-G1218/2</f>
        <v>-3832.0864007771233</v>
      </c>
      <c r="H1219" s="591">
        <f>-G1218/2</f>
        <v>-3832.0864007771233</v>
      </c>
      <c r="I1219" s="591"/>
      <c r="J1219" s="591"/>
      <c r="K1219" s="591"/>
    </row>
    <row r="1220" spans="3:11">
      <c r="C1220" s="594" t="s">
        <v>1160</v>
      </c>
      <c r="D1220" s="595"/>
      <c r="E1220" s="595"/>
      <c r="F1220" s="595"/>
      <c r="G1220" s="595">
        <f>G1218+G1219</f>
        <v>3832.0864007771233</v>
      </c>
      <c r="H1220" s="595">
        <f>H1218+H1219</f>
        <v>3832.0864007771233</v>
      </c>
      <c r="I1220" s="595">
        <f>I1218+I1219</f>
        <v>7664.1728015542467</v>
      </c>
      <c r="J1220" s="595">
        <f>J1218+J1219</f>
        <v>7664.1728015542467</v>
      </c>
      <c r="K1220" s="595">
        <f>K1218+K1219</f>
        <v>7664.1728015542467</v>
      </c>
    </row>
    <row r="1221" spans="3:11">
      <c r="C1221" s="584"/>
      <c r="D1221" s="591"/>
      <c r="E1221" s="591"/>
      <c r="F1221" s="591"/>
      <c r="G1221" s="591"/>
      <c r="H1221" s="591"/>
      <c r="I1221" s="591"/>
      <c r="J1221" s="591"/>
      <c r="K1221" s="591"/>
    </row>
    <row r="1222" spans="3:11">
      <c r="C1222" s="584" t="s">
        <v>1156</v>
      </c>
      <c r="D1222" s="591"/>
      <c r="E1222" s="591"/>
      <c r="F1222" s="591"/>
      <c r="G1222" s="591">
        <f>G1214/G1216*G1218</f>
        <v>6126.9907630519183</v>
      </c>
      <c r="H1222" s="591">
        <f>H1214/H1216*H1218</f>
        <v>6195.824827365951</v>
      </c>
      <c r="I1222" s="591">
        <f>I1214/I1216*I1218</f>
        <v>6191.6943935261506</v>
      </c>
      <c r="J1222" s="591">
        <f>J1214/J1216*J1218</f>
        <v>6205.9901109752527</v>
      </c>
      <c r="K1222" s="591">
        <f>K1214/K1216*K1218</f>
        <v>6217.6964879832267</v>
      </c>
    </row>
    <row r="1223" spans="3:11">
      <c r="C1223" s="584" t="s">
        <v>1158</v>
      </c>
      <c r="D1223" s="591"/>
      <c r="E1223" s="591"/>
      <c r="F1223" s="591"/>
      <c r="G1223" s="591">
        <f>G1215/G1216*G1218</f>
        <v>1537.1820385023275</v>
      </c>
      <c r="H1223" s="591">
        <f>H1215/H1216*H1218</f>
        <v>1468.3479741882954</v>
      </c>
      <c r="I1223" s="591">
        <f>I1215/I1216*I1218</f>
        <v>1472.4784080280967</v>
      </c>
      <c r="J1223" s="591">
        <f>J1215/J1216*J1218</f>
        <v>1458.1826905789931</v>
      </c>
      <c r="K1223" s="591">
        <f>K1215/K1216*K1218</f>
        <v>1446.47631357102</v>
      </c>
    </row>
    <row r="1224" spans="3:11">
      <c r="C1224" s="584" t="s">
        <v>1159</v>
      </c>
      <c r="D1224" s="591"/>
      <c r="E1224" s="591"/>
      <c r="F1224" s="591"/>
      <c r="G1224" s="591">
        <f>G1219</f>
        <v>-3832.0864007771233</v>
      </c>
      <c r="H1224" s="591">
        <f>H1219</f>
        <v>-3832.0864007771233</v>
      </c>
      <c r="I1224" s="591">
        <f>I1219</f>
        <v>0</v>
      </c>
      <c r="J1224" s="591">
        <f>J1219</f>
        <v>0</v>
      </c>
      <c r="K1224" s="591">
        <f>K1219</f>
        <v>0</v>
      </c>
    </row>
    <row r="1225" spans="3:11">
      <c r="C1225" s="584"/>
      <c r="D1225" s="591"/>
      <c r="E1225" s="591"/>
      <c r="F1225" s="591"/>
      <c r="G1225" s="591"/>
      <c r="H1225" s="591"/>
      <c r="I1225" s="591"/>
      <c r="J1225" s="591"/>
      <c r="K1225" s="591"/>
    </row>
    <row r="1226" spans="3:11">
      <c r="C1226" s="584"/>
      <c r="D1226" s="591"/>
      <c r="E1226" s="591"/>
      <c r="F1226" s="591"/>
      <c r="G1226" s="591"/>
      <c r="H1226" s="591"/>
      <c r="I1226" s="591"/>
      <c r="J1226" s="591"/>
      <c r="K1226" s="591"/>
    </row>
    <row r="1227" spans="3:11">
      <c r="C1227" s="584"/>
      <c r="D1227" s="591"/>
      <c r="E1227" s="591"/>
      <c r="F1227" s="591"/>
      <c r="G1227" s="591"/>
      <c r="H1227" s="591"/>
      <c r="I1227" s="591"/>
      <c r="J1227" s="591"/>
      <c r="K1227" s="591"/>
    </row>
    <row r="1228" spans="3:11">
      <c r="C1228" s="583" t="s">
        <v>1138</v>
      </c>
      <c r="D1228" s="583">
        <v>2021</v>
      </c>
      <c r="E1228" s="583">
        <v>2022</v>
      </c>
      <c r="F1228" s="583">
        <v>2023</v>
      </c>
      <c r="G1228" s="583">
        <f>F1228+1</f>
        <v>2024</v>
      </c>
      <c r="H1228" s="583">
        <f>G1228+1</f>
        <v>2025</v>
      </c>
      <c r="I1228" s="583">
        <f>H1228+1</f>
        <v>2026</v>
      </c>
      <c r="J1228" s="583">
        <f>I1228+1</f>
        <v>2027</v>
      </c>
      <c r="K1228" s="583">
        <f>J1228+1</f>
        <v>2028</v>
      </c>
    </row>
    <row r="1229" spans="3:11">
      <c r="C1229" s="581"/>
      <c r="D1229" s="581"/>
      <c r="E1229" s="581"/>
      <c r="F1229" s="581"/>
      <c r="G1229" s="581"/>
      <c r="H1229" s="581"/>
      <c r="I1229" s="581"/>
      <c r="J1229" s="581"/>
      <c r="K1229" s="581"/>
    </row>
    <row r="1230" spans="3:11">
      <c r="C1230" s="584" t="str">
        <f>C1196</f>
        <v xml:space="preserve">MEGA net debt </v>
      </c>
      <c r="E1230" s="584"/>
      <c r="F1230" s="584"/>
      <c r="G1230" s="591">
        <f>G1196+$D$1143+$D$1154</f>
        <v>149730.84870065004</v>
      </c>
      <c r="H1230" s="591">
        <f>H1196+$D$1143+$D$1154</f>
        <v>156834.10166055014</v>
      </c>
      <c r="I1230" s="591">
        <f>I1196+$D$1143+$D$1154</f>
        <v>160194.19762607626</v>
      </c>
      <c r="J1230" s="591">
        <f>J1196+$D$1143+$D$1154</f>
        <v>163279.53457733869</v>
      </c>
      <c r="K1230" s="591">
        <f>K1196+$D$1143+$D$1154</f>
        <v>165939.98285788746</v>
      </c>
    </row>
    <row r="1231" spans="3:11">
      <c r="C1231" s="582" t="s">
        <v>295</v>
      </c>
      <c r="E1231" s="584"/>
      <c r="F1231" s="584"/>
      <c r="G1231" s="591">
        <f>G1197+G1170+G1209/2+G1211/2+G1222/2+G1224/2</f>
        <v>51292.555984669962</v>
      </c>
      <c r="H1231" s="591">
        <f>H1197+H1170+H1209+H1211+H1222+H1224</f>
        <v>55649.637666738054</v>
      </c>
      <c r="I1231" s="591">
        <f>I1197+I1170+I1209+I1211+I1222+I1224</f>
        <v>63474.749245649473</v>
      </c>
      <c r="J1231" s="591">
        <f>J1197+J1170+J1209+J1211+J1222+J1224</f>
        <v>66192.391612395659</v>
      </c>
      <c r="K1231" s="591">
        <f>K1197+K1170+K1209+K1211+K1222+K1224</f>
        <v>68557.330751162604</v>
      </c>
    </row>
    <row r="1232" spans="3:11">
      <c r="C1232" s="600" t="s">
        <v>90</v>
      </c>
      <c r="D1232" s="605"/>
      <c r="E1232" s="606"/>
      <c r="F1232" s="607"/>
      <c r="G1232" s="608">
        <f>G1230/G1231</f>
        <v>2.9191535852765997</v>
      </c>
      <c r="H1232" s="608">
        <f>H1230/H1231</f>
        <v>2.8182412004146853</v>
      </c>
      <c r="I1232" s="608">
        <f>I1230/I1231</f>
        <v>2.5237468368109526</v>
      </c>
      <c r="J1232" s="608">
        <f>J1230/J1231</f>
        <v>2.4667417296757987</v>
      </c>
      <c r="K1232" s="609">
        <f>K1230/K1231</f>
        <v>2.4204557126091641</v>
      </c>
    </row>
    <row r="1233" spans="3:11">
      <c r="C1233" s="582" t="s">
        <v>31</v>
      </c>
      <c r="E1233" s="584"/>
      <c r="F1233" s="584"/>
      <c r="G1233" s="591">
        <f>G1199+G1181-G1187+G1209/2+G1210/2+G1211/2+G1222/2+G1223/2+G1224/2</f>
        <v>4401.4648085484332</v>
      </c>
      <c r="H1233" s="591">
        <f>H1199+H1181-H1187+H1209+H1210+H1211+H1222+H1223+H1224</f>
        <v>11591.180984182683</v>
      </c>
      <c r="I1233" s="591">
        <f>I1199+I1181-I1187+I1209+I1210+I1211+I1222+I1223+I1224</f>
        <v>17481.541757923627</v>
      </c>
      <c r="J1233" s="591">
        <f>J1199+J1181-J1187+J1209+J1210+J1211+J1222+J1223+J1224</f>
        <v>18473.476944389884</v>
      </c>
      <c r="K1233" s="591">
        <f>K1199+K1181-K1187+K1209+K1210+K1211+K1222+K1223+K1224</f>
        <v>19562.907238516291</v>
      </c>
    </row>
    <row r="1234" spans="3:11">
      <c r="C1234" s="582" t="s">
        <v>1139</v>
      </c>
      <c r="E1234" s="584"/>
      <c r="F1234" s="584"/>
      <c r="G1234" s="591">
        <f>G1200+$D$1157</f>
        <v>977.92136270560593</v>
      </c>
      <c r="H1234" s="591">
        <f>H1200+$D$1157</f>
        <v>977.54486270560596</v>
      </c>
      <c r="I1234" s="591">
        <f>I1200+$D$1157</f>
        <v>977.54486270560596</v>
      </c>
      <c r="J1234" s="591">
        <f>J1200+$D$1157</f>
        <v>977.54486270560596</v>
      </c>
      <c r="K1234" s="591">
        <f>K1200+$D$1157</f>
        <v>977.54486270560596</v>
      </c>
    </row>
    <row r="1235" spans="3:11">
      <c r="C1235" s="582" t="s">
        <v>1140</v>
      </c>
      <c r="E1235" s="584"/>
      <c r="F1235" s="584"/>
      <c r="G1235" s="593">
        <f>G1233/G1234</f>
        <v>4.5008371597189996</v>
      </c>
      <c r="H1235" s="593">
        <f>H1233/H1234</f>
        <v>11.857441460130145</v>
      </c>
      <c r="I1235" s="593">
        <f>I1233/I1234</f>
        <v>17.883109435549567</v>
      </c>
      <c r="J1235" s="593">
        <f>J1233/J1234</f>
        <v>18.897830318763891</v>
      </c>
      <c r="K1235" s="593">
        <f>K1233/K1234</f>
        <v>20.012285865193881</v>
      </c>
    </row>
    <row r="1236" spans="3:11">
      <c r="C1236" s="623" t="s">
        <v>131</v>
      </c>
      <c r="D1236" s="605"/>
      <c r="E1236" s="606"/>
      <c r="F1236" s="624"/>
      <c r="G1236" s="625">
        <f>G1235/G1201-1</f>
        <v>-11.295373810811562</v>
      </c>
      <c r="H1236" s="625">
        <f>H1235/H1201-1</f>
        <v>1.8720659313399715</v>
      </c>
      <c r="I1236" s="625">
        <f>I1235/I1201-1</f>
        <v>2.4416628134139349</v>
      </c>
      <c r="J1236" s="625">
        <f>J1235/J1201-1</f>
        <v>2.048324821906423</v>
      </c>
      <c r="K1236" s="626">
        <f>K1235/K1201-1</f>
        <v>1.6870989594054477</v>
      </c>
    </row>
    <row r="1238" spans="3:11">
      <c r="C1238" s="582" t="s">
        <v>1141</v>
      </c>
      <c r="E1238" s="584"/>
      <c r="F1238" s="584"/>
      <c r="G1238" s="591">
        <f>G1234*Valuation!$C$4</f>
        <v>58264.554790000002</v>
      </c>
      <c r="H1238" s="591">
        <f>H1234*Valuation!$C$4</f>
        <v>58242.122920000002</v>
      </c>
      <c r="I1238" s="591">
        <f>I1234*Valuation!$C$4</f>
        <v>58242.122920000002</v>
      </c>
      <c r="J1238" s="591">
        <f>J1234*Valuation!$C$4</f>
        <v>58242.122920000002</v>
      </c>
      <c r="K1238" s="591">
        <f>K1234*Valuation!$C$4</f>
        <v>58242.122920000002</v>
      </c>
    </row>
    <row r="1239" spans="3:11">
      <c r="C1239" s="582" t="s">
        <v>1142</v>
      </c>
      <c r="E1239" s="584"/>
      <c r="F1239" s="584"/>
      <c r="G1239" s="591">
        <f>G1230</f>
        <v>149730.84870065004</v>
      </c>
      <c r="H1239" s="591">
        <f>H1230</f>
        <v>156834.10166055014</v>
      </c>
      <c r="I1239" s="591">
        <f>I1230</f>
        <v>160194.19762607626</v>
      </c>
      <c r="J1239" s="591">
        <f>J1230</f>
        <v>163279.53457733869</v>
      </c>
      <c r="K1239" s="591">
        <f>K1230</f>
        <v>165939.98285788746</v>
      </c>
    </row>
    <row r="1240" spans="3:11">
      <c r="C1240" s="582" t="s">
        <v>1143</v>
      </c>
      <c r="E1240" s="584"/>
      <c r="F1240" s="584"/>
      <c r="G1240" s="591">
        <f>G1238+G1239</f>
        <v>207995.40349065003</v>
      </c>
      <c r="H1240" s="591">
        <f>H1238+H1239</f>
        <v>215076.22458055013</v>
      </c>
      <c r="I1240" s="591">
        <f>I1238+I1239</f>
        <v>218436.32054607625</v>
      </c>
      <c r="J1240" s="591">
        <f>J1238+J1239</f>
        <v>221521.65749733869</v>
      </c>
      <c r="K1240" s="591">
        <f>K1238+K1239</f>
        <v>224182.10577788745</v>
      </c>
    </row>
    <row r="1241" spans="3:11">
      <c r="C1241" s="582" t="s">
        <v>1144</v>
      </c>
      <c r="E1241" s="584"/>
      <c r="F1241" s="584"/>
      <c r="G1241" s="592">
        <f>G1240/G1231</f>
        <v>4.0550797186401581</v>
      </c>
      <c r="H1241" s="592">
        <f>H1240/H1231</f>
        <v>3.8648270428740239</v>
      </c>
      <c r="I1241" s="592">
        <f>I1240/I1231</f>
        <v>3.4413104918417265</v>
      </c>
      <c r="J1241" s="592">
        <f>J1240/J1231</f>
        <v>3.3466332323283958</v>
      </c>
      <c r="K1241" s="592">
        <f>K1240/K1231</f>
        <v>3.2699946646345439</v>
      </c>
    </row>
    <row r="1242" spans="3:11">
      <c r="C1242" s="623" t="s">
        <v>131</v>
      </c>
      <c r="D1242" s="605"/>
      <c r="E1242" s="606"/>
      <c r="F1242" s="624"/>
      <c r="G1242" s="625">
        <f>G1241/G1203-1</f>
        <v>-0.10484400938040894</v>
      </c>
      <c r="H1242" s="625">
        <f>H1241/H1203-1</f>
        <v>-9.1295583672649783E-2</v>
      </c>
      <c r="I1242" s="625">
        <f>I1241/I1203-1</f>
        <v>-0.16426743667730892</v>
      </c>
      <c r="J1242" s="625">
        <f>J1241/J1203-1</f>
        <v>-0.15593242213836345</v>
      </c>
      <c r="K1242" s="626">
        <f>K1241/K1203-1</f>
        <v>-0.14382615211134164</v>
      </c>
    </row>
  </sheetData>
  <sortState xmlns:xlrd2="http://schemas.microsoft.com/office/spreadsheetml/2017/richdata2" ref="R332:X363">
    <sortCondition descending="1" ref="U332:U363"/>
  </sortState>
  <mergeCells count="2">
    <mergeCell ref="M771:Q771"/>
    <mergeCell ref="K773:K777"/>
  </mergeCells>
  <phoneticPr fontId="122" type="noConversion"/>
  <conditionalFormatting sqref="M773:Q777">
    <cfRule type="colorScale" priority="1">
      <colorScale>
        <cfvo type="min"/>
        <cfvo type="max"/>
        <color theme="4" tint="0.79998168889431442"/>
        <color theme="3" tint="0.39997558519241921"/>
      </colorScale>
    </cfRule>
    <cfRule type="colorScale" priority="2">
      <colorScale>
        <cfvo type="min"/>
        <cfvo type="max"/>
        <color theme="4" tint="0.79998168889431442"/>
        <color theme="3" tint="0.79998168889431442"/>
      </colorScale>
    </cfRule>
    <cfRule type="colorScale" priority="3">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611"/>
  <sheetViews>
    <sheetView topLeftCell="A2672" zoomScale="85" zoomScaleNormal="85" workbookViewId="0">
      <selection activeCell="C2451" sqref="C2451"/>
    </sheetView>
  </sheetViews>
  <sheetFormatPr defaultRowHeight="15"/>
  <cols>
    <col min="2" max="2" width="20.5703125" customWidth="1"/>
    <col min="3" max="3" width="10.42578125" customWidth="1"/>
    <col min="7" max="7" width="14.7109375" customWidth="1"/>
  </cols>
  <sheetData>
    <row r="1" spans="1:3">
      <c r="B1" t="s">
        <v>65</v>
      </c>
    </row>
    <row r="2" spans="1:3">
      <c r="B2" s="11" t="s">
        <v>395</v>
      </c>
    </row>
    <row r="3" spans="1:3">
      <c r="B3" t="s">
        <v>349</v>
      </c>
    </row>
    <row r="7" spans="1:3">
      <c r="B7" s="11" t="s">
        <v>394</v>
      </c>
    </row>
    <row r="8" spans="1:3">
      <c r="A8" t="s">
        <v>1165</v>
      </c>
      <c r="B8" t="s">
        <v>1166</v>
      </c>
    </row>
    <row r="9" spans="1:3">
      <c r="C9" s="40" t="s">
        <v>1167</v>
      </c>
    </row>
    <row r="10" spans="1:3">
      <c r="C10" s="40"/>
    </row>
    <row r="11" spans="1:3">
      <c r="B11" t="s">
        <v>1168</v>
      </c>
    </row>
    <row r="12" spans="1:3">
      <c r="B12" t="s">
        <v>1169</v>
      </c>
    </row>
    <row r="13" spans="1:3">
      <c r="B13" t="s">
        <v>1170</v>
      </c>
    </row>
    <row r="14" spans="1:3">
      <c r="B14" t="s">
        <v>1171</v>
      </c>
    </row>
    <row r="15" spans="1:3">
      <c r="B15" t="s">
        <v>1172</v>
      </c>
    </row>
    <row r="16" spans="1:3">
      <c r="A16" t="s">
        <v>1165</v>
      </c>
      <c r="B16" t="s">
        <v>1173</v>
      </c>
    </row>
    <row r="17" spans="1:4">
      <c r="C17" t="s">
        <v>1174</v>
      </c>
    </row>
    <row r="18" spans="1:4">
      <c r="C18" t="s">
        <v>1175</v>
      </c>
    </row>
    <row r="19" spans="1:4">
      <c r="C19" s="40"/>
      <c r="D19" t="s">
        <v>1176</v>
      </c>
    </row>
    <row r="20" spans="1:4">
      <c r="C20" s="40"/>
      <c r="D20" t="s">
        <v>1177</v>
      </c>
    </row>
    <row r="21" spans="1:4">
      <c r="C21" s="40"/>
      <c r="D21" t="s">
        <v>1178</v>
      </c>
    </row>
    <row r="22" spans="1:4">
      <c r="A22" t="s">
        <v>1165</v>
      </c>
      <c r="B22" t="s">
        <v>1179</v>
      </c>
    </row>
    <row r="23" spans="1:4">
      <c r="B23" t="s">
        <v>1180</v>
      </c>
    </row>
    <row r="25" spans="1:4">
      <c r="B25" s="11" t="s">
        <v>1181</v>
      </c>
    </row>
    <row r="26" spans="1:4">
      <c r="B26" t="s">
        <v>1182</v>
      </c>
    </row>
    <row r="27" spans="1:4">
      <c r="C27" t="s">
        <v>1183</v>
      </c>
    </row>
    <row r="28" spans="1:4">
      <c r="B28" s="11"/>
      <c r="D28" t="s">
        <v>1184</v>
      </c>
    </row>
    <row r="29" spans="1:4">
      <c r="B29" s="11"/>
      <c r="D29" t="s">
        <v>1185</v>
      </c>
    </row>
    <row r="30" spans="1:4">
      <c r="B30" t="s">
        <v>1186</v>
      </c>
    </row>
    <row r="31" spans="1:4">
      <c r="B31" s="11"/>
      <c r="C31" t="s">
        <v>1187</v>
      </c>
    </row>
    <row r="32" spans="1:4">
      <c r="B32" t="s">
        <v>1188</v>
      </c>
    </row>
    <row r="33" spans="1:8">
      <c r="C33" t="s">
        <v>1189</v>
      </c>
    </row>
    <row r="34" spans="1:8">
      <c r="B34" s="11"/>
    </row>
    <row r="35" spans="1:8">
      <c r="B35" t="s">
        <v>1190</v>
      </c>
    </row>
    <row r="36" spans="1:8">
      <c r="B36" s="11"/>
      <c r="C36" t="s">
        <v>1191</v>
      </c>
    </row>
    <row r="37" spans="1:8">
      <c r="B37" s="11"/>
    </row>
    <row r="38" spans="1:8">
      <c r="B38" t="s">
        <v>1192</v>
      </c>
      <c r="H38" t="s">
        <v>1193</v>
      </c>
    </row>
    <row r="40" spans="1:8">
      <c r="B40" t="s">
        <v>1194</v>
      </c>
    </row>
    <row r="41" spans="1:8">
      <c r="B41" t="s">
        <v>1195</v>
      </c>
    </row>
    <row r="43" spans="1:8">
      <c r="B43" t="s">
        <v>1196</v>
      </c>
    </row>
    <row r="44" spans="1:8">
      <c r="A44" t="s">
        <v>65</v>
      </c>
    </row>
    <row r="45" spans="1:8">
      <c r="B45" s="11" t="s">
        <v>1197</v>
      </c>
    </row>
    <row r="46" spans="1:8">
      <c r="B46" t="s">
        <v>1198</v>
      </c>
    </row>
    <row r="47" spans="1:8">
      <c r="C47" t="s">
        <v>1199</v>
      </c>
    </row>
    <row r="48" spans="1:8">
      <c r="C48" t="s">
        <v>1200</v>
      </c>
    </row>
    <row r="49" spans="2:6">
      <c r="B49" t="s">
        <v>1201</v>
      </c>
    </row>
    <row r="50" spans="2:6">
      <c r="B50" t="s">
        <v>1202</v>
      </c>
    </row>
    <row r="51" spans="2:6">
      <c r="C51" t="s">
        <v>1203</v>
      </c>
    </row>
    <row r="52" spans="2:6">
      <c r="B52" t="s">
        <v>1204</v>
      </c>
    </row>
    <row r="54" spans="2:6">
      <c r="B54" t="s">
        <v>1205</v>
      </c>
    </row>
    <row r="55" spans="2:6">
      <c r="C55" t="s">
        <v>1206</v>
      </c>
    </row>
    <row r="56" spans="2:6">
      <c r="D56" t="s">
        <v>1207</v>
      </c>
    </row>
    <row r="57" spans="2:6">
      <c r="D57" t="s">
        <v>1208</v>
      </c>
    </row>
    <row r="58" spans="2:6">
      <c r="C58" t="s">
        <v>1209</v>
      </c>
    </row>
    <row r="59" spans="2:6">
      <c r="D59" t="s">
        <v>1210</v>
      </c>
    </row>
    <row r="60" spans="2:6">
      <c r="E60" t="s">
        <v>1211</v>
      </c>
    </row>
    <row r="61" spans="2:6">
      <c r="E61" t="s">
        <v>1212</v>
      </c>
    </row>
    <row r="62" spans="2:6">
      <c r="F62" s="40" t="s">
        <v>1213</v>
      </c>
    </row>
    <row r="63" spans="2:6">
      <c r="B63" t="s">
        <v>1214</v>
      </c>
      <c r="F63" s="40"/>
    </row>
    <row r="64" spans="2:6">
      <c r="C64" t="s">
        <v>1215</v>
      </c>
      <c r="F64" s="40"/>
    </row>
    <row r="65" spans="2:6">
      <c r="D65" t="s">
        <v>1216</v>
      </c>
      <c r="F65" s="40"/>
    </row>
    <row r="66" spans="2:6">
      <c r="F66" s="40"/>
    </row>
    <row r="67" spans="2:6">
      <c r="B67" t="s">
        <v>677</v>
      </c>
      <c r="F67" s="40"/>
    </row>
    <row r="68" spans="2:6">
      <c r="C68" t="s">
        <v>1217</v>
      </c>
      <c r="F68" s="40"/>
    </row>
    <row r="69" spans="2:6">
      <c r="C69" t="s">
        <v>1218</v>
      </c>
      <c r="F69" s="40"/>
    </row>
    <row r="70" spans="2:6">
      <c r="D70" t="s">
        <v>1219</v>
      </c>
      <c r="F70" s="40"/>
    </row>
    <row r="71" spans="2:6">
      <c r="D71" t="s">
        <v>1220</v>
      </c>
      <c r="F71" s="40"/>
    </row>
    <row r="72" spans="2:6">
      <c r="D72" t="s">
        <v>1221</v>
      </c>
      <c r="F72" s="40"/>
    </row>
    <row r="73" spans="2:6">
      <c r="D73" t="s">
        <v>1222</v>
      </c>
      <c r="F73" s="40"/>
    </row>
    <row r="74" spans="2:6">
      <c r="F74" s="40"/>
    </row>
    <row r="75" spans="2:6">
      <c r="C75" t="s">
        <v>1223</v>
      </c>
      <c r="F75" s="40"/>
    </row>
    <row r="76" spans="2:6">
      <c r="D76" t="s">
        <v>1224</v>
      </c>
      <c r="F76" s="40"/>
    </row>
    <row r="77" spans="2:6">
      <c r="F77" s="40"/>
    </row>
    <row r="78" spans="2:6">
      <c r="B78" t="s">
        <v>752</v>
      </c>
      <c r="F78" s="40"/>
    </row>
    <row r="79" spans="2:6">
      <c r="C79" t="s">
        <v>1225</v>
      </c>
      <c r="F79" s="40"/>
    </row>
    <row r="80" spans="2:6">
      <c r="C80" t="s">
        <v>1226</v>
      </c>
      <c r="F80" s="40"/>
    </row>
    <row r="81" spans="2:6">
      <c r="D81" t="s">
        <v>1227</v>
      </c>
      <c r="F81" s="40"/>
    </row>
    <row r="82" spans="2:6">
      <c r="D82" t="s">
        <v>1228</v>
      </c>
      <c r="F82" s="40"/>
    </row>
    <row r="83" spans="2:6">
      <c r="D83" t="s">
        <v>1229</v>
      </c>
      <c r="F83" s="40"/>
    </row>
    <row r="84" spans="2:6">
      <c r="F84" s="40"/>
    </row>
    <row r="85" spans="2:6">
      <c r="B85" t="s">
        <v>735</v>
      </c>
      <c r="F85" s="40"/>
    </row>
    <row r="86" spans="2:6">
      <c r="C86" t="s">
        <v>1230</v>
      </c>
      <c r="F86" s="40"/>
    </row>
    <row r="87" spans="2:6">
      <c r="D87" t="s">
        <v>1231</v>
      </c>
      <c r="F87" s="40"/>
    </row>
    <row r="88" spans="2:6">
      <c r="D88" t="s">
        <v>1232</v>
      </c>
      <c r="F88" s="40"/>
    </row>
    <row r="89" spans="2:6">
      <c r="E89" t="s">
        <v>1233</v>
      </c>
      <c r="F89" s="40"/>
    </row>
    <row r="90" spans="2:6">
      <c r="B90" t="s">
        <v>65</v>
      </c>
      <c r="C90" s="15" t="s">
        <v>1234</v>
      </c>
      <c r="F90" s="40"/>
    </row>
    <row r="91" spans="2:6">
      <c r="C91" s="15"/>
      <c r="F91" s="40"/>
    </row>
    <row r="92" spans="2:6">
      <c r="C92" t="s">
        <v>1235</v>
      </c>
      <c r="D92" t="s">
        <v>1236</v>
      </c>
      <c r="E92">
        <f>197.5*15</f>
        <v>2962.5</v>
      </c>
      <c r="F92" s="40"/>
    </row>
    <row r="93" spans="2:6">
      <c r="D93" t="s">
        <v>1237</v>
      </c>
      <c r="E93" s="15">
        <v>0.3</v>
      </c>
      <c r="F93" s="40"/>
    </row>
    <row r="94" spans="2:6">
      <c r="D94" t="s">
        <v>1238</v>
      </c>
      <c r="E94" s="15">
        <v>0.19</v>
      </c>
      <c r="F94" s="40"/>
    </row>
    <row r="95" spans="2:6">
      <c r="F95" s="40"/>
    </row>
    <row r="96" spans="2:6">
      <c r="B96" t="s">
        <v>352</v>
      </c>
      <c r="F96" s="40"/>
    </row>
    <row r="97" spans="1:6">
      <c r="C97" t="s">
        <v>1239</v>
      </c>
      <c r="F97" s="40"/>
    </row>
    <row r="98" spans="1:6">
      <c r="D98" t="s">
        <v>1240</v>
      </c>
      <c r="F98" s="40"/>
    </row>
    <row r="99" spans="1:6">
      <c r="C99" t="s">
        <v>1241</v>
      </c>
      <c r="F99" s="40"/>
    </row>
    <row r="100" spans="1:6">
      <c r="A100" t="s">
        <v>65</v>
      </c>
      <c r="D100" t="s">
        <v>1242</v>
      </c>
      <c r="F100" s="40"/>
    </row>
    <row r="101" spans="1:6">
      <c r="C101" t="s">
        <v>1243</v>
      </c>
      <c r="F101" s="40"/>
    </row>
    <row r="102" spans="1:6">
      <c r="D102" t="s">
        <v>1244</v>
      </c>
      <c r="F102" s="40"/>
    </row>
    <row r="103" spans="1:6">
      <c r="F103" s="40"/>
    </row>
    <row r="104" spans="1:6">
      <c r="B104" t="s">
        <v>1245</v>
      </c>
      <c r="F104" s="40"/>
    </row>
    <row r="105" spans="1:6">
      <c r="C105" t="s">
        <v>1246</v>
      </c>
      <c r="F105" s="40"/>
    </row>
    <row r="106" spans="1:6">
      <c r="C106" t="s">
        <v>1247</v>
      </c>
      <c r="F106" s="40"/>
    </row>
    <row r="107" spans="1:6">
      <c r="D107" t="s">
        <v>1248</v>
      </c>
      <c r="F107" s="40"/>
    </row>
    <row r="108" spans="1:6">
      <c r="F108" s="40"/>
    </row>
    <row r="109" spans="1:6">
      <c r="B109" t="s">
        <v>1249</v>
      </c>
      <c r="F109" s="40"/>
    </row>
    <row r="110" spans="1:6">
      <c r="C110" t="s">
        <v>1250</v>
      </c>
      <c r="F110" s="40"/>
    </row>
    <row r="111" spans="1:6">
      <c r="D111" t="s">
        <v>1251</v>
      </c>
      <c r="F111" s="40"/>
    </row>
    <row r="112" spans="1:6">
      <c r="D112" t="s">
        <v>1252</v>
      </c>
      <c r="F112" s="40"/>
    </row>
    <row r="113" spans="2:6">
      <c r="F113" s="40"/>
    </row>
    <row r="114" spans="2:6">
      <c r="B114" t="s">
        <v>1253</v>
      </c>
      <c r="F114" s="40"/>
    </row>
    <row r="115" spans="2:6">
      <c r="C115" t="s">
        <v>1254</v>
      </c>
      <c r="F115" s="40"/>
    </row>
    <row r="116" spans="2:6">
      <c r="C116" t="s">
        <v>1255</v>
      </c>
      <c r="F116" s="40"/>
    </row>
    <row r="117" spans="2:6">
      <c r="D117" t="s">
        <v>1256</v>
      </c>
      <c r="F117" s="40"/>
    </row>
    <row r="118" spans="2:6">
      <c r="F118" s="40"/>
    </row>
    <row r="119" spans="2:6">
      <c r="B119" t="s">
        <v>1257</v>
      </c>
      <c r="F119" s="40"/>
    </row>
    <row r="120" spans="2:6">
      <c r="C120" t="s">
        <v>1258</v>
      </c>
      <c r="F120" s="40"/>
    </row>
    <row r="121" spans="2:6">
      <c r="C121" t="s">
        <v>1259</v>
      </c>
      <c r="F121" s="40"/>
    </row>
    <row r="122" spans="2:6">
      <c r="D122" t="s">
        <v>1260</v>
      </c>
      <c r="F122" s="40"/>
    </row>
    <row r="123" spans="2:6">
      <c r="D123" t="s">
        <v>1261</v>
      </c>
      <c r="F123" s="40"/>
    </row>
    <row r="124" spans="2:6">
      <c r="C124" t="s">
        <v>1262</v>
      </c>
      <c r="F124" s="40"/>
    </row>
    <row r="125" spans="2:6">
      <c r="F125" s="40"/>
    </row>
    <row r="126" spans="2:6">
      <c r="B126" t="s">
        <v>352</v>
      </c>
      <c r="C126" t="s">
        <v>1263</v>
      </c>
      <c r="F126" s="40"/>
    </row>
    <row r="127" spans="2:6">
      <c r="D127" t="s">
        <v>1264</v>
      </c>
      <c r="F127" s="40"/>
    </row>
    <row r="128" spans="2:6">
      <c r="F128" s="40"/>
    </row>
    <row r="129" spans="2:6">
      <c r="F129" s="40"/>
    </row>
    <row r="130" spans="2:6">
      <c r="B130" s="11" t="s">
        <v>1265</v>
      </c>
    </row>
    <row r="131" spans="2:6">
      <c r="B131" t="s">
        <v>1266</v>
      </c>
    </row>
    <row r="132" spans="2:6">
      <c r="B132" t="s">
        <v>1267</v>
      </c>
    </row>
    <row r="133" spans="2:6">
      <c r="B133" t="s">
        <v>1268</v>
      </c>
    </row>
    <row r="134" spans="2:6">
      <c r="C134" t="s">
        <v>1269</v>
      </c>
    </row>
    <row r="135" spans="2:6">
      <c r="C135" t="s">
        <v>1270</v>
      </c>
    </row>
    <row r="136" spans="2:6">
      <c r="C136" t="s">
        <v>1271</v>
      </c>
    </row>
    <row r="138" spans="2:6">
      <c r="B138" s="11" t="s">
        <v>437</v>
      </c>
    </row>
    <row r="139" spans="2:6">
      <c r="B139" t="s">
        <v>1272</v>
      </c>
    </row>
    <row r="140" spans="2:6">
      <c r="B140" t="s">
        <v>1273</v>
      </c>
    </row>
    <row r="141" spans="2:6">
      <c r="B141" t="s">
        <v>1274</v>
      </c>
    </row>
    <row r="143" spans="2:6">
      <c r="B143" s="11" t="s">
        <v>150</v>
      </c>
    </row>
    <row r="144" spans="2:6">
      <c r="B144" t="s">
        <v>1275</v>
      </c>
    </row>
    <row r="145" spans="2:3">
      <c r="C145" t="s">
        <v>1276</v>
      </c>
    </row>
    <row r="146" spans="2:3">
      <c r="B146" t="s">
        <v>1277</v>
      </c>
    </row>
    <row r="147" spans="2:3">
      <c r="B147" t="s">
        <v>1278</v>
      </c>
    </row>
    <row r="148" spans="2:3">
      <c r="C148" t="s">
        <v>1279</v>
      </c>
    </row>
    <row r="149" spans="2:3">
      <c r="C149" t="s">
        <v>1280</v>
      </c>
    </row>
    <row r="151" spans="2:3">
      <c r="B151" t="s">
        <v>1281</v>
      </c>
    </row>
    <row r="153" spans="2:3">
      <c r="B153" t="s">
        <v>1282</v>
      </c>
    </row>
    <row r="154" spans="2:3">
      <c r="B154" t="s">
        <v>1283</v>
      </c>
    </row>
    <row r="155" spans="2:3">
      <c r="B155" t="s">
        <v>1284</v>
      </c>
    </row>
    <row r="157" spans="2:3">
      <c r="B157" t="s">
        <v>1285</v>
      </c>
    </row>
    <row r="158" spans="2:3">
      <c r="C158" t="s">
        <v>1286</v>
      </c>
    </row>
    <row r="160" spans="2:3">
      <c r="B160" s="11" t="s">
        <v>1197</v>
      </c>
    </row>
    <row r="162" spans="2:3">
      <c r="B162" t="s">
        <v>1287</v>
      </c>
    </row>
    <row r="163" spans="2:3">
      <c r="C163" t="s">
        <v>1288</v>
      </c>
    </row>
    <row r="164" spans="2:3">
      <c r="B164" s="11" t="s">
        <v>122</v>
      </c>
    </row>
    <row r="165" spans="2:3">
      <c r="B165" t="s">
        <v>1289</v>
      </c>
    </row>
    <row r="166" spans="2:3">
      <c r="B166" t="s">
        <v>1290</v>
      </c>
    </row>
    <row r="167" spans="2:3">
      <c r="B167" t="s">
        <v>1291</v>
      </c>
    </row>
    <row r="168" spans="2:3">
      <c r="B168" t="s">
        <v>1292</v>
      </c>
    </row>
    <row r="169" spans="2:3">
      <c r="C169" t="s">
        <v>1293</v>
      </c>
    </row>
    <row r="170" spans="2:3">
      <c r="B170" t="s">
        <v>1294</v>
      </c>
    </row>
    <row r="172" spans="2:3">
      <c r="B172" s="11" t="s">
        <v>1295</v>
      </c>
    </row>
    <row r="173" spans="2:3">
      <c r="C173" t="s">
        <v>1296</v>
      </c>
    </row>
    <row r="174" spans="2:3">
      <c r="C174" t="s">
        <v>1297</v>
      </c>
    </row>
    <row r="176" spans="2:3">
      <c r="B176" t="s">
        <v>1298</v>
      </c>
    </row>
    <row r="178" spans="2:3">
      <c r="B178" s="11" t="s">
        <v>1299</v>
      </c>
    </row>
    <row r="179" spans="2:3">
      <c r="C179" t="s">
        <v>1300</v>
      </c>
    </row>
    <row r="181" spans="2:3">
      <c r="B181" t="s">
        <v>1301</v>
      </c>
    </row>
    <row r="182" spans="2:3">
      <c r="C182" t="s">
        <v>1302</v>
      </c>
    </row>
    <row r="183" spans="2:3">
      <c r="B183" t="s">
        <v>1303</v>
      </c>
    </row>
    <row r="184" spans="2:3">
      <c r="C184" t="s">
        <v>1304</v>
      </c>
    </row>
    <row r="186" spans="2:3">
      <c r="B186" s="11" t="s">
        <v>1305</v>
      </c>
    </row>
    <row r="187" spans="2:3">
      <c r="C187" t="s">
        <v>1306</v>
      </c>
    </row>
    <row r="189" spans="2:3">
      <c r="B189" t="s">
        <v>1307</v>
      </c>
    </row>
    <row r="190" spans="2:3">
      <c r="B190" t="s">
        <v>1308</v>
      </c>
    </row>
    <row r="192" spans="2:3">
      <c r="B192" s="11" t="s">
        <v>320</v>
      </c>
    </row>
    <row r="194" spans="2:3">
      <c r="B194" t="s">
        <v>1309</v>
      </c>
    </row>
    <row r="195" spans="2:3">
      <c r="B195" t="s">
        <v>1310</v>
      </c>
    </row>
    <row r="196" spans="2:3">
      <c r="B196" t="s">
        <v>1311</v>
      </c>
    </row>
    <row r="197" spans="2:3">
      <c r="B197" t="s">
        <v>1312</v>
      </c>
    </row>
    <row r="199" spans="2:3">
      <c r="B199" t="s">
        <v>1313</v>
      </c>
    </row>
    <row r="200" spans="2:3">
      <c r="C200" t="s">
        <v>1314</v>
      </c>
    </row>
    <row r="201" spans="2:3">
      <c r="C201" t="s">
        <v>1315</v>
      </c>
    </row>
    <row r="202" spans="2:3">
      <c r="B202" t="s">
        <v>1316</v>
      </c>
    </row>
    <row r="203" spans="2:3">
      <c r="B203" t="s">
        <v>1317</v>
      </c>
    </row>
    <row r="205" spans="2:3">
      <c r="B205" t="s">
        <v>1318</v>
      </c>
    </row>
    <row r="206" spans="2:3">
      <c r="C206" t="s">
        <v>1319</v>
      </c>
    </row>
    <row r="207" spans="2:3">
      <c r="B207" t="s">
        <v>1320</v>
      </c>
    </row>
    <row r="208" spans="2:3">
      <c r="B208" t="s">
        <v>1321</v>
      </c>
    </row>
    <row r="210" spans="2:3">
      <c r="B210" t="s">
        <v>1322</v>
      </c>
    </row>
    <row r="211" spans="2:3">
      <c r="C211" t="s">
        <v>1323</v>
      </c>
    </row>
    <row r="212" spans="2:3">
      <c r="C212" t="s">
        <v>1324</v>
      </c>
    </row>
    <row r="214" spans="2:3">
      <c r="B214" t="s">
        <v>1325</v>
      </c>
    </row>
    <row r="215" spans="2:3">
      <c r="C215" t="s">
        <v>1326</v>
      </c>
    </row>
    <row r="217" spans="2:3">
      <c r="B217" t="s">
        <v>1327</v>
      </c>
    </row>
    <row r="218" spans="2:3">
      <c r="C218" t="s">
        <v>1328</v>
      </c>
    </row>
    <row r="219" spans="2:3">
      <c r="C219" t="s">
        <v>1329</v>
      </c>
    </row>
    <row r="221" spans="2:3">
      <c r="B221" t="s">
        <v>1330</v>
      </c>
    </row>
    <row r="222" spans="2:3">
      <c r="C222" t="s">
        <v>1331</v>
      </c>
    </row>
    <row r="224" spans="2:3">
      <c r="B224" s="11" t="s">
        <v>1332</v>
      </c>
    </row>
    <row r="225" spans="2:4">
      <c r="B225" t="s">
        <v>43</v>
      </c>
    </row>
    <row r="226" spans="2:4">
      <c r="C226" t="s">
        <v>1333</v>
      </c>
    </row>
    <row r="227" spans="2:4">
      <c r="D227" t="s">
        <v>1334</v>
      </c>
    </row>
    <row r="229" spans="2:4">
      <c r="B229" t="s">
        <v>1335</v>
      </c>
    </row>
    <row r="230" spans="2:4">
      <c r="C230" t="s">
        <v>1336</v>
      </c>
    </row>
    <row r="231" spans="2:4">
      <c r="C231" t="s">
        <v>1337</v>
      </c>
    </row>
    <row r="233" spans="2:4">
      <c r="C233" t="s">
        <v>1338</v>
      </c>
    </row>
    <row r="234" spans="2:4">
      <c r="C234" t="s">
        <v>1339</v>
      </c>
    </row>
    <row r="236" spans="2:4">
      <c r="B236" t="s">
        <v>1340</v>
      </c>
    </row>
    <row r="237" spans="2:4">
      <c r="B237" t="s">
        <v>1341</v>
      </c>
    </row>
    <row r="238" spans="2:4">
      <c r="C238" t="s">
        <v>1342</v>
      </c>
    </row>
    <row r="239" spans="2:4">
      <c r="C239" t="s">
        <v>1343</v>
      </c>
    </row>
    <row r="240" spans="2:4">
      <c r="B240" t="s">
        <v>1344</v>
      </c>
    </row>
    <row r="241" spans="2:3">
      <c r="C241" t="s">
        <v>1345</v>
      </c>
    </row>
    <row r="243" spans="2:3">
      <c r="B243" s="11" t="s">
        <v>396</v>
      </c>
    </row>
    <row r="245" spans="2:3">
      <c r="B245" t="s">
        <v>1346</v>
      </c>
    </row>
    <row r="246" spans="2:3">
      <c r="B246" t="s">
        <v>1347</v>
      </c>
    </row>
    <row r="248" spans="2:3">
      <c r="B248" t="s">
        <v>1348</v>
      </c>
    </row>
    <row r="249" spans="2:3">
      <c r="B249" t="s">
        <v>1349</v>
      </c>
    </row>
    <row r="250" spans="2:3">
      <c r="B250" t="s">
        <v>1350</v>
      </c>
    </row>
    <row r="251" spans="2:3">
      <c r="B251" t="s">
        <v>1351</v>
      </c>
    </row>
    <row r="253" spans="2:3">
      <c r="B253" s="11" t="s">
        <v>1352</v>
      </c>
    </row>
    <row r="255" spans="2:3">
      <c r="B255" t="s">
        <v>1353</v>
      </c>
    </row>
    <row r="256" spans="2:3">
      <c r="B256" t="s">
        <v>1354</v>
      </c>
    </row>
    <row r="258" spans="2:3">
      <c r="B258" t="s">
        <v>1355</v>
      </c>
    </row>
    <row r="259" spans="2:3">
      <c r="B259" t="s">
        <v>1356</v>
      </c>
    </row>
    <row r="260" spans="2:3">
      <c r="B260" t="s">
        <v>1357</v>
      </c>
    </row>
    <row r="261" spans="2:3">
      <c r="B261" t="s">
        <v>1358</v>
      </c>
    </row>
    <row r="263" spans="2:3">
      <c r="B263" t="s">
        <v>1359</v>
      </c>
    </row>
    <row r="264" spans="2:3">
      <c r="B264" t="s">
        <v>1360</v>
      </c>
      <c r="C264" s="15">
        <v>0.65</v>
      </c>
    </row>
    <row r="265" spans="2:3">
      <c r="B265" t="s">
        <v>1361</v>
      </c>
    </row>
    <row r="266" spans="2:3">
      <c r="B266" t="s">
        <v>1362</v>
      </c>
    </row>
    <row r="268" spans="2:3">
      <c r="B268" t="s">
        <v>1363</v>
      </c>
    </row>
    <row r="269" spans="2:3">
      <c r="B269" t="s">
        <v>1364</v>
      </c>
    </row>
    <row r="271" spans="2:3">
      <c r="B271" t="s">
        <v>1365</v>
      </c>
    </row>
    <row r="272" spans="2:3">
      <c r="C272" t="s">
        <v>1366</v>
      </c>
    </row>
    <row r="273" spans="2:4">
      <c r="C273" t="s">
        <v>1367</v>
      </c>
    </row>
    <row r="274" spans="2:4">
      <c r="C274" t="s">
        <v>1368</v>
      </c>
    </row>
    <row r="276" spans="2:4">
      <c r="B276" s="11" t="s">
        <v>122</v>
      </c>
    </row>
    <row r="277" spans="2:4">
      <c r="C277" t="s">
        <v>1369</v>
      </c>
    </row>
    <row r="278" spans="2:4">
      <c r="C278" t="s">
        <v>1370</v>
      </c>
    </row>
    <row r="279" spans="2:4">
      <c r="C279" t="s">
        <v>1371</v>
      </c>
    </row>
    <row r="281" spans="2:4">
      <c r="B281" t="s">
        <v>1372</v>
      </c>
    </row>
    <row r="282" spans="2:4">
      <c r="B282" t="s">
        <v>1373</v>
      </c>
    </row>
    <row r="283" spans="2:4">
      <c r="C283" t="s">
        <v>1374</v>
      </c>
    </row>
    <row r="284" spans="2:4">
      <c r="D284" t="s">
        <v>1375</v>
      </c>
    </row>
    <row r="285" spans="2:4">
      <c r="D285" t="s">
        <v>1376</v>
      </c>
    </row>
    <row r="286" spans="2:4">
      <c r="C286" t="s">
        <v>1377</v>
      </c>
    </row>
    <row r="287" spans="2:4">
      <c r="C287" t="s">
        <v>1378</v>
      </c>
    </row>
    <row r="288" spans="2:4">
      <c r="C288" t="s">
        <v>1379</v>
      </c>
    </row>
    <row r="290" spans="2:3">
      <c r="B290" s="11" t="s">
        <v>1380</v>
      </c>
    </row>
    <row r="291" spans="2:3">
      <c r="C291" t="s">
        <v>1381</v>
      </c>
    </row>
    <row r="292" spans="2:3">
      <c r="C292" t="s">
        <v>1382</v>
      </c>
    </row>
    <row r="294" spans="2:3">
      <c r="B294" s="41" t="s">
        <v>1383</v>
      </c>
    </row>
    <row r="296" spans="2:3">
      <c r="B296" t="s">
        <v>1384</v>
      </c>
    </row>
    <row r="297" spans="2:3">
      <c r="C297" t="s">
        <v>1385</v>
      </c>
    </row>
    <row r="298" spans="2:3">
      <c r="C298" t="s">
        <v>1386</v>
      </c>
    </row>
    <row r="300" spans="2:3">
      <c r="B300" t="s">
        <v>1387</v>
      </c>
    </row>
    <row r="301" spans="2:3">
      <c r="B301" t="s">
        <v>1388</v>
      </c>
    </row>
    <row r="302" spans="2:3">
      <c r="C302" t="s">
        <v>1389</v>
      </c>
    </row>
    <row r="303" spans="2:3">
      <c r="B303" t="s">
        <v>1390</v>
      </c>
    </row>
    <row r="305" spans="2:4">
      <c r="B305" t="s">
        <v>352</v>
      </c>
    </row>
    <row r="306" spans="2:4">
      <c r="C306" t="s">
        <v>1391</v>
      </c>
    </row>
    <row r="308" spans="2:4">
      <c r="B308" s="11" t="s">
        <v>1197</v>
      </c>
    </row>
    <row r="310" spans="2:4">
      <c r="B310" s="40" t="s">
        <v>1392</v>
      </c>
    </row>
    <row r="311" spans="2:4">
      <c r="C311" t="s">
        <v>1393</v>
      </c>
    </row>
    <row r="312" spans="2:4">
      <c r="C312" t="s">
        <v>1394</v>
      </c>
    </row>
    <row r="313" spans="2:4">
      <c r="C313" t="s">
        <v>1395</v>
      </c>
    </row>
    <row r="314" spans="2:4">
      <c r="D314" t="s">
        <v>1396</v>
      </c>
    </row>
    <row r="316" spans="2:4">
      <c r="B316" s="40" t="s">
        <v>634</v>
      </c>
    </row>
    <row r="317" spans="2:4">
      <c r="C317" t="s">
        <v>1397</v>
      </c>
    </row>
    <row r="318" spans="2:4">
      <c r="C318" t="s">
        <v>1398</v>
      </c>
    </row>
    <row r="319" spans="2:4">
      <c r="C319" t="s">
        <v>1399</v>
      </c>
    </row>
    <row r="320" spans="2:4">
      <c r="D320" t="s">
        <v>1400</v>
      </c>
    </row>
    <row r="321" spans="2:4">
      <c r="D321" t="s">
        <v>1401</v>
      </c>
    </row>
    <row r="323" spans="2:4">
      <c r="B323" s="40" t="s">
        <v>735</v>
      </c>
    </row>
    <row r="324" spans="2:4">
      <c r="C324" t="s">
        <v>1402</v>
      </c>
    </row>
    <row r="326" spans="2:4">
      <c r="C326" t="s">
        <v>1403</v>
      </c>
      <c r="D326" t="s">
        <v>1404</v>
      </c>
    </row>
    <row r="327" spans="2:4">
      <c r="C327" t="s">
        <v>527</v>
      </c>
      <c r="D327" s="15" t="s">
        <v>562</v>
      </c>
    </row>
    <row r="328" spans="2:4">
      <c r="C328" t="s">
        <v>1237</v>
      </c>
      <c r="D328" s="15">
        <v>0.25</v>
      </c>
    </row>
    <row r="330" spans="2:4">
      <c r="C330" t="s">
        <v>1405</v>
      </c>
      <c r="D330" t="s">
        <v>1406</v>
      </c>
    </row>
    <row r="331" spans="2:4">
      <c r="C331" t="s">
        <v>1407</v>
      </c>
      <c r="D331" t="s">
        <v>1408</v>
      </c>
    </row>
    <row r="332" spans="2:4">
      <c r="C332" t="s">
        <v>1409</v>
      </c>
      <c r="D332" t="s">
        <v>1235</v>
      </c>
    </row>
    <row r="334" spans="2:4">
      <c r="B334" s="40" t="s">
        <v>1410</v>
      </c>
    </row>
    <row r="335" spans="2:4">
      <c r="B335" s="40" t="s">
        <v>1411</v>
      </c>
    </row>
    <row r="336" spans="2:4">
      <c r="C336" t="s">
        <v>1412</v>
      </c>
    </row>
    <row r="337" spans="2:4">
      <c r="C337" t="s">
        <v>1413</v>
      </c>
    </row>
    <row r="338" spans="2:4">
      <c r="D338" t="s">
        <v>1414</v>
      </c>
    </row>
    <row r="340" spans="2:4">
      <c r="B340" t="s">
        <v>1415</v>
      </c>
    </row>
    <row r="341" spans="2:4">
      <c r="B341" t="s">
        <v>1416</v>
      </c>
    </row>
    <row r="343" spans="2:4">
      <c r="B343" s="40" t="s">
        <v>1417</v>
      </c>
    </row>
    <row r="344" spans="2:4">
      <c r="C344" t="s">
        <v>1418</v>
      </c>
    </row>
    <row r="345" spans="2:4">
      <c r="C345" t="s">
        <v>1419</v>
      </c>
    </row>
    <row r="347" spans="2:4">
      <c r="B347" s="40" t="s">
        <v>1380</v>
      </c>
    </row>
    <row r="348" spans="2:4">
      <c r="C348" t="s">
        <v>1420</v>
      </c>
    </row>
    <row r="349" spans="2:4">
      <c r="C349" t="s">
        <v>1421</v>
      </c>
    </row>
    <row r="351" spans="2:4">
      <c r="B351" s="40" t="s">
        <v>320</v>
      </c>
    </row>
    <row r="352" spans="2:4">
      <c r="C352" t="s">
        <v>1422</v>
      </c>
    </row>
    <row r="353" spans="2:4">
      <c r="C353" t="s">
        <v>1423</v>
      </c>
    </row>
    <row r="354" spans="2:4">
      <c r="C354" t="s">
        <v>1424</v>
      </c>
    </row>
    <row r="356" spans="2:4">
      <c r="B356" s="40" t="s">
        <v>147</v>
      </c>
    </row>
    <row r="357" spans="2:4">
      <c r="C357" t="s">
        <v>1425</v>
      </c>
    </row>
    <row r="358" spans="2:4">
      <c r="C358" t="s">
        <v>1426</v>
      </c>
    </row>
    <row r="359" spans="2:4">
      <c r="D359" t="s">
        <v>1427</v>
      </c>
    </row>
    <row r="360" spans="2:4">
      <c r="C360" t="s">
        <v>1428</v>
      </c>
    </row>
    <row r="362" spans="2:4">
      <c r="B362" s="40" t="s">
        <v>1429</v>
      </c>
    </row>
    <row r="363" spans="2:4">
      <c r="C363" t="s">
        <v>1430</v>
      </c>
    </row>
    <row r="364" spans="2:4">
      <c r="C364" t="s">
        <v>1431</v>
      </c>
    </row>
    <row r="365" spans="2:4">
      <c r="C365" t="s">
        <v>1432</v>
      </c>
    </row>
    <row r="366" spans="2:4">
      <c r="C366" t="s">
        <v>1433</v>
      </c>
    </row>
    <row r="368" spans="2:4">
      <c r="B368" s="40" t="s">
        <v>677</v>
      </c>
    </row>
    <row r="369" spans="2:4">
      <c r="C369" t="s">
        <v>1434</v>
      </c>
    </row>
    <row r="370" spans="2:4">
      <c r="C370" t="s">
        <v>1435</v>
      </c>
    </row>
    <row r="371" spans="2:4">
      <c r="D371" t="s">
        <v>1436</v>
      </c>
    </row>
    <row r="372" spans="2:4">
      <c r="D372" t="s">
        <v>1437</v>
      </c>
    </row>
    <row r="373" spans="2:4">
      <c r="D373" t="s">
        <v>1438</v>
      </c>
    </row>
    <row r="374" spans="2:4">
      <c r="B374" s="40" t="s">
        <v>1439</v>
      </c>
    </row>
    <row r="375" spans="2:4">
      <c r="C375" t="s">
        <v>1440</v>
      </c>
    </row>
    <row r="376" spans="2:4">
      <c r="C376" t="s">
        <v>1441</v>
      </c>
    </row>
    <row r="377" spans="2:4">
      <c r="C377" t="s">
        <v>1442</v>
      </c>
    </row>
    <row r="379" spans="2:4">
      <c r="B379" s="40" t="s">
        <v>1443</v>
      </c>
    </row>
    <row r="380" spans="2:4">
      <c r="C380" t="s">
        <v>1444</v>
      </c>
    </row>
    <row r="381" spans="2:4">
      <c r="C381" t="s">
        <v>1445</v>
      </c>
    </row>
    <row r="382" spans="2:4">
      <c r="D382" t="s">
        <v>1446</v>
      </c>
    </row>
    <row r="383" spans="2:4">
      <c r="C383" t="s">
        <v>1447</v>
      </c>
    </row>
    <row r="385" spans="2:4">
      <c r="B385" s="40" t="s">
        <v>1448</v>
      </c>
    </row>
    <row r="386" spans="2:4">
      <c r="B386" s="40"/>
      <c r="C386" t="s">
        <v>1449</v>
      </c>
    </row>
    <row r="387" spans="2:4">
      <c r="B387" s="40"/>
      <c r="D387" t="s">
        <v>1450</v>
      </c>
    </row>
    <row r="388" spans="2:4">
      <c r="B388" s="40"/>
      <c r="D388" t="s">
        <v>1451</v>
      </c>
    </row>
    <row r="389" spans="2:4">
      <c r="B389" s="40"/>
      <c r="C389" t="s">
        <v>1452</v>
      </c>
    </row>
    <row r="390" spans="2:4">
      <c r="B390" s="40"/>
      <c r="C390" t="s">
        <v>1453</v>
      </c>
    </row>
    <row r="391" spans="2:4">
      <c r="C391" t="s">
        <v>1454</v>
      </c>
    </row>
    <row r="393" spans="2:4">
      <c r="B393" s="40" t="s">
        <v>320</v>
      </c>
    </row>
    <row r="394" spans="2:4">
      <c r="C394" t="s">
        <v>1455</v>
      </c>
    </row>
    <row r="395" spans="2:4">
      <c r="D395" t="s">
        <v>1456</v>
      </c>
    </row>
    <row r="396" spans="2:4">
      <c r="C396" t="s">
        <v>1457</v>
      </c>
    </row>
    <row r="397" spans="2:4">
      <c r="C397" t="s">
        <v>1458</v>
      </c>
    </row>
    <row r="399" spans="2:4">
      <c r="C399" t="s">
        <v>1459</v>
      </c>
    </row>
    <row r="401" spans="2:13">
      <c r="C401" t="s">
        <v>1460</v>
      </c>
    </row>
    <row r="402" spans="2:13">
      <c r="C402" t="s">
        <v>1461</v>
      </c>
    </row>
    <row r="404" spans="2:13">
      <c r="B404" s="41" t="s">
        <v>1462</v>
      </c>
    </row>
    <row r="406" spans="2:13">
      <c r="B406" t="s">
        <v>1463</v>
      </c>
    </row>
    <row r="407" spans="2:13">
      <c r="B407" t="s">
        <v>1464</v>
      </c>
    </row>
    <row r="408" spans="2:13">
      <c r="B408" t="s">
        <v>1465</v>
      </c>
    </row>
    <row r="409" spans="2:13">
      <c r="B409" t="s">
        <v>1466</v>
      </c>
      <c r="H409" t="s">
        <v>1467</v>
      </c>
    </row>
    <row r="410" spans="2:13">
      <c r="H410" s="11" t="s">
        <v>1468</v>
      </c>
    </row>
    <row r="411" spans="2:13">
      <c r="B411" s="11" t="s">
        <v>715</v>
      </c>
      <c r="H411" t="s">
        <v>1469</v>
      </c>
      <c r="M411" t="s">
        <v>1470</v>
      </c>
    </row>
    <row r="412" spans="2:13">
      <c r="C412" t="s">
        <v>1471</v>
      </c>
      <c r="H412" t="s">
        <v>1472</v>
      </c>
    </row>
    <row r="413" spans="2:13">
      <c r="C413" t="s">
        <v>1473</v>
      </c>
      <c r="H413" t="s">
        <v>1474</v>
      </c>
    </row>
    <row r="414" spans="2:13">
      <c r="B414" s="11" t="s">
        <v>735</v>
      </c>
      <c r="H414" t="s">
        <v>1475</v>
      </c>
    </row>
    <row r="415" spans="2:13">
      <c r="C415" t="s">
        <v>1476</v>
      </c>
      <c r="H415" t="s">
        <v>1477</v>
      </c>
    </row>
    <row r="416" spans="2:13">
      <c r="C416" t="s">
        <v>1478</v>
      </c>
      <c r="H416" t="s">
        <v>1479</v>
      </c>
    </row>
    <row r="417" spans="2:4">
      <c r="C417" t="s">
        <v>1480</v>
      </c>
    </row>
    <row r="418" spans="2:4">
      <c r="C418" t="s">
        <v>1481</v>
      </c>
    </row>
    <row r="419" spans="2:4">
      <c r="D419" t="s">
        <v>1482</v>
      </c>
    </row>
    <row r="420" spans="2:4">
      <c r="D420" t="s">
        <v>1483</v>
      </c>
    </row>
    <row r="421" spans="2:4">
      <c r="B421" s="11" t="s">
        <v>1484</v>
      </c>
    </row>
    <row r="422" spans="2:4">
      <c r="C422" t="s">
        <v>1485</v>
      </c>
    </row>
    <row r="424" spans="2:4">
      <c r="B424" t="s">
        <v>1486</v>
      </c>
    </row>
    <row r="425" spans="2:4">
      <c r="C425" t="s">
        <v>1487</v>
      </c>
    </row>
    <row r="426" spans="2:4">
      <c r="C426" t="s">
        <v>1488</v>
      </c>
    </row>
    <row r="428" spans="2:4">
      <c r="B428" t="s">
        <v>1489</v>
      </c>
    </row>
    <row r="429" spans="2:4">
      <c r="C429" t="s">
        <v>1490</v>
      </c>
    </row>
    <row r="430" spans="2:4">
      <c r="C430" t="s">
        <v>1491</v>
      </c>
    </row>
    <row r="431" spans="2:4">
      <c r="C431" t="s">
        <v>1492</v>
      </c>
    </row>
    <row r="432" spans="2:4">
      <c r="B432" t="s">
        <v>1493</v>
      </c>
    </row>
    <row r="433" spans="2:4">
      <c r="C433" t="s">
        <v>1494</v>
      </c>
    </row>
    <row r="434" spans="2:4">
      <c r="C434" t="s">
        <v>1495</v>
      </c>
    </row>
    <row r="435" spans="2:4">
      <c r="B435" t="s">
        <v>1496</v>
      </c>
    </row>
    <row r="436" spans="2:4">
      <c r="C436" t="s">
        <v>1497</v>
      </c>
    </row>
    <row r="437" spans="2:4">
      <c r="B437" s="11" t="s">
        <v>1498</v>
      </c>
    </row>
    <row r="438" spans="2:4">
      <c r="B438" s="11"/>
      <c r="C438" t="s">
        <v>1499</v>
      </c>
    </row>
    <row r="439" spans="2:4">
      <c r="B439" s="11"/>
      <c r="D439" t="s">
        <v>1500</v>
      </c>
    </row>
    <row r="440" spans="2:4">
      <c r="B440" s="11"/>
      <c r="D440" t="s">
        <v>1501</v>
      </c>
    </row>
    <row r="441" spans="2:4">
      <c r="B441" s="11"/>
      <c r="D441" t="s">
        <v>1502</v>
      </c>
    </row>
    <row r="442" spans="2:4">
      <c r="B442" s="11"/>
    </row>
    <row r="443" spans="2:4">
      <c r="C443" t="s">
        <v>1503</v>
      </c>
    </row>
    <row r="444" spans="2:4">
      <c r="C444" t="s">
        <v>1504</v>
      </c>
    </row>
    <row r="445" spans="2:4">
      <c r="C445" t="s">
        <v>1505</v>
      </c>
    </row>
    <row r="446" spans="2:4">
      <c r="B446" s="11" t="s">
        <v>1506</v>
      </c>
    </row>
    <row r="447" spans="2:4">
      <c r="C447" t="s">
        <v>1507</v>
      </c>
    </row>
    <row r="448" spans="2:4">
      <c r="C448" t="s">
        <v>1508</v>
      </c>
    </row>
    <row r="449" spans="2:3">
      <c r="B449" s="11" t="s">
        <v>1509</v>
      </c>
    </row>
    <row r="450" spans="2:3">
      <c r="B450" s="11"/>
      <c r="C450" t="s">
        <v>1510</v>
      </c>
    </row>
    <row r="451" spans="2:3">
      <c r="B451" s="11" t="s">
        <v>1511</v>
      </c>
      <c r="C451" t="s">
        <v>65</v>
      </c>
    </row>
    <row r="452" spans="2:3">
      <c r="C452" t="s">
        <v>1512</v>
      </c>
    </row>
    <row r="453" spans="2:3">
      <c r="C453" t="s">
        <v>1513</v>
      </c>
    </row>
    <row r="455" spans="2:3">
      <c r="B455" s="41" t="s">
        <v>1514</v>
      </c>
    </row>
    <row r="457" spans="2:3">
      <c r="B457" t="s">
        <v>1515</v>
      </c>
    </row>
    <row r="458" spans="2:3">
      <c r="B458" t="s">
        <v>1516</v>
      </c>
    </row>
    <row r="459" spans="2:3">
      <c r="B459" t="s">
        <v>1517</v>
      </c>
    </row>
    <row r="460" spans="2:3">
      <c r="C460" t="s">
        <v>1518</v>
      </c>
    </row>
    <row r="461" spans="2:3">
      <c r="B461" t="s">
        <v>1519</v>
      </c>
    </row>
    <row r="462" spans="2:3">
      <c r="C462" t="s">
        <v>1520</v>
      </c>
    </row>
    <row r="463" spans="2:3">
      <c r="B463" t="s">
        <v>1521</v>
      </c>
    </row>
    <row r="464" spans="2:3">
      <c r="B464" t="s">
        <v>42</v>
      </c>
    </row>
    <row r="465" spans="2:3">
      <c r="C465" t="s">
        <v>1522</v>
      </c>
    </row>
    <row r="466" spans="2:3">
      <c r="C466" t="s">
        <v>1523</v>
      </c>
    </row>
    <row r="467" spans="2:3">
      <c r="C467" t="s">
        <v>1524</v>
      </c>
    </row>
    <row r="468" spans="2:3">
      <c r="B468" t="s">
        <v>448</v>
      </c>
    </row>
    <row r="469" spans="2:3">
      <c r="C469" t="s">
        <v>1525</v>
      </c>
    </row>
    <row r="470" spans="2:3">
      <c r="C470" t="s">
        <v>1526</v>
      </c>
    </row>
    <row r="471" spans="2:3">
      <c r="B471" t="s">
        <v>1527</v>
      </c>
    </row>
    <row r="472" spans="2:3">
      <c r="C472" t="s">
        <v>1528</v>
      </c>
    </row>
    <row r="473" spans="2:3">
      <c r="C473" t="s">
        <v>1529</v>
      </c>
    </row>
    <row r="475" spans="2:3">
      <c r="B475" s="11" t="s">
        <v>1197</v>
      </c>
    </row>
    <row r="477" spans="2:3">
      <c r="B477" t="s">
        <v>1530</v>
      </c>
    </row>
    <row r="478" spans="2:3">
      <c r="C478" t="s">
        <v>1531</v>
      </c>
    </row>
    <row r="479" spans="2:3">
      <c r="C479" t="s">
        <v>1532</v>
      </c>
    </row>
    <row r="480" spans="2:3">
      <c r="C480" t="s">
        <v>1533</v>
      </c>
    </row>
    <row r="481" spans="2:4">
      <c r="D481" t="s">
        <v>1534</v>
      </c>
    </row>
    <row r="482" spans="2:4">
      <c r="D482" t="s">
        <v>1535</v>
      </c>
    </row>
    <row r="483" spans="2:4">
      <c r="C483" t="s">
        <v>1536</v>
      </c>
    </row>
    <row r="484" spans="2:4">
      <c r="C484" t="s">
        <v>1537</v>
      </c>
    </row>
    <row r="486" spans="2:4">
      <c r="B486" t="s">
        <v>1538</v>
      </c>
    </row>
    <row r="487" spans="2:4">
      <c r="B487" t="s">
        <v>1539</v>
      </c>
    </row>
    <row r="488" spans="2:4">
      <c r="B488" t="s">
        <v>1540</v>
      </c>
    </row>
    <row r="489" spans="2:4">
      <c r="C489" t="s">
        <v>1541</v>
      </c>
    </row>
    <row r="490" spans="2:4">
      <c r="C490" t="s">
        <v>1542</v>
      </c>
    </row>
    <row r="491" spans="2:4">
      <c r="C491" t="s">
        <v>1543</v>
      </c>
    </row>
    <row r="492" spans="2:4">
      <c r="D492" t="s">
        <v>1544</v>
      </c>
    </row>
    <row r="493" spans="2:4">
      <c r="C493" t="s">
        <v>1545</v>
      </c>
    </row>
    <row r="494" spans="2:4">
      <c r="C494" t="s">
        <v>1546</v>
      </c>
    </row>
    <row r="496" spans="2:4">
      <c r="C496" t="s">
        <v>1547</v>
      </c>
    </row>
    <row r="497" spans="2:7">
      <c r="D497" t="s">
        <v>1548</v>
      </c>
    </row>
    <row r="498" spans="2:7">
      <c r="C498" t="s">
        <v>1549</v>
      </c>
    </row>
    <row r="500" spans="2:7">
      <c r="B500" s="43">
        <v>2017</v>
      </c>
    </row>
    <row r="501" spans="2:7">
      <c r="C501" t="s">
        <v>1550</v>
      </c>
    </row>
    <row r="502" spans="2:7">
      <c r="C502" t="s">
        <v>1551</v>
      </c>
    </row>
    <row r="503" spans="2:7">
      <c r="C503" t="s">
        <v>1552</v>
      </c>
    </row>
    <row r="504" spans="2:7">
      <c r="D504" t="s">
        <v>1553</v>
      </c>
    </row>
    <row r="505" spans="2:7">
      <c r="C505" t="s">
        <v>1554</v>
      </c>
    </row>
    <row r="506" spans="2:7">
      <c r="C506" t="s">
        <v>1555</v>
      </c>
    </row>
    <row r="508" spans="2:7">
      <c r="C508" t="s">
        <v>1556</v>
      </c>
      <c r="G508" t="s">
        <v>1557</v>
      </c>
    </row>
    <row r="509" spans="2:7">
      <c r="D509" t="s">
        <v>1558</v>
      </c>
    </row>
    <row r="510" spans="2:7">
      <c r="D510" t="s">
        <v>1559</v>
      </c>
    </row>
    <row r="511" spans="2:7">
      <c r="D511" t="s">
        <v>1560</v>
      </c>
    </row>
    <row r="512" spans="2:7">
      <c r="D512" t="s">
        <v>1561</v>
      </c>
    </row>
    <row r="513" spans="2:4">
      <c r="C513" t="s">
        <v>1562</v>
      </c>
    </row>
    <row r="514" spans="2:4">
      <c r="D514" t="s">
        <v>1563</v>
      </c>
    </row>
    <row r="515" spans="2:4">
      <c r="C515" t="s">
        <v>1564</v>
      </c>
    </row>
    <row r="516" spans="2:4">
      <c r="C516" t="s">
        <v>1565</v>
      </c>
    </row>
    <row r="518" spans="2:4">
      <c r="B518" t="s">
        <v>1566</v>
      </c>
    </row>
    <row r="519" spans="2:4">
      <c r="C519" t="s">
        <v>1567</v>
      </c>
    </row>
    <row r="520" spans="2:4">
      <c r="C520" t="s">
        <v>1568</v>
      </c>
    </row>
    <row r="522" spans="2:4">
      <c r="B522" t="s">
        <v>1569</v>
      </c>
    </row>
    <row r="524" spans="2:4">
      <c r="B524" t="s">
        <v>1570</v>
      </c>
    </row>
    <row r="525" spans="2:4">
      <c r="C525" t="s">
        <v>1571</v>
      </c>
    </row>
    <row r="526" spans="2:4">
      <c r="C526" t="s">
        <v>1572</v>
      </c>
    </row>
    <row r="527" spans="2:4">
      <c r="C527" t="s">
        <v>1573</v>
      </c>
      <c r="D527" t="s">
        <v>1574</v>
      </c>
    </row>
    <row r="528" spans="2:4">
      <c r="C528" t="s">
        <v>1573</v>
      </c>
      <c r="D528" t="s">
        <v>1575</v>
      </c>
    </row>
    <row r="529" spans="2:5">
      <c r="C529" s="919" t="s">
        <v>1576</v>
      </c>
      <c r="D529" s="919" t="s">
        <v>1403</v>
      </c>
    </row>
    <row r="530" spans="2:5">
      <c r="C530" t="s">
        <v>1577</v>
      </c>
      <c r="D530" t="s">
        <v>1578</v>
      </c>
    </row>
    <row r="532" spans="2:5">
      <c r="B532" t="s">
        <v>1579</v>
      </c>
    </row>
    <row r="533" spans="2:5">
      <c r="C533" t="s">
        <v>1580</v>
      </c>
    </row>
    <row r="534" spans="2:5">
      <c r="C534" t="s">
        <v>1581</v>
      </c>
    </row>
    <row r="535" spans="2:5">
      <c r="D535" t="s">
        <v>1582</v>
      </c>
    </row>
    <row r="536" spans="2:5">
      <c r="C536" t="s">
        <v>1583</v>
      </c>
    </row>
    <row r="538" spans="2:5">
      <c r="B538" t="s">
        <v>1584</v>
      </c>
    </row>
    <row r="539" spans="2:5">
      <c r="C539" t="s">
        <v>1585</v>
      </c>
      <c r="D539" t="s">
        <v>1586</v>
      </c>
    </row>
    <row r="540" spans="2:5">
      <c r="C540" t="s">
        <v>1587</v>
      </c>
      <c r="D540" t="s">
        <v>1588</v>
      </c>
    </row>
    <row r="541" spans="2:5">
      <c r="C541" t="s">
        <v>365</v>
      </c>
      <c r="D541" t="s">
        <v>1589</v>
      </c>
    </row>
    <row r="542" spans="2:5">
      <c r="D542" t="s">
        <v>1590</v>
      </c>
    </row>
    <row r="543" spans="2:5">
      <c r="E543" t="s">
        <v>1591</v>
      </c>
    </row>
    <row r="544" spans="2:5">
      <c r="D544" t="s">
        <v>1592</v>
      </c>
    </row>
    <row r="545" spans="2:4">
      <c r="C545" t="s">
        <v>1593</v>
      </c>
    </row>
    <row r="546" spans="2:4">
      <c r="C546" t="s">
        <v>1403</v>
      </c>
      <c r="D546" t="s">
        <v>1594</v>
      </c>
    </row>
    <row r="547" spans="2:4">
      <c r="D547" t="s">
        <v>1595</v>
      </c>
    </row>
    <row r="548" spans="2:4">
      <c r="D548" t="s">
        <v>1596</v>
      </c>
    </row>
    <row r="549" spans="2:4">
      <c r="C549" t="s">
        <v>1235</v>
      </c>
      <c r="D549" t="s">
        <v>1597</v>
      </c>
    </row>
    <row r="550" spans="2:4">
      <c r="C550" t="s">
        <v>1598</v>
      </c>
    </row>
    <row r="552" spans="2:4">
      <c r="B552" t="s">
        <v>1084</v>
      </c>
    </row>
    <row r="553" spans="2:4">
      <c r="C553" t="s">
        <v>1599</v>
      </c>
    </row>
    <row r="554" spans="2:4">
      <c r="C554" t="s">
        <v>1600</v>
      </c>
    </row>
    <row r="555" spans="2:4">
      <c r="C555" t="s">
        <v>1601</v>
      </c>
    </row>
    <row r="557" spans="2:4">
      <c r="B557" t="s">
        <v>1602</v>
      </c>
    </row>
    <row r="558" spans="2:4">
      <c r="C558" t="s">
        <v>1603</v>
      </c>
    </row>
    <row r="559" spans="2:4">
      <c r="C559" t="s">
        <v>1604</v>
      </c>
    </row>
    <row r="561" spans="2:5">
      <c r="B561" t="s">
        <v>1605</v>
      </c>
    </row>
    <row r="562" spans="2:5">
      <c r="C562" t="s">
        <v>1606</v>
      </c>
    </row>
    <row r="563" spans="2:5">
      <c r="C563" t="s">
        <v>1607</v>
      </c>
    </row>
    <row r="564" spans="2:5">
      <c r="D564" t="s">
        <v>1608</v>
      </c>
    </row>
    <row r="565" spans="2:5">
      <c r="D565" t="s">
        <v>1609</v>
      </c>
    </row>
    <row r="566" spans="2:5">
      <c r="D566" t="s">
        <v>1610</v>
      </c>
    </row>
    <row r="567" spans="2:5">
      <c r="E567" t="s">
        <v>1611</v>
      </c>
    </row>
    <row r="568" spans="2:5">
      <c r="C568" t="s">
        <v>1612</v>
      </c>
    </row>
    <row r="569" spans="2:5">
      <c r="D569" t="s">
        <v>1613</v>
      </c>
    </row>
    <row r="571" spans="2:5">
      <c r="B571" t="s">
        <v>1084</v>
      </c>
    </row>
    <row r="572" spans="2:5">
      <c r="C572" t="s">
        <v>1614</v>
      </c>
    </row>
    <row r="573" spans="2:5">
      <c r="C573" t="s">
        <v>1615</v>
      </c>
    </row>
    <row r="575" spans="2:5">
      <c r="B575" t="s">
        <v>1616</v>
      </c>
    </row>
    <row r="576" spans="2:5">
      <c r="C576" t="s">
        <v>1617</v>
      </c>
    </row>
    <row r="577" spans="2:4">
      <c r="D577" t="s">
        <v>1618</v>
      </c>
    </row>
    <row r="578" spans="2:4">
      <c r="C578" t="s">
        <v>1619</v>
      </c>
    </row>
    <row r="579" spans="2:4">
      <c r="D579" s="11" t="s">
        <v>1620</v>
      </c>
    </row>
    <row r="580" spans="2:4">
      <c r="D580" t="s">
        <v>1621</v>
      </c>
    </row>
    <row r="581" spans="2:4">
      <c r="D581" t="s">
        <v>1622</v>
      </c>
    </row>
    <row r="582" spans="2:4">
      <c r="D582" t="s">
        <v>1623</v>
      </c>
    </row>
    <row r="583" spans="2:4">
      <c r="D583" t="s">
        <v>1398</v>
      </c>
    </row>
    <row r="585" spans="2:4">
      <c r="B585" t="s">
        <v>1624</v>
      </c>
    </row>
    <row r="586" spans="2:4">
      <c r="C586" t="s">
        <v>1625</v>
      </c>
    </row>
    <row r="587" spans="2:4">
      <c r="C587" t="s">
        <v>1626</v>
      </c>
    </row>
    <row r="588" spans="2:4">
      <c r="C588" t="s">
        <v>1627</v>
      </c>
    </row>
    <row r="590" spans="2:4">
      <c r="B590" t="s">
        <v>1628</v>
      </c>
    </row>
    <row r="591" spans="2:4">
      <c r="C591" t="s">
        <v>1629</v>
      </c>
    </row>
    <row r="593" spans="2:13">
      <c r="B593" t="s">
        <v>1630</v>
      </c>
    </row>
    <row r="595" spans="2:13">
      <c r="B595" s="11" t="s">
        <v>1631</v>
      </c>
    </row>
    <row r="596" spans="2:13">
      <c r="B596" t="s">
        <v>1632</v>
      </c>
    </row>
    <row r="598" spans="2:13">
      <c r="B598" s="41" t="s">
        <v>1633</v>
      </c>
    </row>
    <row r="600" spans="2:13">
      <c r="B600" t="s">
        <v>1634</v>
      </c>
    </row>
    <row r="601" spans="2:13">
      <c r="B601" t="s">
        <v>1635</v>
      </c>
    </row>
    <row r="602" spans="2:13">
      <c r="C602" t="s">
        <v>1636</v>
      </c>
    </row>
    <row r="603" spans="2:13">
      <c r="E603" t="s">
        <v>1637</v>
      </c>
      <c r="K603" s="15">
        <f>J604/J608</f>
        <v>0.19636866005699177</v>
      </c>
    </row>
    <row r="604" spans="2:13">
      <c r="D604" t="s">
        <v>1638</v>
      </c>
      <c r="J604" s="17">
        <f>0.265*Quarts!AH67</f>
        <v>514.25024695725006</v>
      </c>
      <c r="K604" t="s">
        <v>1639</v>
      </c>
    </row>
    <row r="605" spans="2:13">
      <c r="C605" t="s">
        <v>1640</v>
      </c>
      <c r="J605" s="17">
        <f>J604*0.75</f>
        <v>385.68768521793754</v>
      </c>
      <c r="K605" t="s">
        <v>1641</v>
      </c>
    </row>
    <row r="606" spans="2:13">
      <c r="D606" s="44" t="s">
        <v>1642</v>
      </c>
      <c r="E606">
        <v>16.5</v>
      </c>
      <c r="J606" s="17">
        <f>J604-J605</f>
        <v>128.56256173931251</v>
      </c>
      <c r="K606" t="s">
        <v>1643</v>
      </c>
    </row>
    <row r="607" spans="2:13">
      <c r="C607" t="s">
        <v>1644</v>
      </c>
      <c r="K607" t="s">
        <v>1645</v>
      </c>
      <c r="L607" t="s">
        <v>1646</v>
      </c>
    </row>
    <row r="608" spans="2:13">
      <c r="J608" s="17">
        <f>Quarts!AH138</f>
        <v>2618.8000000000002</v>
      </c>
      <c r="K608" s="15">
        <f>J606/J608</f>
        <v>4.9092165014247943E-2</v>
      </c>
      <c r="L608" s="15">
        <f>J604*0.5/J608</f>
        <v>9.8184330028495886E-2</v>
      </c>
      <c r="M608" t="s">
        <v>1647</v>
      </c>
    </row>
    <row r="609" spans="2:13">
      <c r="C609" t="s">
        <v>1235</v>
      </c>
      <c r="L609" s="18">
        <f>J604*0.5/Quarts!AH72</f>
        <v>6.0937344111535736E-2</v>
      </c>
      <c r="M609" t="s">
        <v>1648</v>
      </c>
    </row>
    <row r="610" spans="2:13">
      <c r="C610" t="s">
        <v>1649</v>
      </c>
    </row>
    <row r="611" spans="2:13">
      <c r="C611" t="s">
        <v>1650</v>
      </c>
    </row>
    <row r="612" spans="2:13">
      <c r="C612" t="s">
        <v>1651</v>
      </c>
    </row>
    <row r="613" spans="2:13">
      <c r="C613" t="s">
        <v>1652</v>
      </c>
    </row>
    <row r="615" spans="2:13">
      <c r="B615" t="s">
        <v>1653</v>
      </c>
    </row>
    <row r="616" spans="2:13">
      <c r="C616" t="s">
        <v>1654</v>
      </c>
    </row>
    <row r="617" spans="2:13">
      <c r="C617" t="s">
        <v>1655</v>
      </c>
    </row>
    <row r="618" spans="2:13">
      <c r="C618" t="s">
        <v>1656</v>
      </c>
    </row>
    <row r="619" spans="2:13">
      <c r="E619" t="s">
        <v>1657</v>
      </c>
    </row>
    <row r="620" spans="2:13">
      <c r="E620" t="s">
        <v>1658</v>
      </c>
    </row>
    <row r="621" spans="2:13">
      <c r="B621" t="s">
        <v>1659</v>
      </c>
    </row>
    <row r="623" spans="2:13">
      <c r="B623" t="s">
        <v>1660</v>
      </c>
    </row>
    <row r="624" spans="2:13">
      <c r="C624" t="s">
        <v>1661</v>
      </c>
    </row>
    <row r="626" spans="2:10">
      <c r="B626" s="43">
        <v>2016</v>
      </c>
    </row>
    <row r="627" spans="2:10">
      <c r="C627" t="s">
        <v>1662</v>
      </c>
    </row>
    <row r="628" spans="2:10">
      <c r="B628" s="43">
        <v>2017</v>
      </c>
      <c r="I628">
        <v>100</v>
      </c>
      <c r="J628">
        <f>I628*1.1</f>
        <v>110.00000000000001</v>
      </c>
    </row>
    <row r="629" spans="2:10">
      <c r="C629" t="s">
        <v>1663</v>
      </c>
      <c r="I629">
        <v>40</v>
      </c>
      <c r="J629">
        <f>I629*1.11</f>
        <v>44.400000000000006</v>
      </c>
    </row>
    <row r="630" spans="2:10">
      <c r="D630" t="s">
        <v>1664</v>
      </c>
    </row>
    <row r="631" spans="2:10">
      <c r="D631" t="s">
        <v>1665</v>
      </c>
      <c r="I631" s="18">
        <f>I629/I628</f>
        <v>0.4</v>
      </c>
      <c r="J631" s="18">
        <f>J629/J628</f>
        <v>0.40363636363636363</v>
      </c>
    </row>
    <row r="632" spans="2:10">
      <c r="E632" t="s">
        <v>1666</v>
      </c>
    </row>
    <row r="633" spans="2:10">
      <c r="E633" t="s">
        <v>1667</v>
      </c>
    </row>
    <row r="634" spans="2:10">
      <c r="E634" t="s">
        <v>1668</v>
      </c>
    </row>
    <row r="635" spans="2:10">
      <c r="E635" t="s">
        <v>1669</v>
      </c>
    </row>
    <row r="636" spans="2:10">
      <c r="F636" t="s">
        <v>1670</v>
      </c>
      <c r="H636" t="s">
        <v>1671</v>
      </c>
    </row>
    <row r="637" spans="2:10">
      <c r="F637" t="s">
        <v>1672</v>
      </c>
    </row>
    <row r="638" spans="2:10">
      <c r="C638" t="s">
        <v>1673</v>
      </c>
    </row>
    <row r="639" spans="2:10">
      <c r="C639" t="s">
        <v>1674</v>
      </c>
    </row>
    <row r="640" spans="2:10">
      <c r="D640" t="s">
        <v>1675</v>
      </c>
    </row>
    <row r="641" spans="2:7">
      <c r="D641" t="s">
        <v>1676</v>
      </c>
    </row>
    <row r="642" spans="2:7">
      <c r="C642" t="s">
        <v>1677</v>
      </c>
    </row>
    <row r="643" spans="2:7">
      <c r="D643" t="s">
        <v>1678</v>
      </c>
    </row>
    <row r="644" spans="2:7">
      <c r="E644" t="s">
        <v>1679</v>
      </c>
    </row>
    <row r="645" spans="2:7">
      <c r="E645" t="s">
        <v>1680</v>
      </c>
    </row>
    <row r="646" spans="2:7">
      <c r="D646" t="s">
        <v>1681</v>
      </c>
    </row>
    <row r="647" spans="2:7">
      <c r="C647" t="s">
        <v>1682</v>
      </c>
    </row>
    <row r="648" spans="2:7">
      <c r="C648" t="s">
        <v>1683</v>
      </c>
    </row>
    <row r="649" spans="2:7">
      <c r="D649" t="s">
        <v>1684</v>
      </c>
    </row>
    <row r="651" spans="2:7">
      <c r="B651" s="43">
        <v>2017</v>
      </c>
    </row>
    <row r="652" spans="2:7">
      <c r="C652" t="s">
        <v>1685</v>
      </c>
    </row>
    <row r="653" spans="2:7">
      <c r="D653" s="13" t="s">
        <v>1686</v>
      </c>
      <c r="E653" s="13" t="s">
        <v>1687</v>
      </c>
      <c r="F653" s="13" t="s">
        <v>1688</v>
      </c>
    </row>
    <row r="654" spans="2:7">
      <c r="B654" t="s">
        <v>437</v>
      </c>
      <c r="C654" s="919"/>
      <c r="D654" s="919">
        <v>2016</v>
      </c>
      <c r="E654" s="919">
        <v>2016</v>
      </c>
      <c r="F654" s="919">
        <v>2016</v>
      </c>
      <c r="G654" s="919">
        <v>2017</v>
      </c>
    </row>
    <row r="655" spans="2:7">
      <c r="C655" t="s">
        <v>1403</v>
      </c>
      <c r="D655" s="15">
        <v>0.11</v>
      </c>
      <c r="E655" s="15">
        <v>0.09</v>
      </c>
      <c r="F655" s="15">
        <v>7.0000000000000007E-2</v>
      </c>
      <c r="G655" s="15">
        <v>0.08</v>
      </c>
    </row>
    <row r="656" spans="2:7">
      <c r="C656" t="s">
        <v>527</v>
      </c>
      <c r="E656" s="15">
        <v>0.22500000000000001</v>
      </c>
      <c r="F656" s="15">
        <v>0.2</v>
      </c>
      <c r="G656" s="15">
        <v>0.18</v>
      </c>
    </row>
    <row r="657" spans="2:7">
      <c r="C657" t="s">
        <v>1574</v>
      </c>
      <c r="D657" s="15">
        <v>0.18</v>
      </c>
      <c r="E657" s="15">
        <v>0.255</v>
      </c>
      <c r="F657" s="15">
        <v>0.3</v>
      </c>
      <c r="G657" s="15">
        <v>0.24</v>
      </c>
    </row>
    <row r="659" spans="2:7">
      <c r="B659" t="s">
        <v>1689</v>
      </c>
    </row>
    <row r="660" spans="2:7">
      <c r="C660" t="s">
        <v>1690</v>
      </c>
    </row>
    <row r="661" spans="2:7">
      <c r="C661" t="s">
        <v>1691</v>
      </c>
    </row>
    <row r="662" spans="2:7">
      <c r="B662" t="s">
        <v>1692</v>
      </c>
    </row>
    <row r="664" spans="2:7">
      <c r="B664" t="s">
        <v>1693</v>
      </c>
    </row>
    <row r="665" spans="2:7">
      <c r="C665" t="s">
        <v>1694</v>
      </c>
    </row>
    <row r="666" spans="2:7">
      <c r="C666" t="s">
        <v>1695</v>
      </c>
    </row>
    <row r="667" spans="2:7">
      <c r="D667" t="s">
        <v>1696</v>
      </c>
    </row>
    <row r="668" spans="2:7">
      <c r="B668" t="s">
        <v>1697</v>
      </c>
    </row>
    <row r="669" spans="2:7">
      <c r="B669" t="s">
        <v>1698</v>
      </c>
    </row>
    <row r="671" spans="2:7">
      <c r="B671" t="s">
        <v>1531</v>
      </c>
    </row>
    <row r="672" spans="2:7">
      <c r="C672" t="s">
        <v>1699</v>
      </c>
    </row>
    <row r="673" spans="2:5">
      <c r="C673" t="s">
        <v>1700</v>
      </c>
    </row>
    <row r="674" spans="2:5">
      <c r="C674" t="s">
        <v>1701</v>
      </c>
    </row>
    <row r="675" spans="2:5">
      <c r="C675" t="s">
        <v>1702</v>
      </c>
    </row>
    <row r="677" spans="2:5">
      <c r="B677" t="s">
        <v>1380</v>
      </c>
    </row>
    <row r="678" spans="2:5">
      <c r="C678" t="s">
        <v>1703</v>
      </c>
    </row>
    <row r="679" spans="2:5">
      <c r="D679" t="s">
        <v>1704</v>
      </c>
    </row>
    <row r="680" spans="2:5">
      <c r="C680" t="s">
        <v>1705</v>
      </c>
    </row>
    <row r="681" spans="2:5">
      <c r="C681" t="s">
        <v>1706</v>
      </c>
    </row>
    <row r="683" spans="2:5">
      <c r="B683" t="s">
        <v>1707</v>
      </c>
    </row>
    <row r="684" spans="2:5">
      <c r="C684" t="s">
        <v>1708</v>
      </c>
      <c r="E684">
        <f>120*20</f>
        <v>2400</v>
      </c>
    </row>
    <row r="686" spans="2:5">
      <c r="B686" t="s">
        <v>1709</v>
      </c>
    </row>
    <row r="687" spans="2:5">
      <c r="C687" t="s">
        <v>1710</v>
      </c>
    </row>
    <row r="688" spans="2:5">
      <c r="C688" t="s">
        <v>1711</v>
      </c>
    </row>
    <row r="689" spans="2:4">
      <c r="C689" t="s">
        <v>1712</v>
      </c>
    </row>
    <row r="691" spans="2:4">
      <c r="B691" s="41" t="s">
        <v>1713</v>
      </c>
    </row>
    <row r="693" spans="2:4">
      <c r="B693" t="s">
        <v>1714</v>
      </c>
    </row>
    <row r="694" spans="2:4">
      <c r="B694" t="s">
        <v>1715</v>
      </c>
    </row>
    <row r="695" spans="2:4">
      <c r="C695" t="s">
        <v>1716</v>
      </c>
    </row>
    <row r="696" spans="2:4">
      <c r="B696" t="s">
        <v>1717</v>
      </c>
    </row>
    <row r="697" spans="2:4">
      <c r="C697" t="s">
        <v>1718</v>
      </c>
    </row>
    <row r="698" spans="2:4">
      <c r="C698" t="s">
        <v>1719</v>
      </c>
    </row>
    <row r="699" spans="2:4">
      <c r="C699" t="s">
        <v>1720</v>
      </c>
    </row>
    <row r="700" spans="2:4">
      <c r="B700" t="s">
        <v>1721</v>
      </c>
    </row>
    <row r="701" spans="2:4">
      <c r="C701" t="s">
        <v>1722</v>
      </c>
    </row>
    <row r="702" spans="2:4">
      <c r="C702" t="s">
        <v>1723</v>
      </c>
    </row>
    <row r="703" spans="2:4">
      <c r="D703" t="s">
        <v>1724</v>
      </c>
    </row>
    <row r="704" spans="2:4">
      <c r="C704" t="s">
        <v>1725</v>
      </c>
    </row>
    <row r="705" spans="2:4">
      <c r="D705" t="s">
        <v>1726</v>
      </c>
    </row>
    <row r="706" spans="2:4">
      <c r="B706" t="s">
        <v>1727</v>
      </c>
    </row>
    <row r="707" spans="2:4">
      <c r="C707" t="s">
        <v>1728</v>
      </c>
    </row>
    <row r="708" spans="2:4">
      <c r="B708" t="s">
        <v>1729</v>
      </c>
    </row>
    <row r="709" spans="2:4">
      <c r="C709" t="s">
        <v>1730</v>
      </c>
    </row>
    <row r="710" spans="2:4">
      <c r="C710" t="s">
        <v>1731</v>
      </c>
    </row>
    <row r="711" spans="2:4">
      <c r="D711" t="s">
        <v>1732</v>
      </c>
    </row>
    <row r="712" spans="2:4">
      <c r="C712" t="s">
        <v>1733</v>
      </c>
    </row>
    <row r="713" spans="2:4">
      <c r="B713" t="s">
        <v>752</v>
      </c>
    </row>
    <row r="714" spans="2:4">
      <c r="C714" t="s">
        <v>1734</v>
      </c>
    </row>
    <row r="715" spans="2:4">
      <c r="C715" t="s">
        <v>1735</v>
      </c>
    </row>
    <row r="716" spans="2:4">
      <c r="D716" t="s">
        <v>1736</v>
      </c>
    </row>
    <row r="717" spans="2:4">
      <c r="B717" t="s">
        <v>1737</v>
      </c>
    </row>
    <row r="718" spans="2:4">
      <c r="C718" t="s">
        <v>1738</v>
      </c>
    </row>
    <row r="719" spans="2:4">
      <c r="D719" t="s">
        <v>1739</v>
      </c>
    </row>
    <row r="720" spans="2:4">
      <c r="D720" t="s">
        <v>1740</v>
      </c>
    </row>
    <row r="721" spans="1:4">
      <c r="C721" t="s">
        <v>529</v>
      </c>
    </row>
    <row r="722" spans="1:4">
      <c r="D722" t="s">
        <v>1741</v>
      </c>
    </row>
    <row r="723" spans="1:4">
      <c r="B723" t="s">
        <v>1742</v>
      </c>
    </row>
    <row r="724" spans="1:4">
      <c r="C724" t="s">
        <v>1743</v>
      </c>
    </row>
    <row r="725" spans="1:4">
      <c r="A725" t="s">
        <v>65</v>
      </c>
      <c r="C725" t="s">
        <v>1744</v>
      </c>
    </row>
    <row r="726" spans="1:4">
      <c r="B726" t="s">
        <v>1745</v>
      </c>
    </row>
    <row r="727" spans="1:4">
      <c r="C727" t="s">
        <v>1746</v>
      </c>
    </row>
    <row r="728" spans="1:4">
      <c r="D728" t="s">
        <v>1747</v>
      </c>
    </row>
    <row r="729" spans="1:4">
      <c r="D729" t="s">
        <v>1748</v>
      </c>
    </row>
    <row r="730" spans="1:4">
      <c r="C730" t="s">
        <v>1749</v>
      </c>
    </row>
    <row r="731" spans="1:4">
      <c r="D731" t="s">
        <v>1750</v>
      </c>
    </row>
    <row r="732" spans="1:4">
      <c r="B732" t="s">
        <v>1751</v>
      </c>
    </row>
    <row r="733" spans="1:4">
      <c r="C733" t="s">
        <v>1752</v>
      </c>
    </row>
    <row r="734" spans="1:4">
      <c r="C734" t="s">
        <v>1753</v>
      </c>
    </row>
    <row r="735" spans="1:4">
      <c r="B735" t="s">
        <v>1754</v>
      </c>
    </row>
    <row r="736" spans="1:4">
      <c r="C736" t="s">
        <v>1755</v>
      </c>
    </row>
    <row r="737" spans="2:3">
      <c r="B737" t="s">
        <v>1756</v>
      </c>
    </row>
    <row r="738" spans="2:3">
      <c r="B738" t="s">
        <v>1757</v>
      </c>
    </row>
    <row r="739" spans="2:3">
      <c r="C739" t="s">
        <v>1758</v>
      </c>
    </row>
    <row r="740" spans="2:3">
      <c r="C740" t="s">
        <v>1759</v>
      </c>
    </row>
    <row r="741" spans="2:3">
      <c r="C741" t="s">
        <v>1760</v>
      </c>
    </row>
    <row r="742" spans="2:3">
      <c r="C742" t="s">
        <v>1761</v>
      </c>
    </row>
    <row r="743" spans="2:3">
      <c r="C743" t="s">
        <v>1762</v>
      </c>
    </row>
    <row r="744" spans="2:3">
      <c r="B744" t="s">
        <v>1763</v>
      </c>
    </row>
    <row r="745" spans="2:3">
      <c r="C745" t="s">
        <v>1764</v>
      </c>
    </row>
    <row r="746" spans="2:3">
      <c r="C746" t="s">
        <v>1765</v>
      </c>
    </row>
    <row r="747" spans="2:3">
      <c r="C747" t="s">
        <v>1766</v>
      </c>
    </row>
    <row r="748" spans="2:3">
      <c r="B748" t="s">
        <v>1767</v>
      </c>
    </row>
    <row r="749" spans="2:3">
      <c r="B749" t="s">
        <v>1768</v>
      </c>
    </row>
    <row r="750" spans="2:3">
      <c r="C750" t="s">
        <v>1769</v>
      </c>
    </row>
    <row r="751" spans="2:3">
      <c r="B751" t="s">
        <v>1770</v>
      </c>
    </row>
    <row r="752" spans="2:3">
      <c r="C752" t="s">
        <v>1771</v>
      </c>
    </row>
    <row r="753" spans="2:4">
      <c r="B753" t="s">
        <v>1772</v>
      </c>
    </row>
    <row r="754" spans="2:4">
      <c r="C754" t="s">
        <v>1773</v>
      </c>
    </row>
    <row r="755" spans="2:4">
      <c r="C755" t="s">
        <v>1774</v>
      </c>
    </row>
    <row r="756" spans="2:4">
      <c r="B756" t="s">
        <v>292</v>
      </c>
    </row>
    <row r="757" spans="2:4">
      <c r="C757" t="s">
        <v>1775</v>
      </c>
    </row>
    <row r="758" spans="2:4">
      <c r="C758" t="s">
        <v>1776</v>
      </c>
    </row>
    <row r="759" spans="2:4">
      <c r="C759" t="s">
        <v>1777</v>
      </c>
    </row>
    <row r="760" spans="2:4">
      <c r="D760" t="s">
        <v>1778</v>
      </c>
    </row>
    <row r="761" spans="2:4">
      <c r="B761" t="s">
        <v>147</v>
      </c>
    </row>
    <row r="762" spans="2:4">
      <c r="C762" t="s">
        <v>1779</v>
      </c>
    </row>
    <row r="763" spans="2:4">
      <c r="C763" t="s">
        <v>1780</v>
      </c>
    </row>
    <row r="764" spans="2:4">
      <c r="C764" t="s">
        <v>1781</v>
      </c>
    </row>
    <row r="765" spans="2:4">
      <c r="C765" t="s">
        <v>1782</v>
      </c>
    </row>
    <row r="766" spans="2:4">
      <c r="B766" t="s">
        <v>1783</v>
      </c>
    </row>
    <row r="767" spans="2:4">
      <c r="C767" t="s">
        <v>1784</v>
      </c>
    </row>
    <row r="768" spans="2:4">
      <c r="C768" t="s">
        <v>1785</v>
      </c>
    </row>
    <row r="769" spans="2:4">
      <c r="D769" t="s">
        <v>1786</v>
      </c>
    </row>
    <row r="770" spans="2:4">
      <c r="D770" t="s">
        <v>1787</v>
      </c>
    </row>
    <row r="771" spans="2:4">
      <c r="C771" t="s">
        <v>1788</v>
      </c>
    </row>
    <row r="772" spans="2:4">
      <c r="D772" t="s">
        <v>1789</v>
      </c>
    </row>
    <row r="773" spans="2:4">
      <c r="C773" t="s">
        <v>1790</v>
      </c>
    </row>
    <row r="774" spans="2:4">
      <c r="B774" t="s">
        <v>1791</v>
      </c>
    </row>
    <row r="775" spans="2:4">
      <c r="C775" t="s">
        <v>1792</v>
      </c>
    </row>
    <row r="776" spans="2:4">
      <c r="B776" t="s">
        <v>1793</v>
      </c>
    </row>
    <row r="777" spans="2:4">
      <c r="C777" t="s">
        <v>1794</v>
      </c>
    </row>
    <row r="778" spans="2:4">
      <c r="C778" t="s">
        <v>1795</v>
      </c>
    </row>
    <row r="779" spans="2:4">
      <c r="B779" t="s">
        <v>1796</v>
      </c>
    </row>
    <row r="780" spans="2:4">
      <c r="B780" t="s">
        <v>1531</v>
      </c>
    </row>
    <row r="781" spans="2:4">
      <c r="C781" t="s">
        <v>1797</v>
      </c>
    </row>
    <row r="782" spans="2:4">
      <c r="C782" t="s">
        <v>1798</v>
      </c>
    </row>
    <row r="783" spans="2:4">
      <c r="C783" t="s">
        <v>1799</v>
      </c>
    </row>
    <row r="784" spans="2:4">
      <c r="D784" t="s">
        <v>1800</v>
      </c>
    </row>
    <row r="785" spans="3:4">
      <c r="D785" t="s">
        <v>1801</v>
      </c>
    </row>
    <row r="786" spans="3:4">
      <c r="D786" t="s">
        <v>1802</v>
      </c>
    </row>
    <row r="787" spans="3:4">
      <c r="D787" t="s">
        <v>1803</v>
      </c>
    </row>
    <row r="788" spans="3:4">
      <c r="C788" t="s">
        <v>1804</v>
      </c>
    </row>
    <row r="789" spans="3:4">
      <c r="C789" s="11" t="s">
        <v>1805</v>
      </c>
    </row>
    <row r="790" spans="3:4">
      <c r="D790" t="s">
        <v>1806</v>
      </c>
    </row>
    <row r="791" spans="3:4">
      <c r="D791" t="s">
        <v>1807</v>
      </c>
    </row>
    <row r="792" spans="3:4">
      <c r="D792" t="s">
        <v>1808</v>
      </c>
    </row>
    <row r="793" spans="3:4">
      <c r="C793" t="s">
        <v>1809</v>
      </c>
    </row>
    <row r="794" spans="3:4">
      <c r="D794" t="s">
        <v>1810</v>
      </c>
    </row>
    <row r="795" spans="3:4">
      <c r="C795" t="s">
        <v>1811</v>
      </c>
    </row>
    <row r="796" spans="3:4">
      <c r="D796" t="s">
        <v>1812</v>
      </c>
    </row>
    <row r="797" spans="3:4">
      <c r="C797" t="s">
        <v>1813</v>
      </c>
    </row>
    <row r="798" spans="3:4">
      <c r="D798" t="s">
        <v>1814</v>
      </c>
    </row>
    <row r="799" spans="3:4">
      <c r="C799" t="s">
        <v>1815</v>
      </c>
    </row>
    <row r="800" spans="3:4">
      <c r="C800" t="s">
        <v>1816</v>
      </c>
    </row>
    <row r="801" spans="2:4">
      <c r="D801" t="s">
        <v>1817</v>
      </c>
    </row>
    <row r="802" spans="2:4">
      <c r="D802" t="s">
        <v>1818</v>
      </c>
    </row>
    <row r="803" spans="2:4">
      <c r="D803" t="s">
        <v>1819</v>
      </c>
    </row>
    <row r="804" spans="2:4">
      <c r="B804" t="s">
        <v>151</v>
      </c>
    </row>
    <row r="805" spans="2:4">
      <c r="C805" t="s">
        <v>1820</v>
      </c>
    </row>
    <row r="806" spans="2:4">
      <c r="D806" t="s">
        <v>1821</v>
      </c>
    </row>
    <row r="807" spans="2:4">
      <c r="D807" t="s">
        <v>1822</v>
      </c>
    </row>
    <row r="808" spans="2:4">
      <c r="D808" t="s">
        <v>1823</v>
      </c>
    </row>
    <row r="809" spans="2:4">
      <c r="B809" t="s">
        <v>1824</v>
      </c>
    </row>
    <row r="810" spans="2:4">
      <c r="C810" t="s">
        <v>1825</v>
      </c>
    </row>
    <row r="811" spans="2:4">
      <c r="C811" t="s">
        <v>1826</v>
      </c>
    </row>
    <row r="812" spans="2:4">
      <c r="B812" t="s">
        <v>114</v>
      </c>
    </row>
    <row r="813" spans="2:4">
      <c r="C813" t="s">
        <v>1827</v>
      </c>
    </row>
    <row r="814" spans="2:4">
      <c r="C814" t="s">
        <v>1828</v>
      </c>
    </row>
    <row r="818" spans="2:8">
      <c r="B818" s="957">
        <v>2017</v>
      </c>
      <c r="C818" s="919" t="s">
        <v>735</v>
      </c>
      <c r="D818" s="921" t="s">
        <v>515</v>
      </c>
    </row>
    <row r="819" spans="2:8">
      <c r="B819" t="s">
        <v>1829</v>
      </c>
      <c r="C819" s="19">
        <v>19</v>
      </c>
      <c r="D819" s="16">
        <f>Master!Q8/1000</f>
        <v>17.286999999999999</v>
      </c>
    </row>
    <row r="820" spans="2:8">
      <c r="B820" t="s">
        <v>1830</v>
      </c>
      <c r="C820" s="15">
        <v>0.13</v>
      </c>
    </row>
    <row r="821" spans="2:8">
      <c r="B821" t="s">
        <v>1831</v>
      </c>
      <c r="C821" s="19">
        <v>8</v>
      </c>
      <c r="D821" s="16">
        <f>Master!Q13/1000</f>
        <v>7.7149999999999999</v>
      </c>
    </row>
    <row r="822" spans="2:8">
      <c r="B822" t="s">
        <v>1830</v>
      </c>
      <c r="C822" s="15">
        <v>0.16</v>
      </c>
    </row>
    <row r="823" spans="2:8">
      <c r="B823" t="s">
        <v>365</v>
      </c>
      <c r="C823" s="15">
        <v>0.42</v>
      </c>
      <c r="D823" s="18">
        <f>D821/D819</f>
        <v>0.44628911899114942</v>
      </c>
    </row>
    <row r="824" spans="2:8">
      <c r="B824" t="s">
        <v>1832</v>
      </c>
      <c r="C824">
        <v>240</v>
      </c>
      <c r="D824" s="17">
        <f>Master!Q48</f>
        <v>253.62162162162161</v>
      </c>
    </row>
    <row r="826" spans="2:8">
      <c r="B826" s="43">
        <v>2017</v>
      </c>
      <c r="C826" s="13" t="s">
        <v>735</v>
      </c>
      <c r="D826" s="13"/>
      <c r="E826" s="13" t="s">
        <v>515</v>
      </c>
      <c r="F826" s="13"/>
      <c r="G826" s="13" t="s">
        <v>1833</v>
      </c>
    </row>
    <row r="827" spans="2:8">
      <c r="B827" s="919" t="s">
        <v>436</v>
      </c>
      <c r="C827" s="921" t="s">
        <v>1834</v>
      </c>
      <c r="D827" s="921" t="s">
        <v>327</v>
      </c>
      <c r="E827" s="921" t="str">
        <f>C827</f>
        <v>growth</v>
      </c>
      <c r="F827" s="921" t="str">
        <f>D827</f>
        <v>adds</v>
      </c>
      <c r="G827" s="921" t="s">
        <v>1835</v>
      </c>
    </row>
    <row r="828" spans="2:8">
      <c r="B828" t="s">
        <v>1403</v>
      </c>
      <c r="C828" s="15">
        <v>0.05</v>
      </c>
      <c r="D828" s="17">
        <f>(1+C828)*Quarts!AI12-Quarts!AI12</f>
        <v>148.55999999999995</v>
      </c>
      <c r="E828" s="15">
        <f>Fixed!L17</f>
        <v>2.322450353416361E-2</v>
      </c>
      <c r="F828" s="14">
        <f>Fixed!L16</f>
        <v>69</v>
      </c>
      <c r="G828" s="15">
        <f>Quarts!AJ13/Notes!D828</f>
        <v>-0.42545772751749933</v>
      </c>
    </row>
    <row r="829" spans="2:8">
      <c r="B829" t="s">
        <v>527</v>
      </c>
      <c r="C829" s="15">
        <f>G656</f>
        <v>0.18</v>
      </c>
      <c r="D829" s="17">
        <f>(1+C829)*Quarts!AI19-Quarts!AI19</f>
        <v>400.96799999999985</v>
      </c>
      <c r="E829" s="15" t="e">
        <f>Fixed!#REF!</f>
        <v>#REF!</v>
      </c>
      <c r="F829" s="14">
        <f>Fixed!L26</f>
        <v>397</v>
      </c>
      <c r="G829" s="15">
        <f>Quarts!AJ20/Notes!D829</f>
        <v>0.1890200714271468</v>
      </c>
    </row>
    <row r="830" spans="2:8">
      <c r="B830" t="s">
        <v>40</v>
      </c>
      <c r="C830" s="15">
        <v>0.2</v>
      </c>
      <c r="D830" s="17">
        <f>(1+C830)*Quarts!AI24-Quarts!AI24</f>
        <v>235.20000000000005</v>
      </c>
      <c r="E830" s="15">
        <f>Fixed!L36</f>
        <v>0.24744897959183665</v>
      </c>
      <c r="F830" s="14">
        <f>Fixed!L35</f>
        <v>291</v>
      </c>
      <c r="G830" s="15">
        <f>Quarts!AJ25/Notes!D830</f>
        <v>9.7704081632653123E-2</v>
      </c>
    </row>
    <row r="832" spans="2:8">
      <c r="B832" s="41" t="s">
        <v>397</v>
      </c>
      <c r="H832" s="11" t="s">
        <v>1197</v>
      </c>
    </row>
    <row r="834" spans="2:8">
      <c r="B834" t="s">
        <v>1836</v>
      </c>
      <c r="H834" t="s">
        <v>1837</v>
      </c>
    </row>
    <row r="835" spans="2:8">
      <c r="B835" t="s">
        <v>1838</v>
      </c>
      <c r="C835" t="s">
        <v>1839</v>
      </c>
      <c r="H835" t="s">
        <v>1840</v>
      </c>
    </row>
    <row r="837" spans="2:8">
      <c r="B837" t="s">
        <v>1841</v>
      </c>
    </row>
    <row r="838" spans="2:8">
      <c r="B838" t="s">
        <v>1842</v>
      </c>
    </row>
    <row r="839" spans="2:8">
      <c r="B839" t="s">
        <v>1843</v>
      </c>
    </row>
    <row r="841" spans="2:8">
      <c r="B841" t="s">
        <v>1844</v>
      </c>
    </row>
    <row r="842" spans="2:8">
      <c r="C842" t="s">
        <v>1845</v>
      </c>
    </row>
    <row r="843" spans="2:8">
      <c r="B843" t="s">
        <v>1846</v>
      </c>
    </row>
    <row r="844" spans="2:8">
      <c r="C844" t="s">
        <v>1847</v>
      </c>
    </row>
    <row r="845" spans="2:8">
      <c r="C845" t="s">
        <v>1848</v>
      </c>
    </row>
    <row r="846" spans="2:8">
      <c r="B846" t="s">
        <v>1849</v>
      </c>
    </row>
    <row r="847" spans="2:8">
      <c r="B847" t="s">
        <v>1850</v>
      </c>
    </row>
    <row r="849" spans="2:4">
      <c r="B849" t="s">
        <v>1851</v>
      </c>
    </row>
    <row r="850" spans="2:4">
      <c r="C850" t="s">
        <v>1852</v>
      </c>
    </row>
    <row r="851" spans="2:4">
      <c r="D851" t="s">
        <v>1853</v>
      </c>
    </row>
    <row r="852" spans="2:4">
      <c r="D852" t="s">
        <v>1854</v>
      </c>
    </row>
    <row r="853" spans="2:4">
      <c r="D853" t="s">
        <v>1855</v>
      </c>
    </row>
    <row r="854" spans="2:4">
      <c r="D854" t="s">
        <v>1856</v>
      </c>
    </row>
    <row r="855" spans="2:4">
      <c r="C855" t="s">
        <v>1857</v>
      </c>
    </row>
    <row r="856" spans="2:4">
      <c r="C856" t="s">
        <v>1858</v>
      </c>
    </row>
    <row r="858" spans="2:4">
      <c r="B858" s="41" t="s">
        <v>1197</v>
      </c>
    </row>
    <row r="860" spans="2:4">
      <c r="B860" t="s">
        <v>1859</v>
      </c>
    </row>
    <row r="861" spans="2:4">
      <c r="C861" t="s">
        <v>1860</v>
      </c>
    </row>
    <row r="862" spans="2:4">
      <c r="C862" t="s">
        <v>1861</v>
      </c>
    </row>
    <row r="863" spans="2:4">
      <c r="D863" t="s">
        <v>1862</v>
      </c>
    </row>
    <row r="864" spans="2:4">
      <c r="D864" t="s">
        <v>1863</v>
      </c>
    </row>
    <row r="865" spans="2:4">
      <c r="C865" t="s">
        <v>1864</v>
      </c>
    </row>
    <row r="867" spans="2:4">
      <c r="B867" t="s">
        <v>1865</v>
      </c>
    </row>
    <row r="868" spans="2:4">
      <c r="C868" t="s">
        <v>1866</v>
      </c>
    </row>
    <row r="870" spans="2:4">
      <c r="B870" t="s">
        <v>1867</v>
      </c>
    </row>
    <row r="871" spans="2:4">
      <c r="C871" t="s">
        <v>1868</v>
      </c>
    </row>
    <row r="872" spans="2:4">
      <c r="C872" t="s">
        <v>1869</v>
      </c>
    </row>
    <row r="873" spans="2:4">
      <c r="C873" t="s">
        <v>1870</v>
      </c>
    </row>
    <row r="874" spans="2:4">
      <c r="C874" t="s">
        <v>1871</v>
      </c>
    </row>
    <row r="875" spans="2:4">
      <c r="C875" t="s">
        <v>1872</v>
      </c>
    </row>
    <row r="876" spans="2:4">
      <c r="D876" t="s">
        <v>1873</v>
      </c>
    </row>
    <row r="877" spans="2:4">
      <c r="B877" t="s">
        <v>147</v>
      </c>
    </row>
    <row r="878" spans="2:4">
      <c r="C878" t="s">
        <v>1874</v>
      </c>
    </row>
    <row r="879" spans="2:4">
      <c r="C879" t="s">
        <v>1875</v>
      </c>
    </row>
    <row r="881" spans="2:3">
      <c r="B881" t="s">
        <v>1876</v>
      </c>
    </row>
    <row r="882" spans="2:3">
      <c r="C882" t="s">
        <v>1877</v>
      </c>
    </row>
    <row r="883" spans="2:3">
      <c r="C883" t="s">
        <v>1878</v>
      </c>
    </row>
    <row r="885" spans="2:3">
      <c r="B885" t="s">
        <v>1879</v>
      </c>
    </row>
    <row r="886" spans="2:3">
      <c r="C886" t="s">
        <v>1880</v>
      </c>
    </row>
    <row r="888" spans="2:3">
      <c r="B888" t="s">
        <v>1881</v>
      </c>
    </row>
    <row r="889" spans="2:3">
      <c r="C889" t="s">
        <v>1441</v>
      </c>
    </row>
    <row r="890" spans="2:3">
      <c r="C890" t="s">
        <v>1882</v>
      </c>
    </row>
    <row r="892" spans="2:3">
      <c r="B892" t="s">
        <v>1883</v>
      </c>
    </row>
    <row r="893" spans="2:3">
      <c r="C893" t="s">
        <v>1884</v>
      </c>
    </row>
    <row r="894" spans="2:3">
      <c r="C894" t="s">
        <v>1885</v>
      </c>
    </row>
    <row r="896" spans="2:3">
      <c r="B896" t="s">
        <v>1886</v>
      </c>
    </row>
    <row r="897" spans="2:5">
      <c r="C897" t="s">
        <v>1887</v>
      </c>
    </row>
    <row r="899" spans="2:5">
      <c r="B899" t="s">
        <v>1888</v>
      </c>
    </row>
    <row r="900" spans="2:5">
      <c r="C900" t="s">
        <v>1889</v>
      </c>
    </row>
    <row r="901" spans="2:5">
      <c r="D901" t="s">
        <v>1890</v>
      </c>
    </row>
    <row r="902" spans="2:5">
      <c r="C902" t="s">
        <v>1891</v>
      </c>
    </row>
    <row r="903" spans="2:5">
      <c r="C903" t="s">
        <v>1892</v>
      </c>
    </row>
    <row r="905" spans="2:5">
      <c r="C905" t="s">
        <v>349</v>
      </c>
      <c r="D905" t="s">
        <v>1893</v>
      </c>
    </row>
    <row r="907" spans="2:5">
      <c r="B907" t="s">
        <v>735</v>
      </c>
    </row>
    <row r="908" spans="2:5">
      <c r="D908" t="s">
        <v>437</v>
      </c>
      <c r="E908" t="s">
        <v>448</v>
      </c>
    </row>
    <row r="909" spans="2:5">
      <c r="C909" t="s">
        <v>343</v>
      </c>
      <c r="D909" s="15">
        <v>0.05</v>
      </c>
      <c r="E909" t="s">
        <v>1894</v>
      </c>
    </row>
    <row r="910" spans="2:5">
      <c r="C910" t="s">
        <v>527</v>
      </c>
      <c r="D910" s="13" t="s">
        <v>1405</v>
      </c>
      <c r="E910" t="s">
        <v>1894</v>
      </c>
    </row>
    <row r="911" spans="2:5">
      <c r="C911" t="s">
        <v>40</v>
      </c>
      <c r="D911" s="13" t="s">
        <v>1895</v>
      </c>
      <c r="E911" t="s">
        <v>1894</v>
      </c>
    </row>
    <row r="912" spans="2:5">
      <c r="C912" t="s">
        <v>1896</v>
      </c>
      <c r="D912" s="13"/>
      <c r="E912" t="s">
        <v>1897</v>
      </c>
    </row>
    <row r="913" spans="2:3">
      <c r="C913" t="s">
        <v>1898</v>
      </c>
    </row>
    <row r="914" spans="2:3">
      <c r="B914" t="s">
        <v>43</v>
      </c>
      <c r="C914" t="s">
        <v>1899</v>
      </c>
    </row>
    <row r="915" spans="2:3">
      <c r="B915" t="s">
        <v>295</v>
      </c>
      <c r="C915" t="s">
        <v>1900</v>
      </c>
    </row>
    <row r="916" spans="2:3">
      <c r="C916">
        <f>1.12*Master!P13</f>
        <v>7744.8000000000011</v>
      </c>
    </row>
    <row r="918" spans="2:3">
      <c r="B918" s="11" t="s">
        <v>398</v>
      </c>
    </row>
    <row r="920" spans="2:3">
      <c r="B920" t="s">
        <v>1901</v>
      </c>
    </row>
    <row r="921" spans="2:3">
      <c r="B921" t="s">
        <v>1902</v>
      </c>
    </row>
    <row r="922" spans="2:3">
      <c r="B922" t="s">
        <v>1903</v>
      </c>
    </row>
    <row r="923" spans="2:3">
      <c r="B923" t="s">
        <v>1904</v>
      </c>
    </row>
    <row r="924" spans="2:3">
      <c r="B924" t="s">
        <v>1905</v>
      </c>
    </row>
    <row r="926" spans="2:3">
      <c r="B926" t="s">
        <v>1906</v>
      </c>
    </row>
    <row r="928" spans="2:3">
      <c r="B928" s="11" t="s">
        <v>1197</v>
      </c>
    </row>
    <row r="929" spans="2:4">
      <c r="B929" t="s">
        <v>1907</v>
      </c>
    </row>
    <row r="930" spans="2:4">
      <c r="C930" t="s">
        <v>1908</v>
      </c>
    </row>
    <row r="931" spans="2:4">
      <c r="C931" t="s">
        <v>1909</v>
      </c>
    </row>
    <row r="933" spans="2:4">
      <c r="B933" t="s">
        <v>499</v>
      </c>
    </row>
    <row r="934" spans="2:4">
      <c r="B934" t="s">
        <v>1910</v>
      </c>
      <c r="C934" s="13" t="s">
        <v>1911</v>
      </c>
    </row>
    <row r="936" spans="2:4">
      <c r="B936" t="s">
        <v>1912</v>
      </c>
      <c r="C936" s="52"/>
    </row>
    <row r="939" spans="2:4">
      <c r="B939" s="919" t="s">
        <v>1913</v>
      </c>
      <c r="C939" s="921" t="s">
        <v>1914</v>
      </c>
      <c r="D939" s="921" t="s">
        <v>1587</v>
      </c>
    </row>
    <row r="940" spans="2:4">
      <c r="B940" t="s">
        <v>1915</v>
      </c>
      <c r="C940" s="13" t="s">
        <v>1916</v>
      </c>
    </row>
    <row r="941" spans="2:4">
      <c r="B941" t="s">
        <v>1917</v>
      </c>
      <c r="C941" s="15">
        <v>0.5</v>
      </c>
    </row>
    <row r="942" spans="2:4">
      <c r="B942" s="919" t="s">
        <v>1918</v>
      </c>
      <c r="C942" s="960">
        <v>0.2</v>
      </c>
      <c r="D942" s="919"/>
    </row>
    <row r="943" spans="2:4">
      <c r="B943" t="s">
        <v>39</v>
      </c>
      <c r="C943" s="13" t="s">
        <v>1919</v>
      </c>
      <c r="D943" s="13" t="s">
        <v>1920</v>
      </c>
    </row>
    <row r="944" spans="2:4">
      <c r="B944" t="s">
        <v>1921</v>
      </c>
    </row>
    <row r="946" spans="2:4">
      <c r="B946" t="s">
        <v>1922</v>
      </c>
      <c r="C946" s="13" t="s">
        <v>1923</v>
      </c>
    </row>
    <row r="947" spans="2:4">
      <c r="C947" t="s">
        <v>1924</v>
      </c>
    </row>
    <row r="948" spans="2:4">
      <c r="B948" t="s">
        <v>1925</v>
      </c>
    </row>
    <row r="949" spans="2:4">
      <c r="C949" t="s">
        <v>1926</v>
      </c>
    </row>
    <row r="950" spans="2:4">
      <c r="C950" t="s">
        <v>1927</v>
      </c>
    </row>
    <row r="952" spans="2:4">
      <c r="B952" t="s">
        <v>1531</v>
      </c>
    </row>
    <row r="953" spans="2:4">
      <c r="C953" t="s">
        <v>1928</v>
      </c>
    </row>
    <row r="954" spans="2:4">
      <c r="C954" t="s">
        <v>1929</v>
      </c>
    </row>
    <row r="955" spans="2:4">
      <c r="C955" t="s">
        <v>1930</v>
      </c>
    </row>
    <row r="956" spans="2:4">
      <c r="D956" t="s">
        <v>1931</v>
      </c>
    </row>
    <row r="957" spans="2:4">
      <c r="D957" t="s">
        <v>1932</v>
      </c>
    </row>
    <row r="958" spans="2:4">
      <c r="C958" t="s">
        <v>1933</v>
      </c>
    </row>
    <row r="960" spans="2:4">
      <c r="B960" t="s">
        <v>1934</v>
      </c>
      <c r="C960" t="s">
        <v>1935</v>
      </c>
    </row>
    <row r="962" spans="2:5">
      <c r="B962" t="s">
        <v>114</v>
      </c>
    </row>
    <row r="963" spans="2:5">
      <c r="C963" t="s">
        <v>1936</v>
      </c>
    </row>
    <row r="964" spans="2:5">
      <c r="C964" t="s">
        <v>1937</v>
      </c>
    </row>
    <row r="965" spans="2:5">
      <c r="C965" t="s">
        <v>1938</v>
      </c>
    </row>
    <row r="967" spans="2:5">
      <c r="B967" t="s">
        <v>1939</v>
      </c>
    </row>
    <row r="968" spans="2:5">
      <c r="C968" t="s">
        <v>1940</v>
      </c>
    </row>
    <row r="969" spans="2:5">
      <c r="C969" t="s">
        <v>1941</v>
      </c>
    </row>
    <row r="970" spans="2:5">
      <c r="C970" t="s">
        <v>1942</v>
      </c>
    </row>
    <row r="972" spans="2:5">
      <c r="B972" t="s">
        <v>1943</v>
      </c>
    </row>
    <row r="973" spans="2:5">
      <c r="C973" t="s">
        <v>1944</v>
      </c>
    </row>
    <row r="974" spans="2:5">
      <c r="C974" t="s">
        <v>1945</v>
      </c>
    </row>
    <row r="975" spans="2:5">
      <c r="C975" t="s">
        <v>1946</v>
      </c>
      <c r="E975">
        <v>20</v>
      </c>
    </row>
    <row r="976" spans="2:5">
      <c r="C976" t="s">
        <v>1947</v>
      </c>
      <c r="E976" s="53" t="s">
        <v>1948</v>
      </c>
    </row>
    <row r="978" spans="2:3">
      <c r="B978" t="s">
        <v>1949</v>
      </c>
    </row>
    <row r="979" spans="2:3">
      <c r="C979" t="s">
        <v>1950</v>
      </c>
    </row>
    <row r="980" spans="2:3">
      <c r="C980" t="s">
        <v>1951</v>
      </c>
    </row>
    <row r="981" spans="2:3">
      <c r="C981" t="s">
        <v>1952</v>
      </c>
    </row>
    <row r="982" spans="2:3">
      <c r="C982" t="s">
        <v>1953</v>
      </c>
    </row>
    <row r="983" spans="2:3">
      <c r="C983" t="s">
        <v>1954</v>
      </c>
    </row>
    <row r="985" spans="2:3">
      <c r="B985" t="s">
        <v>1955</v>
      </c>
    </row>
    <row r="986" spans="2:3">
      <c r="C986" t="s">
        <v>1956</v>
      </c>
    </row>
    <row r="987" spans="2:3">
      <c r="C987" t="s">
        <v>1957</v>
      </c>
    </row>
    <row r="988" spans="2:3">
      <c r="C988" t="s">
        <v>1958</v>
      </c>
    </row>
    <row r="989" spans="2:3">
      <c r="C989" t="s">
        <v>1959</v>
      </c>
    </row>
    <row r="990" spans="2:3">
      <c r="C990" t="s">
        <v>1960</v>
      </c>
    </row>
    <row r="992" spans="2:3">
      <c r="B992" t="s">
        <v>1961</v>
      </c>
    </row>
    <row r="993" spans="2:4">
      <c r="C993" t="s">
        <v>1962</v>
      </c>
    </row>
    <row r="994" spans="2:4">
      <c r="C994" t="s">
        <v>1963</v>
      </c>
    </row>
    <row r="996" spans="2:4">
      <c r="B996" s="41" t="s">
        <v>399</v>
      </c>
    </row>
    <row r="998" spans="2:4">
      <c r="B998" s="40" t="s">
        <v>1964</v>
      </c>
    </row>
    <row r="999" spans="2:4">
      <c r="B999" t="s">
        <v>1965</v>
      </c>
    </row>
    <row r="1000" spans="2:4">
      <c r="B1000" t="s">
        <v>1966</v>
      </c>
    </row>
    <row r="1002" spans="2:4">
      <c r="B1002" s="11" t="s">
        <v>437</v>
      </c>
      <c r="C1002" t="s">
        <v>735</v>
      </c>
      <c r="D1002" t="s">
        <v>515</v>
      </c>
    </row>
    <row r="1003" spans="2:4">
      <c r="B1003" t="s">
        <v>36</v>
      </c>
      <c r="C1003" t="s">
        <v>1967</v>
      </c>
    </row>
    <row r="1004" spans="2:4">
      <c r="B1004" t="s">
        <v>527</v>
      </c>
      <c r="C1004" t="s">
        <v>1968</v>
      </c>
    </row>
    <row r="1005" spans="2:4">
      <c r="B1005" s="919" t="s">
        <v>1969</v>
      </c>
      <c r="C1005" s="919" t="s">
        <v>1970</v>
      </c>
    </row>
    <row r="1006" spans="2:4">
      <c r="B1006" t="s">
        <v>336</v>
      </c>
      <c r="C1006" t="s">
        <v>1971</v>
      </c>
    </row>
    <row r="1008" spans="2:4">
      <c r="B1008" t="s">
        <v>43</v>
      </c>
      <c r="C1008" t="s">
        <v>1972</v>
      </c>
      <c r="D1008" s="15">
        <f>Master!S9</f>
        <v>0.11154558551142202</v>
      </c>
    </row>
    <row r="1009" spans="2:4">
      <c r="B1009" t="s">
        <v>295</v>
      </c>
      <c r="C1009" t="s">
        <v>1973</v>
      </c>
      <c r="D1009" s="15">
        <f>Master!S15</f>
        <v>8.7086765807210975E-2</v>
      </c>
    </row>
    <row r="1010" spans="2:4">
      <c r="C1010" t="s">
        <v>1974</v>
      </c>
    </row>
    <row r="1011" spans="2:4">
      <c r="B1011" t="s">
        <v>147</v>
      </c>
      <c r="C1011" t="s">
        <v>1975</v>
      </c>
    </row>
    <row r="1012" spans="2:4">
      <c r="C1012" t="s">
        <v>1976</v>
      </c>
    </row>
    <row r="1013" spans="2:4">
      <c r="D1013" t="s">
        <v>1977</v>
      </c>
    </row>
    <row r="1014" spans="2:4">
      <c r="D1014" t="s">
        <v>1978</v>
      </c>
    </row>
    <row r="1015" spans="2:4">
      <c r="D1015" t="s">
        <v>1979</v>
      </c>
    </row>
    <row r="1017" spans="2:4">
      <c r="C1017" t="s">
        <v>1980</v>
      </c>
    </row>
    <row r="1018" spans="2:4">
      <c r="C1018" t="s">
        <v>1981</v>
      </c>
    </row>
    <row r="1019" spans="2:4">
      <c r="B1019" t="s">
        <v>1982</v>
      </c>
      <c r="C1019" t="s">
        <v>1983</v>
      </c>
    </row>
    <row r="1020" spans="2:4">
      <c r="C1020" t="s">
        <v>1984</v>
      </c>
    </row>
    <row r="1021" spans="2:4">
      <c r="C1021" t="s">
        <v>1985</v>
      </c>
    </row>
    <row r="1023" spans="2:4">
      <c r="C1023" s="11" t="s">
        <v>1986</v>
      </c>
    </row>
    <row r="1024" spans="2:4">
      <c r="B1024" t="s">
        <v>349</v>
      </c>
      <c r="C1024" t="s">
        <v>1987</v>
      </c>
    </row>
    <row r="1025" spans="2:4">
      <c r="B1025" t="s">
        <v>1934</v>
      </c>
      <c r="C1025" s="54">
        <v>0.2</v>
      </c>
    </row>
    <row r="1026" spans="2:4">
      <c r="B1026" t="s">
        <v>1988</v>
      </c>
      <c r="C1026" s="54">
        <v>0.2</v>
      </c>
    </row>
    <row r="1028" spans="2:4">
      <c r="B1028" t="s">
        <v>1989</v>
      </c>
    </row>
    <row r="1030" spans="2:4">
      <c r="B1030" t="s">
        <v>1990</v>
      </c>
    </row>
    <row r="1032" spans="2:4">
      <c r="B1032" t="s">
        <v>1991</v>
      </c>
    </row>
    <row r="1033" spans="2:4">
      <c r="C1033" t="s">
        <v>1992</v>
      </c>
    </row>
    <row r="1034" spans="2:4">
      <c r="D1034" t="s">
        <v>1993</v>
      </c>
    </row>
    <row r="1035" spans="2:4">
      <c r="B1035" t="s">
        <v>1994</v>
      </c>
    </row>
    <row r="1036" spans="2:4">
      <c r="C1036" t="s">
        <v>1995</v>
      </c>
    </row>
    <row r="1037" spans="2:4">
      <c r="B1037" t="s">
        <v>1996</v>
      </c>
    </row>
    <row r="1038" spans="2:4">
      <c r="C1038" t="s">
        <v>1997</v>
      </c>
    </row>
    <row r="1040" spans="2:4">
      <c r="B1040" t="s">
        <v>715</v>
      </c>
    </row>
    <row r="1041" spans="2:4">
      <c r="C1041" t="s">
        <v>1998</v>
      </c>
    </row>
    <row r="1042" spans="2:4">
      <c r="C1042" t="s">
        <v>1999</v>
      </c>
    </row>
    <row r="1043" spans="2:4">
      <c r="D1043" t="s">
        <v>2000</v>
      </c>
    </row>
    <row r="1044" spans="2:4">
      <c r="B1044" t="s">
        <v>2001</v>
      </c>
    </row>
    <row r="1045" spans="2:4">
      <c r="C1045" t="s">
        <v>2002</v>
      </c>
    </row>
    <row r="1046" spans="2:4">
      <c r="B1046" t="s">
        <v>1751</v>
      </c>
    </row>
    <row r="1048" spans="2:4">
      <c r="B1048" s="41" t="s">
        <v>2003</v>
      </c>
    </row>
    <row r="1050" spans="2:4">
      <c r="B1050" t="s">
        <v>2004</v>
      </c>
    </row>
    <row r="1051" spans="2:4">
      <c r="C1051" t="s">
        <v>2005</v>
      </c>
    </row>
    <row r="1052" spans="2:4">
      <c r="B1052" t="s">
        <v>349</v>
      </c>
    </row>
    <row r="1053" spans="2:4">
      <c r="C1053" t="s">
        <v>2006</v>
      </c>
    </row>
    <row r="1054" spans="2:4">
      <c r="C1054" t="s">
        <v>2007</v>
      </c>
    </row>
    <row r="1055" spans="2:4">
      <c r="C1055" t="s">
        <v>2008</v>
      </c>
    </row>
    <row r="1056" spans="2:4">
      <c r="B1056" t="s">
        <v>2009</v>
      </c>
    </row>
    <row r="1057" spans="2:4">
      <c r="C1057" t="s">
        <v>2010</v>
      </c>
    </row>
    <row r="1058" spans="2:4">
      <c r="C1058" t="s">
        <v>2011</v>
      </c>
    </row>
    <row r="1059" spans="2:4">
      <c r="B1059" t="s">
        <v>2012</v>
      </c>
    </row>
    <row r="1060" spans="2:4">
      <c r="C1060" t="s">
        <v>2013</v>
      </c>
    </row>
    <row r="1061" spans="2:4">
      <c r="B1061" s="11" t="s">
        <v>2014</v>
      </c>
    </row>
    <row r="1062" spans="2:4">
      <c r="C1062" t="s">
        <v>2015</v>
      </c>
    </row>
    <row r="1063" spans="2:4">
      <c r="C1063" t="s">
        <v>2016</v>
      </c>
    </row>
    <row r="1064" spans="2:4">
      <c r="C1064" s="15">
        <f>40/(Quarts!AR104)</f>
        <v>8.6169754416199913E-3</v>
      </c>
    </row>
    <row r="1065" spans="2:4">
      <c r="C1065" t="s">
        <v>2017</v>
      </c>
    </row>
    <row r="1066" spans="2:4">
      <c r="D1066" t="s">
        <v>2018</v>
      </c>
    </row>
    <row r="1067" spans="2:4">
      <c r="B1067" t="s">
        <v>2019</v>
      </c>
    </row>
    <row r="1068" spans="2:4">
      <c r="C1068" t="s">
        <v>2020</v>
      </c>
    </row>
    <row r="1069" spans="2:4">
      <c r="C1069" t="s">
        <v>2021</v>
      </c>
    </row>
    <row r="1070" spans="2:4">
      <c r="B1070" t="s">
        <v>2022</v>
      </c>
    </row>
    <row r="1071" spans="2:4">
      <c r="C1071" t="s">
        <v>2023</v>
      </c>
    </row>
    <row r="1072" spans="2:4">
      <c r="C1072" t="s">
        <v>2024</v>
      </c>
    </row>
    <row r="1073" spans="2:4">
      <c r="D1073" t="s">
        <v>2025</v>
      </c>
    </row>
    <row r="1074" spans="2:4">
      <c r="D1074" t="s">
        <v>2026</v>
      </c>
    </row>
    <row r="1075" spans="2:4">
      <c r="B1075" t="s">
        <v>2027</v>
      </c>
    </row>
    <row r="1076" spans="2:4">
      <c r="C1076" t="s">
        <v>2028</v>
      </c>
    </row>
    <row r="1077" spans="2:4">
      <c r="C1077" t="s">
        <v>2029</v>
      </c>
    </row>
    <row r="1078" spans="2:4">
      <c r="C1078" t="s">
        <v>2030</v>
      </c>
    </row>
    <row r="1079" spans="2:4">
      <c r="C1079" t="s">
        <v>2031</v>
      </c>
    </row>
    <row r="1080" spans="2:4">
      <c r="C1080" t="s">
        <v>2032</v>
      </c>
    </row>
    <row r="1081" spans="2:4">
      <c r="C1081" t="s">
        <v>2033</v>
      </c>
    </row>
    <row r="1082" spans="2:4">
      <c r="B1082" t="s">
        <v>2034</v>
      </c>
    </row>
    <row r="1083" spans="2:4">
      <c r="B1083" t="s">
        <v>2035</v>
      </c>
    </row>
    <row r="1084" spans="2:4">
      <c r="B1084" s="11" t="s">
        <v>735</v>
      </c>
    </row>
    <row r="1085" spans="2:4">
      <c r="C1085" t="s">
        <v>2036</v>
      </c>
    </row>
    <row r="1086" spans="2:4">
      <c r="C1086" t="s">
        <v>1914</v>
      </c>
      <c r="D1086" s="15">
        <v>0.1</v>
      </c>
    </row>
    <row r="1087" spans="2:4">
      <c r="C1087" t="s">
        <v>295</v>
      </c>
      <c r="D1087" s="15" t="s">
        <v>1973</v>
      </c>
    </row>
    <row r="1088" spans="2:4">
      <c r="D1088" t="s">
        <v>2037</v>
      </c>
    </row>
    <row r="1089" spans="2:4">
      <c r="D1089" t="s">
        <v>2038</v>
      </c>
    </row>
    <row r="1090" spans="2:4">
      <c r="C1090" t="s">
        <v>2039</v>
      </c>
    </row>
    <row r="1092" spans="2:4">
      <c r="B1092" s="57" t="s">
        <v>2040</v>
      </c>
      <c r="C1092" t="s">
        <v>65</v>
      </c>
    </row>
    <row r="1094" spans="2:4">
      <c r="B1094" t="s">
        <v>2041</v>
      </c>
    </row>
    <row r="1095" spans="2:4">
      <c r="C1095" t="s">
        <v>2042</v>
      </c>
    </row>
    <row r="1096" spans="2:4">
      <c r="C1096" t="s">
        <v>2043</v>
      </c>
    </row>
    <row r="1097" spans="2:4">
      <c r="C1097" t="s">
        <v>2044</v>
      </c>
    </row>
    <row r="1098" spans="2:4">
      <c r="C1098" t="s">
        <v>2045</v>
      </c>
    </row>
    <row r="1099" spans="2:4">
      <c r="C1099" t="s">
        <v>2046</v>
      </c>
    </row>
    <row r="1100" spans="2:4">
      <c r="B1100" t="s">
        <v>2047</v>
      </c>
    </row>
    <row r="1101" spans="2:4">
      <c r="C1101" t="s">
        <v>2048</v>
      </c>
    </row>
    <row r="1102" spans="2:4">
      <c r="C1102" t="s">
        <v>2049</v>
      </c>
    </row>
    <row r="1103" spans="2:4">
      <c r="B1103" t="s">
        <v>2050</v>
      </c>
    </row>
    <row r="1104" spans="2:4">
      <c r="B1104" t="s">
        <v>2051</v>
      </c>
    </row>
    <row r="1105" spans="2:4">
      <c r="C1105" t="s">
        <v>2052</v>
      </c>
    </row>
    <row r="1106" spans="2:4">
      <c r="B1106" t="s">
        <v>2053</v>
      </c>
    </row>
    <row r="1107" spans="2:4">
      <c r="C1107" t="s">
        <v>2054</v>
      </c>
    </row>
    <row r="1108" spans="2:4">
      <c r="C1108" t="s">
        <v>2055</v>
      </c>
    </row>
    <row r="1109" spans="2:4">
      <c r="B1109" t="s">
        <v>2056</v>
      </c>
    </row>
    <row r="1110" spans="2:4">
      <c r="C1110" t="s">
        <v>2057</v>
      </c>
    </row>
    <row r="1111" spans="2:4">
      <c r="C1111" t="s">
        <v>2058</v>
      </c>
    </row>
    <row r="1112" spans="2:4">
      <c r="B1112" t="s">
        <v>2059</v>
      </c>
    </row>
    <row r="1113" spans="2:4">
      <c r="B1113" s="43">
        <v>2019</v>
      </c>
    </row>
    <row r="1114" spans="2:4">
      <c r="C1114" s="58" t="s">
        <v>2060</v>
      </c>
    </row>
    <row r="1116" spans="2:4">
      <c r="B1116" t="s">
        <v>677</v>
      </c>
    </row>
    <row r="1117" spans="2:4">
      <c r="C1117" t="s">
        <v>2061</v>
      </c>
    </row>
    <row r="1118" spans="2:4">
      <c r="D1118" t="s">
        <v>2062</v>
      </c>
    </row>
    <row r="1119" spans="2:4">
      <c r="C1119" t="s">
        <v>2063</v>
      </c>
    </row>
    <row r="1120" spans="2:4">
      <c r="C1120" t="s">
        <v>2064</v>
      </c>
    </row>
    <row r="1121" spans="2:4">
      <c r="D1121" t="s">
        <v>2065</v>
      </c>
    </row>
    <row r="1122" spans="2:4">
      <c r="D1122" t="s">
        <v>2066</v>
      </c>
    </row>
    <row r="1123" spans="2:4">
      <c r="C1123" t="s">
        <v>2067</v>
      </c>
    </row>
    <row r="1124" spans="2:4">
      <c r="D1124" t="s">
        <v>2068</v>
      </c>
    </row>
    <row r="1125" spans="2:4">
      <c r="D1125" t="s">
        <v>2069</v>
      </c>
    </row>
    <row r="1126" spans="2:4">
      <c r="C1126" t="s">
        <v>2070</v>
      </c>
    </row>
    <row r="1127" spans="2:4">
      <c r="B1127" t="s">
        <v>2071</v>
      </c>
    </row>
    <row r="1128" spans="2:4">
      <c r="C1128" t="s">
        <v>2072</v>
      </c>
    </row>
    <row r="1129" spans="2:4">
      <c r="D1129" t="s">
        <v>2073</v>
      </c>
    </row>
    <row r="1130" spans="2:4">
      <c r="C1130" t="s">
        <v>2074</v>
      </c>
    </row>
    <row r="1131" spans="2:4">
      <c r="C1131" t="s">
        <v>2075</v>
      </c>
    </row>
    <row r="1132" spans="2:4">
      <c r="D1132" t="s">
        <v>2076</v>
      </c>
    </row>
    <row r="1133" spans="2:4">
      <c r="B1133" t="s">
        <v>2077</v>
      </c>
    </row>
    <row r="1134" spans="2:4">
      <c r="C1134" t="s">
        <v>2078</v>
      </c>
    </row>
    <row r="1135" spans="2:4">
      <c r="C1135" t="s">
        <v>2079</v>
      </c>
    </row>
    <row r="1136" spans="2:4">
      <c r="D1136" t="s">
        <v>2080</v>
      </c>
    </row>
    <row r="1137" spans="2:5">
      <c r="D1137" t="s">
        <v>2081</v>
      </c>
    </row>
    <row r="1138" spans="2:5">
      <c r="B1138" t="s">
        <v>2082</v>
      </c>
    </row>
    <row r="1139" spans="2:5">
      <c r="C1139" t="s">
        <v>2083</v>
      </c>
    </row>
    <row r="1140" spans="2:5">
      <c r="C1140" t="s">
        <v>2084</v>
      </c>
    </row>
    <row r="1141" spans="2:5">
      <c r="D1141" t="s">
        <v>2085</v>
      </c>
    </row>
    <row r="1142" spans="2:5">
      <c r="D1142" t="s">
        <v>2086</v>
      </c>
    </row>
    <row r="1143" spans="2:5">
      <c r="E1143" t="s">
        <v>2087</v>
      </c>
    </row>
    <row r="1144" spans="2:5">
      <c r="C1144" t="s">
        <v>2088</v>
      </c>
    </row>
    <row r="1145" spans="2:5">
      <c r="D1145" t="s">
        <v>2089</v>
      </c>
    </row>
    <row r="1146" spans="2:5">
      <c r="D1146" t="s">
        <v>2090</v>
      </c>
    </row>
    <row r="1147" spans="2:5">
      <c r="B1147" t="s">
        <v>2091</v>
      </c>
    </row>
    <row r="1148" spans="2:5">
      <c r="C1148" t="s">
        <v>2092</v>
      </c>
    </row>
    <row r="1149" spans="2:5">
      <c r="C1149" t="s">
        <v>2093</v>
      </c>
    </row>
    <row r="1150" spans="2:5">
      <c r="D1150" t="s">
        <v>2094</v>
      </c>
    </row>
    <row r="1151" spans="2:5">
      <c r="D1151" t="s">
        <v>2095</v>
      </c>
    </row>
    <row r="1152" spans="2:5">
      <c r="D1152" t="s">
        <v>2096</v>
      </c>
    </row>
    <row r="1153" spans="2:5">
      <c r="E1153" t="s">
        <v>2097</v>
      </c>
    </row>
    <row r="1154" spans="2:5">
      <c r="D1154" t="s">
        <v>2098</v>
      </c>
    </row>
    <row r="1155" spans="2:5">
      <c r="D1155" t="s">
        <v>2099</v>
      </c>
    </row>
    <row r="1156" spans="2:5">
      <c r="D1156" t="s">
        <v>2100</v>
      </c>
    </row>
    <row r="1157" spans="2:5">
      <c r="E1157" t="s">
        <v>2101</v>
      </c>
    </row>
    <row r="1158" spans="2:5">
      <c r="E1158" t="s">
        <v>2102</v>
      </c>
    </row>
    <row r="1159" spans="2:5">
      <c r="D1159" t="s">
        <v>2103</v>
      </c>
    </row>
    <row r="1160" spans="2:5">
      <c r="C1160" t="s">
        <v>2104</v>
      </c>
    </row>
    <row r="1161" spans="2:5">
      <c r="B1161" t="s">
        <v>2105</v>
      </c>
    </row>
    <row r="1162" spans="2:5">
      <c r="C1162" t="s">
        <v>2106</v>
      </c>
    </row>
    <row r="1163" spans="2:5">
      <c r="C1163" t="s">
        <v>2107</v>
      </c>
    </row>
    <row r="1164" spans="2:5">
      <c r="C1164" t="s">
        <v>2108</v>
      </c>
    </row>
    <row r="1165" spans="2:5">
      <c r="C1165" t="s">
        <v>2109</v>
      </c>
    </row>
    <row r="1166" spans="2:5">
      <c r="C1166" t="s">
        <v>2110</v>
      </c>
    </row>
    <row r="1167" spans="2:5">
      <c r="B1167" t="s">
        <v>147</v>
      </c>
    </row>
    <row r="1168" spans="2:5">
      <c r="C1168" t="s">
        <v>2111</v>
      </c>
    </row>
    <row r="1170" spans="3:6">
      <c r="C1170" s="11" t="s">
        <v>2112</v>
      </c>
    </row>
    <row r="1171" spans="3:6">
      <c r="C1171" t="s">
        <v>2113</v>
      </c>
    </row>
    <row r="1172" spans="3:6">
      <c r="D1172" t="s">
        <v>2114</v>
      </c>
    </row>
    <row r="1173" spans="3:6">
      <c r="D1173" t="s">
        <v>2115</v>
      </c>
    </row>
    <row r="1174" spans="3:6">
      <c r="E1174" t="s">
        <v>2116</v>
      </c>
    </row>
    <row r="1175" spans="3:6">
      <c r="E1175" t="s">
        <v>2117</v>
      </c>
    </row>
    <row r="1176" spans="3:6">
      <c r="F1176" t="s">
        <v>2118</v>
      </c>
    </row>
    <row r="1177" spans="3:6">
      <c r="F1177" t="s">
        <v>2119</v>
      </c>
    </row>
    <row r="1178" spans="3:6">
      <c r="E1178" t="s">
        <v>2120</v>
      </c>
    </row>
    <row r="1179" spans="3:6">
      <c r="E1179" t="s">
        <v>2121</v>
      </c>
    </row>
    <row r="1180" spans="3:6">
      <c r="D1180" t="s">
        <v>2122</v>
      </c>
    </row>
    <row r="1181" spans="3:6">
      <c r="C1181" t="s">
        <v>2123</v>
      </c>
    </row>
    <row r="1182" spans="3:6">
      <c r="D1182" t="s">
        <v>2124</v>
      </c>
    </row>
    <row r="1183" spans="3:6">
      <c r="E1183" t="s">
        <v>2125</v>
      </c>
    </row>
    <row r="1184" spans="3:6">
      <c r="E1184" t="s">
        <v>2126</v>
      </c>
    </row>
    <row r="1185" spans="2:7">
      <c r="D1185" t="s">
        <v>2127</v>
      </c>
    </row>
    <row r="1186" spans="2:7">
      <c r="E1186" t="s">
        <v>2128</v>
      </c>
    </row>
    <row r="1187" spans="2:7">
      <c r="C1187" t="s">
        <v>2129</v>
      </c>
    </row>
    <row r="1188" spans="2:7">
      <c r="C1188" t="s">
        <v>2130</v>
      </c>
    </row>
    <row r="1189" spans="2:7">
      <c r="D1189" t="s">
        <v>2131</v>
      </c>
    </row>
    <row r="1190" spans="2:7">
      <c r="D1190" t="s">
        <v>2132</v>
      </c>
    </row>
    <row r="1191" spans="2:7">
      <c r="C1191" t="s">
        <v>2133</v>
      </c>
      <c r="D1191" t="s">
        <v>2134</v>
      </c>
    </row>
    <row r="1192" spans="2:7">
      <c r="B1192" t="s">
        <v>2135</v>
      </c>
    </row>
    <row r="1194" spans="2:7">
      <c r="B1194" t="s">
        <v>151</v>
      </c>
    </row>
    <row r="1195" spans="2:7">
      <c r="C1195" t="s">
        <v>2136</v>
      </c>
    </row>
    <row r="1196" spans="2:7">
      <c r="C1196" t="s">
        <v>2137</v>
      </c>
      <c r="G1196" t="s">
        <v>2138</v>
      </c>
    </row>
    <row r="1197" spans="2:7">
      <c r="C1197" t="s">
        <v>2139</v>
      </c>
    </row>
    <row r="1198" spans="2:7">
      <c r="D1198" t="s">
        <v>2140</v>
      </c>
    </row>
    <row r="1199" spans="2:7">
      <c r="C1199" t="s">
        <v>2141</v>
      </c>
    </row>
    <row r="1200" spans="2:7">
      <c r="D1200" t="s">
        <v>2142</v>
      </c>
    </row>
    <row r="1201" spans="2:4">
      <c r="D1201" t="s">
        <v>2143</v>
      </c>
    </row>
    <row r="1203" spans="2:4">
      <c r="C1203" t="s">
        <v>2144</v>
      </c>
    </row>
    <row r="1204" spans="2:4">
      <c r="B1204" t="s">
        <v>2145</v>
      </c>
    </row>
    <row r="1205" spans="2:4">
      <c r="C1205" t="s">
        <v>2146</v>
      </c>
    </row>
    <row r="1206" spans="2:4">
      <c r="C1206" t="s">
        <v>2147</v>
      </c>
    </row>
    <row r="1208" spans="2:4">
      <c r="B1208" s="11" t="s">
        <v>402</v>
      </c>
    </row>
    <row r="1210" spans="2:4">
      <c r="B1210" t="s">
        <v>147</v>
      </c>
    </row>
    <row r="1211" spans="2:4">
      <c r="C1211" t="s">
        <v>2148</v>
      </c>
    </row>
    <row r="1212" spans="2:4">
      <c r="C1212" t="s">
        <v>2149</v>
      </c>
    </row>
    <row r="1213" spans="2:4">
      <c r="D1213" t="s">
        <v>2150</v>
      </c>
    </row>
    <row r="1214" spans="2:4">
      <c r="D1214" t="s">
        <v>2151</v>
      </c>
    </row>
    <row r="1215" spans="2:4">
      <c r="D1215" t="s">
        <v>2152</v>
      </c>
    </row>
    <row r="1217" spans="3:5">
      <c r="C1217" t="s">
        <v>2153</v>
      </c>
    </row>
    <row r="1218" spans="3:5">
      <c r="D1218" t="s">
        <v>2154</v>
      </c>
    </row>
    <row r="1219" spans="3:5">
      <c r="D1219" t="s">
        <v>2155</v>
      </c>
    </row>
    <row r="1220" spans="3:5">
      <c r="D1220" t="s">
        <v>2156</v>
      </c>
    </row>
    <row r="1221" spans="3:5">
      <c r="C1221" t="s">
        <v>2157</v>
      </c>
    </row>
    <row r="1222" spans="3:5">
      <c r="C1222" t="s">
        <v>2158</v>
      </c>
    </row>
    <row r="1223" spans="3:5">
      <c r="D1223" t="s">
        <v>2159</v>
      </c>
    </row>
    <row r="1224" spans="3:5">
      <c r="E1224" t="s">
        <v>2160</v>
      </c>
    </row>
    <row r="1225" spans="3:5">
      <c r="D1225" t="s">
        <v>2161</v>
      </c>
    </row>
    <row r="1226" spans="3:5">
      <c r="D1226" t="s">
        <v>2162</v>
      </c>
    </row>
    <row r="1227" spans="3:5">
      <c r="E1227" t="s">
        <v>2163</v>
      </c>
    </row>
    <row r="1228" spans="3:5">
      <c r="D1228" t="s">
        <v>2164</v>
      </c>
    </row>
    <row r="1229" spans="3:5">
      <c r="D1229" t="s">
        <v>2165</v>
      </c>
    </row>
    <row r="1230" spans="3:5">
      <c r="D1230" t="s">
        <v>2166</v>
      </c>
    </row>
    <row r="1231" spans="3:5">
      <c r="C1231" t="s">
        <v>2167</v>
      </c>
    </row>
    <row r="1232" spans="3:5">
      <c r="C1232" t="s">
        <v>2168</v>
      </c>
    </row>
    <row r="1233" spans="3:8">
      <c r="D1233" t="s">
        <v>2169</v>
      </c>
    </row>
    <row r="1234" spans="3:8">
      <c r="D1234" t="s">
        <v>2170</v>
      </c>
    </row>
    <row r="1236" spans="3:8">
      <c r="C1236" t="s">
        <v>2171</v>
      </c>
    </row>
    <row r="1237" spans="3:8">
      <c r="D1237" t="s">
        <v>2172</v>
      </c>
    </row>
    <row r="1238" spans="3:8">
      <c r="C1238" t="s">
        <v>2173</v>
      </c>
    </row>
    <row r="1239" spans="3:8">
      <c r="C1239" t="s">
        <v>2174</v>
      </c>
    </row>
    <row r="1240" spans="3:8">
      <c r="D1240">
        <v>2017</v>
      </c>
      <c r="E1240" t="s">
        <v>2175</v>
      </c>
    </row>
    <row r="1241" spans="3:8">
      <c r="E1241" t="s">
        <v>2176</v>
      </c>
    </row>
    <row r="1242" spans="3:8">
      <c r="D1242">
        <v>2019</v>
      </c>
      <c r="E1242" t="s">
        <v>2177</v>
      </c>
    </row>
    <row r="1243" spans="3:8">
      <c r="E1243" t="s">
        <v>2178</v>
      </c>
    </row>
    <row r="1244" spans="3:8">
      <c r="C1244" t="s">
        <v>2179</v>
      </c>
    </row>
    <row r="1245" spans="3:8">
      <c r="C1245" t="s">
        <v>2180</v>
      </c>
    </row>
    <row r="1247" spans="3:8">
      <c r="C1247" t="s">
        <v>2181</v>
      </c>
      <c r="D1247" t="s">
        <v>2182</v>
      </c>
      <c r="F1247" t="s">
        <v>2183</v>
      </c>
      <c r="H1247" s="15">
        <v>0.33</v>
      </c>
    </row>
    <row r="1248" spans="3:8">
      <c r="C1248" s="43">
        <v>2021</v>
      </c>
      <c r="D1248" t="s">
        <v>2184</v>
      </c>
      <c r="F1248" t="s">
        <v>2185</v>
      </c>
      <c r="H1248" s="15">
        <v>0.32</v>
      </c>
    </row>
    <row r="1250" spans="2:6">
      <c r="B1250" s="43" t="s">
        <v>2186</v>
      </c>
      <c r="C1250" t="s">
        <v>2187</v>
      </c>
      <c r="F1250" t="s">
        <v>2188</v>
      </c>
    </row>
    <row r="1251" spans="2:6">
      <c r="C1251" t="s">
        <v>2189</v>
      </c>
    </row>
    <row r="1252" spans="2:6">
      <c r="C1252" t="s">
        <v>2190</v>
      </c>
    </row>
    <row r="1253" spans="2:6">
      <c r="C1253" t="s">
        <v>2191</v>
      </c>
    </row>
    <row r="1255" spans="2:6">
      <c r="B1255" t="s">
        <v>2192</v>
      </c>
      <c r="C1255" t="s">
        <v>2193</v>
      </c>
    </row>
    <row r="1256" spans="2:6">
      <c r="C1256" t="s">
        <v>2194</v>
      </c>
    </row>
    <row r="1258" spans="2:6">
      <c r="C1258" t="s">
        <v>2195</v>
      </c>
    </row>
    <row r="1259" spans="2:6">
      <c r="D1259" t="s">
        <v>2196</v>
      </c>
    </row>
    <row r="1260" spans="2:6">
      <c r="D1260" t="s">
        <v>2197</v>
      </c>
    </row>
    <row r="1261" spans="2:6">
      <c r="B1261" t="s">
        <v>857</v>
      </c>
    </row>
    <row r="1262" spans="2:6">
      <c r="C1262" t="s">
        <v>2198</v>
      </c>
    </row>
    <row r="1263" spans="2:6">
      <c r="C1263" t="s">
        <v>2199</v>
      </c>
    </row>
    <row r="1264" spans="2:6">
      <c r="D1264" t="s">
        <v>2200</v>
      </c>
    </row>
    <row r="1265" spans="2:4">
      <c r="B1265" t="s">
        <v>677</v>
      </c>
    </row>
    <row r="1266" spans="2:4">
      <c r="C1266" t="s">
        <v>2201</v>
      </c>
    </row>
    <row r="1267" spans="2:4">
      <c r="C1267" t="s">
        <v>2202</v>
      </c>
    </row>
    <row r="1268" spans="2:4">
      <c r="C1268" t="s">
        <v>2203</v>
      </c>
    </row>
    <row r="1270" spans="2:4">
      <c r="B1270" t="s">
        <v>2204</v>
      </c>
    </row>
    <row r="1271" spans="2:4">
      <c r="C1271" t="s">
        <v>2205</v>
      </c>
    </row>
    <row r="1272" spans="2:4">
      <c r="C1272" t="s">
        <v>2206</v>
      </c>
    </row>
    <row r="1273" spans="2:4">
      <c r="D1273" t="s">
        <v>2207</v>
      </c>
    </row>
    <row r="1274" spans="2:4">
      <c r="D1274" t="s">
        <v>2208</v>
      </c>
    </row>
    <row r="1275" spans="2:4">
      <c r="C1275" t="s">
        <v>2209</v>
      </c>
    </row>
    <row r="1276" spans="2:4">
      <c r="C1276" t="s">
        <v>2210</v>
      </c>
    </row>
    <row r="1277" spans="2:4">
      <c r="D1277" t="s">
        <v>2211</v>
      </c>
    </row>
    <row r="1278" spans="2:4">
      <c r="C1278" t="s">
        <v>2212</v>
      </c>
    </row>
    <row r="1279" spans="2:4">
      <c r="D1279" t="s">
        <v>2213</v>
      </c>
    </row>
    <row r="1281" spans="2:4">
      <c r="B1281" t="s">
        <v>2091</v>
      </c>
    </row>
    <row r="1282" spans="2:4">
      <c r="C1282" t="s">
        <v>2214</v>
      </c>
    </row>
    <row r="1283" spans="2:4">
      <c r="C1283" t="s">
        <v>2215</v>
      </c>
    </row>
    <row r="1284" spans="2:4">
      <c r="D1284" t="s">
        <v>2216</v>
      </c>
    </row>
    <row r="1285" spans="2:4">
      <c r="C1285" t="s">
        <v>2217</v>
      </c>
    </row>
    <row r="1286" spans="2:4">
      <c r="D1286" t="s">
        <v>2218</v>
      </c>
    </row>
    <row r="1287" spans="2:4">
      <c r="C1287" t="s">
        <v>2219</v>
      </c>
    </row>
    <row r="1288" spans="2:4">
      <c r="D1288" t="s">
        <v>2220</v>
      </c>
    </row>
    <row r="1289" spans="2:4">
      <c r="C1289" t="s">
        <v>2221</v>
      </c>
    </row>
    <row r="1290" spans="2:4">
      <c r="C1290" t="s">
        <v>2222</v>
      </c>
    </row>
    <row r="1291" spans="2:4">
      <c r="C1291" t="s">
        <v>2223</v>
      </c>
    </row>
    <row r="1292" spans="2:4">
      <c r="B1292" t="s">
        <v>2224</v>
      </c>
    </row>
    <row r="1293" spans="2:4">
      <c r="C1293" t="s">
        <v>2225</v>
      </c>
    </row>
    <row r="1294" spans="2:4">
      <c r="C1294" t="s">
        <v>2226</v>
      </c>
    </row>
    <row r="1295" spans="2:4">
      <c r="C1295" t="s">
        <v>2227</v>
      </c>
    </row>
    <row r="1296" spans="2:4">
      <c r="D1296" t="s">
        <v>353</v>
      </c>
    </row>
    <row r="1297" spans="2:4">
      <c r="D1297" t="s">
        <v>2228</v>
      </c>
    </row>
    <row r="1299" spans="2:4">
      <c r="B1299" t="s">
        <v>2229</v>
      </c>
    </row>
    <row r="1301" spans="2:4">
      <c r="B1301" t="s">
        <v>2230</v>
      </c>
    </row>
    <row r="1302" spans="2:4">
      <c r="C1302" t="s">
        <v>2231</v>
      </c>
      <c r="D1302" t="s">
        <v>2232</v>
      </c>
    </row>
    <row r="1303" spans="2:4">
      <c r="C1303" t="s">
        <v>2233</v>
      </c>
    </row>
    <row r="1304" spans="2:4">
      <c r="D1304" t="s">
        <v>2234</v>
      </c>
    </row>
    <row r="1305" spans="2:4">
      <c r="C1305">
        <v>2019</v>
      </c>
      <c r="D1305" t="s">
        <v>2235</v>
      </c>
    </row>
    <row r="1306" spans="2:4">
      <c r="C1306">
        <v>1</v>
      </c>
      <c r="D1306" t="s">
        <v>2236</v>
      </c>
    </row>
    <row r="1307" spans="2:4">
      <c r="C1307">
        <v>2</v>
      </c>
    </row>
    <row r="1308" spans="2:4">
      <c r="C1308">
        <v>3</v>
      </c>
      <c r="D1308" t="s">
        <v>2237</v>
      </c>
    </row>
    <row r="1309" spans="2:4">
      <c r="B1309" t="s">
        <v>2238</v>
      </c>
    </row>
    <row r="1310" spans="2:4">
      <c r="B1310" t="s">
        <v>2239</v>
      </c>
    </row>
    <row r="1312" spans="2:4">
      <c r="B1312" t="s">
        <v>2240</v>
      </c>
    </row>
    <row r="1313" spans="2:4">
      <c r="C1313" t="s">
        <v>2241</v>
      </c>
    </row>
    <row r="1314" spans="2:4">
      <c r="C1314" t="s">
        <v>2242</v>
      </c>
    </row>
    <row r="1315" spans="2:4">
      <c r="C1315" t="s">
        <v>2243</v>
      </c>
    </row>
    <row r="1317" spans="2:4">
      <c r="B1317" t="s">
        <v>1018</v>
      </c>
      <c r="C1317" t="s">
        <v>2244</v>
      </c>
    </row>
    <row r="1318" spans="2:4">
      <c r="B1318" t="s">
        <v>295</v>
      </c>
      <c r="C1318" t="s">
        <v>2245</v>
      </c>
    </row>
    <row r="1319" spans="2:4">
      <c r="B1319" t="s">
        <v>437</v>
      </c>
      <c r="C1319" t="s">
        <v>1403</v>
      </c>
      <c r="D1319" t="s">
        <v>2246</v>
      </c>
    </row>
    <row r="1320" spans="2:4">
      <c r="C1320" t="s">
        <v>527</v>
      </c>
      <c r="D1320" t="s">
        <v>2247</v>
      </c>
    </row>
    <row r="1321" spans="2:4">
      <c r="C1321" t="s">
        <v>1574</v>
      </c>
      <c r="D1321" t="s">
        <v>2248</v>
      </c>
    </row>
    <row r="1323" spans="2:4">
      <c r="B1323" s="11" t="s">
        <v>403</v>
      </c>
    </row>
    <row r="1325" spans="2:4">
      <c r="B1325" t="s">
        <v>455</v>
      </c>
    </row>
    <row r="1326" spans="2:4">
      <c r="C1326" t="s">
        <v>2249</v>
      </c>
    </row>
    <row r="1327" spans="2:4">
      <c r="C1327" t="s">
        <v>2250</v>
      </c>
    </row>
    <row r="1328" spans="2:4">
      <c r="B1328" t="s">
        <v>2251</v>
      </c>
    </row>
    <row r="1329" spans="2:4">
      <c r="C1329" t="s">
        <v>2252</v>
      </c>
    </row>
    <row r="1330" spans="2:4">
      <c r="C1330" t="s">
        <v>2253</v>
      </c>
    </row>
    <row r="1331" spans="2:4">
      <c r="D1331" t="s">
        <v>2254</v>
      </c>
    </row>
    <row r="1332" spans="2:4">
      <c r="B1332" t="s">
        <v>2255</v>
      </c>
    </row>
    <row r="1333" spans="2:4">
      <c r="C1333" t="s">
        <v>2256</v>
      </c>
    </row>
    <row r="1334" spans="2:4">
      <c r="C1334" t="s">
        <v>2257</v>
      </c>
    </row>
    <row r="1335" spans="2:4">
      <c r="B1335" t="s">
        <v>351</v>
      </c>
    </row>
    <row r="1336" spans="2:4">
      <c r="C1336" t="s">
        <v>2258</v>
      </c>
    </row>
    <row r="1337" spans="2:4">
      <c r="B1337" s="11" t="s">
        <v>1197</v>
      </c>
    </row>
    <row r="1338" spans="2:4">
      <c r="B1338" t="s">
        <v>1163</v>
      </c>
    </row>
    <row r="1339" spans="2:4">
      <c r="C1339" t="s">
        <v>2259</v>
      </c>
    </row>
    <row r="1340" spans="2:4">
      <c r="C1340" t="s">
        <v>2260</v>
      </c>
    </row>
    <row r="1341" spans="2:4">
      <c r="B1341" t="s">
        <v>2261</v>
      </c>
    </row>
    <row r="1342" spans="2:4">
      <c r="C1342" t="s">
        <v>2262</v>
      </c>
    </row>
    <row r="1343" spans="2:4">
      <c r="C1343" t="s">
        <v>2263</v>
      </c>
    </row>
    <row r="1345" spans="2:5">
      <c r="C1345" t="s">
        <v>2264</v>
      </c>
    </row>
    <row r="1346" spans="2:5">
      <c r="C1346" t="s">
        <v>2265</v>
      </c>
    </row>
    <row r="1348" spans="2:5">
      <c r="C1348" t="s">
        <v>349</v>
      </c>
      <c r="E1348" t="s">
        <v>2266</v>
      </c>
    </row>
    <row r="1349" spans="2:5">
      <c r="E1349" t="s">
        <v>2267</v>
      </c>
    </row>
    <row r="1350" spans="2:5">
      <c r="C1350" t="s">
        <v>351</v>
      </c>
      <c r="E1350" t="s">
        <v>2268</v>
      </c>
    </row>
    <row r="1351" spans="2:5">
      <c r="B1351" t="s">
        <v>2269</v>
      </c>
    </row>
    <row r="1352" spans="2:5">
      <c r="C1352" t="s">
        <v>2270</v>
      </c>
    </row>
    <row r="1353" spans="2:5">
      <c r="D1353" t="s">
        <v>2271</v>
      </c>
    </row>
    <row r="1354" spans="2:5">
      <c r="B1354" t="s">
        <v>2272</v>
      </c>
    </row>
    <row r="1355" spans="2:5">
      <c r="C1355" t="s">
        <v>2273</v>
      </c>
    </row>
    <row r="1356" spans="2:5">
      <c r="C1356" t="s">
        <v>2274</v>
      </c>
    </row>
    <row r="1357" spans="2:5">
      <c r="B1357" t="s">
        <v>2275</v>
      </c>
    </row>
    <row r="1358" spans="2:5">
      <c r="C1358" t="s">
        <v>2276</v>
      </c>
    </row>
    <row r="1359" spans="2:5">
      <c r="D1359" t="s">
        <v>2277</v>
      </c>
    </row>
    <row r="1360" spans="2:5">
      <c r="C1360" t="s">
        <v>2278</v>
      </c>
    </row>
    <row r="1361" spans="2:5">
      <c r="D1361" t="s">
        <v>2279</v>
      </c>
    </row>
    <row r="1362" spans="2:5">
      <c r="D1362" t="s">
        <v>2280</v>
      </c>
    </row>
    <row r="1363" spans="2:5">
      <c r="D1363" t="s">
        <v>2281</v>
      </c>
    </row>
    <row r="1364" spans="2:5">
      <c r="E1364" t="s">
        <v>2282</v>
      </c>
    </row>
    <row r="1365" spans="2:5">
      <c r="E1365" t="s">
        <v>2283</v>
      </c>
    </row>
    <row r="1366" spans="2:5">
      <c r="B1366" t="s">
        <v>2284</v>
      </c>
    </row>
    <row r="1367" spans="2:5">
      <c r="C1367" t="s">
        <v>2285</v>
      </c>
    </row>
    <row r="1368" spans="2:5">
      <c r="D1368" t="s">
        <v>2286</v>
      </c>
    </row>
    <row r="1369" spans="2:5">
      <c r="B1369" t="s">
        <v>1686</v>
      </c>
    </row>
    <row r="1370" spans="2:5">
      <c r="C1370" t="s">
        <v>2287</v>
      </c>
    </row>
    <row r="1371" spans="2:5">
      <c r="C1371" t="s">
        <v>2288</v>
      </c>
    </row>
    <row r="1373" spans="2:5">
      <c r="B1373" t="s">
        <v>2289</v>
      </c>
    </row>
    <row r="1374" spans="2:5">
      <c r="C1374" t="s">
        <v>2290</v>
      </c>
    </row>
    <row r="1375" spans="2:5">
      <c r="D1375" t="s">
        <v>2291</v>
      </c>
    </row>
    <row r="1376" spans="2:5">
      <c r="D1376" t="s">
        <v>2292</v>
      </c>
    </row>
    <row r="1377" spans="2:4">
      <c r="C1377" t="s">
        <v>2293</v>
      </c>
    </row>
    <row r="1378" spans="2:4">
      <c r="C1378" t="s">
        <v>2294</v>
      </c>
    </row>
    <row r="1379" spans="2:4">
      <c r="C1379" t="s">
        <v>2295</v>
      </c>
    </row>
    <row r="1380" spans="2:4">
      <c r="B1380" t="s">
        <v>2296</v>
      </c>
    </row>
    <row r="1381" spans="2:4">
      <c r="C1381" t="s">
        <v>2297</v>
      </c>
    </row>
    <row r="1382" spans="2:4">
      <c r="B1382" t="s">
        <v>2298</v>
      </c>
    </row>
    <row r="1383" spans="2:4">
      <c r="C1383" t="s">
        <v>2299</v>
      </c>
    </row>
    <row r="1384" spans="2:4">
      <c r="C1384" t="s">
        <v>2300</v>
      </c>
    </row>
    <row r="1385" spans="2:4">
      <c r="B1385" t="s">
        <v>2301</v>
      </c>
    </row>
    <row r="1387" spans="2:4">
      <c r="B1387" s="11" t="s">
        <v>2302</v>
      </c>
    </row>
    <row r="1389" spans="2:4">
      <c r="B1389" s="11" t="s">
        <v>448</v>
      </c>
    </row>
    <row r="1390" spans="2:4">
      <c r="B1390" t="s">
        <v>715</v>
      </c>
      <c r="C1390" s="62">
        <v>43556</v>
      </c>
      <c r="D1390" s="43" t="s">
        <v>2303</v>
      </c>
    </row>
    <row r="1391" spans="2:4">
      <c r="C1391" s="62">
        <v>43770</v>
      </c>
      <c r="D1391" s="43" t="s">
        <v>2303</v>
      </c>
    </row>
    <row r="1392" spans="2:4">
      <c r="B1392" t="s">
        <v>2304</v>
      </c>
    </row>
    <row r="1393" spans="2:5">
      <c r="B1393" t="s">
        <v>2305</v>
      </c>
    </row>
    <row r="1394" spans="2:5">
      <c r="B1394" t="s">
        <v>2306</v>
      </c>
    </row>
    <row r="1395" spans="2:5">
      <c r="C1395" t="s">
        <v>2307</v>
      </c>
    </row>
    <row r="1396" spans="2:5">
      <c r="D1396" t="s">
        <v>2308</v>
      </c>
    </row>
    <row r="1397" spans="2:5">
      <c r="C1397" t="s">
        <v>2309</v>
      </c>
    </row>
    <row r="1398" spans="2:5">
      <c r="C1398" t="s">
        <v>2310</v>
      </c>
    </row>
    <row r="1399" spans="2:5">
      <c r="D1399" t="s">
        <v>2311</v>
      </c>
    </row>
    <row r="1400" spans="2:5">
      <c r="D1400" t="s">
        <v>2312</v>
      </c>
      <c r="E1400" t="s">
        <v>2313</v>
      </c>
    </row>
    <row r="1401" spans="2:5">
      <c r="C1401" t="s">
        <v>2314</v>
      </c>
    </row>
    <row r="1402" spans="2:5">
      <c r="C1402" t="s">
        <v>2315</v>
      </c>
    </row>
    <row r="1403" spans="2:5">
      <c r="B1403" s="11" t="s">
        <v>452</v>
      </c>
    </row>
    <row r="1404" spans="2:5">
      <c r="B1404" s="11"/>
      <c r="C1404" t="s">
        <v>2316</v>
      </c>
    </row>
    <row r="1405" spans="2:5">
      <c r="B1405" s="11"/>
      <c r="C1405" t="s">
        <v>2317</v>
      </c>
    </row>
    <row r="1406" spans="2:5">
      <c r="B1406" s="11"/>
      <c r="D1406" t="s">
        <v>2318</v>
      </c>
    </row>
    <row r="1407" spans="2:5">
      <c r="B1407" s="11"/>
      <c r="C1407" t="s">
        <v>2319</v>
      </c>
    </row>
    <row r="1408" spans="2:5">
      <c r="B1408" s="11"/>
      <c r="C1408" t="s">
        <v>2320</v>
      </c>
    </row>
    <row r="1409" spans="2:4">
      <c r="B1409" s="11"/>
      <c r="D1409" t="s">
        <v>2321</v>
      </c>
    </row>
    <row r="1410" spans="2:4">
      <c r="D1410" t="s">
        <v>2322</v>
      </c>
    </row>
    <row r="1411" spans="2:4">
      <c r="B1411" s="11" t="s">
        <v>2323</v>
      </c>
    </row>
    <row r="1412" spans="2:4">
      <c r="B1412" t="s">
        <v>2324</v>
      </c>
    </row>
    <row r="1413" spans="2:4">
      <c r="B1413" t="s">
        <v>2325</v>
      </c>
    </row>
    <row r="1415" spans="2:4">
      <c r="B1415" s="11" t="s">
        <v>2326</v>
      </c>
    </row>
    <row r="1416" spans="2:4">
      <c r="B1416" s="11" t="s">
        <v>349</v>
      </c>
    </row>
    <row r="1417" spans="2:4">
      <c r="B1417" t="s">
        <v>2327</v>
      </c>
      <c r="C1417" t="s">
        <v>2328</v>
      </c>
    </row>
    <row r="1418" spans="2:4">
      <c r="D1418" t="s">
        <v>2329</v>
      </c>
    </row>
    <row r="1419" spans="2:4">
      <c r="D1419" t="s">
        <v>2330</v>
      </c>
    </row>
    <row r="1420" spans="2:4">
      <c r="C1420" t="s">
        <v>2331</v>
      </c>
    </row>
    <row r="1422" spans="2:4">
      <c r="B1422" t="s">
        <v>2332</v>
      </c>
      <c r="C1422" t="s">
        <v>2333</v>
      </c>
    </row>
    <row r="1423" spans="2:4">
      <c r="D1423" t="s">
        <v>2334</v>
      </c>
    </row>
    <row r="1425" spans="2:5">
      <c r="B1425" t="s">
        <v>2335</v>
      </c>
    </row>
    <row r="1426" spans="2:5">
      <c r="C1426" t="s">
        <v>2336</v>
      </c>
    </row>
    <row r="1427" spans="2:5">
      <c r="C1427" t="s">
        <v>2337</v>
      </c>
    </row>
    <row r="1428" spans="2:5">
      <c r="B1428" t="s">
        <v>2338</v>
      </c>
    </row>
    <row r="1430" spans="2:5">
      <c r="B1430" s="11" t="s">
        <v>147</v>
      </c>
    </row>
    <row r="1431" spans="2:5">
      <c r="B1431" t="s">
        <v>2339</v>
      </c>
      <c r="C1431" t="s">
        <v>2236</v>
      </c>
    </row>
    <row r="1432" spans="2:5">
      <c r="C1432" t="s">
        <v>2340</v>
      </c>
    </row>
    <row r="1433" spans="2:5">
      <c r="D1433" t="s">
        <v>2341</v>
      </c>
    </row>
    <row r="1434" spans="2:5">
      <c r="D1434" t="s">
        <v>2231</v>
      </c>
      <c r="E1434" t="s">
        <v>2342</v>
      </c>
    </row>
    <row r="1435" spans="2:5">
      <c r="C1435" t="s">
        <v>2343</v>
      </c>
    </row>
    <row r="1436" spans="2:5">
      <c r="B1436" t="s">
        <v>2344</v>
      </c>
    </row>
    <row r="1437" spans="2:5">
      <c r="C1437" t="s">
        <v>2345</v>
      </c>
    </row>
    <row r="1438" spans="2:5">
      <c r="C1438" t="s">
        <v>2346</v>
      </c>
    </row>
    <row r="1439" spans="2:5">
      <c r="C1439" t="s">
        <v>2347</v>
      </c>
    </row>
    <row r="1440" spans="2:5">
      <c r="C1440" t="s">
        <v>2348</v>
      </c>
    </row>
    <row r="1442" spans="2:4">
      <c r="B1442" s="11" t="s">
        <v>2349</v>
      </c>
    </row>
    <row r="1443" spans="2:4">
      <c r="C1443" t="s">
        <v>2350</v>
      </c>
    </row>
    <row r="1444" spans="2:4">
      <c r="C1444" t="s">
        <v>2351</v>
      </c>
    </row>
    <row r="1445" spans="2:4">
      <c r="D1445" t="s">
        <v>2352</v>
      </c>
    </row>
    <row r="1446" spans="2:4">
      <c r="C1446" t="s">
        <v>2353</v>
      </c>
    </row>
    <row r="1447" spans="2:4">
      <c r="C1447" t="s">
        <v>2354</v>
      </c>
    </row>
    <row r="1449" spans="2:4">
      <c r="B1449" s="11" t="s">
        <v>2355</v>
      </c>
    </row>
    <row r="1451" spans="2:4">
      <c r="B1451" t="s">
        <v>2356</v>
      </c>
    </row>
    <row r="1452" spans="2:4">
      <c r="C1452" t="s">
        <v>2357</v>
      </c>
    </row>
    <row r="1453" spans="2:4">
      <c r="C1453" t="s">
        <v>2358</v>
      </c>
    </row>
    <row r="1454" spans="2:4">
      <c r="D1454" t="s">
        <v>2359</v>
      </c>
    </row>
    <row r="1455" spans="2:4">
      <c r="C1455" t="s">
        <v>2360</v>
      </c>
    </row>
    <row r="1456" spans="2:4">
      <c r="D1456" t="s">
        <v>2361</v>
      </c>
    </row>
    <row r="1457" spans="2:5">
      <c r="E1457" t="s">
        <v>2362</v>
      </c>
    </row>
    <row r="1458" spans="2:5">
      <c r="E1458" t="s">
        <v>2363</v>
      </c>
    </row>
    <row r="1459" spans="2:5">
      <c r="C1459" t="s">
        <v>2364</v>
      </c>
    </row>
    <row r="1460" spans="2:5">
      <c r="C1460" t="s">
        <v>2365</v>
      </c>
    </row>
    <row r="1461" spans="2:5">
      <c r="D1461" t="s">
        <v>2366</v>
      </c>
    </row>
    <row r="1462" spans="2:5">
      <c r="C1462" t="s">
        <v>2367</v>
      </c>
    </row>
    <row r="1463" spans="2:5">
      <c r="D1463" t="s">
        <v>2368</v>
      </c>
    </row>
    <row r="1464" spans="2:5">
      <c r="D1464" t="s">
        <v>2369</v>
      </c>
    </row>
    <row r="1465" spans="2:5">
      <c r="C1465" t="s">
        <v>2370</v>
      </c>
    </row>
    <row r="1466" spans="2:5">
      <c r="D1466" t="s">
        <v>2371</v>
      </c>
    </row>
    <row r="1467" spans="2:5">
      <c r="C1467" t="s">
        <v>2372</v>
      </c>
    </row>
    <row r="1468" spans="2:5">
      <c r="D1468" t="s">
        <v>2373</v>
      </c>
    </row>
    <row r="1469" spans="2:5">
      <c r="D1469" t="s">
        <v>2374</v>
      </c>
    </row>
    <row r="1471" spans="2:5">
      <c r="B1471" s="63" t="s">
        <v>437</v>
      </c>
    </row>
    <row r="1472" spans="2:5">
      <c r="C1472" t="s">
        <v>2375</v>
      </c>
    </row>
    <row r="1473" spans="2:3">
      <c r="B1473" t="s">
        <v>2376</v>
      </c>
    </row>
    <row r="1474" spans="2:3">
      <c r="C1474" t="s">
        <v>2377</v>
      </c>
    </row>
    <row r="1475" spans="2:3">
      <c r="C1475" t="s">
        <v>2378</v>
      </c>
    </row>
    <row r="1476" spans="2:3">
      <c r="B1476" t="s">
        <v>2379</v>
      </c>
    </row>
    <row r="1477" spans="2:3">
      <c r="C1477" s="64">
        <v>44136</v>
      </c>
    </row>
    <row r="1478" spans="2:3">
      <c r="C1478" t="s">
        <v>2380</v>
      </c>
    </row>
    <row r="1479" spans="2:3">
      <c r="B1479" t="s">
        <v>2381</v>
      </c>
    </row>
    <row r="1480" spans="2:3">
      <c r="B1480" t="s">
        <v>2382</v>
      </c>
    </row>
    <row r="1481" spans="2:3">
      <c r="C1481" t="s">
        <v>2383</v>
      </c>
    </row>
    <row r="1483" spans="2:3">
      <c r="B1483" s="11" t="s">
        <v>404</v>
      </c>
    </row>
    <row r="1485" spans="2:3">
      <c r="B1485" t="s">
        <v>2384</v>
      </c>
    </row>
    <row r="1486" spans="2:3">
      <c r="C1486" t="s">
        <v>2385</v>
      </c>
    </row>
    <row r="1487" spans="2:3">
      <c r="B1487" t="s">
        <v>1751</v>
      </c>
    </row>
    <row r="1488" spans="2:3">
      <c r="C1488" t="s">
        <v>2386</v>
      </c>
    </row>
    <row r="1489" spans="2:4">
      <c r="B1489" t="s">
        <v>2387</v>
      </c>
    </row>
    <row r="1491" spans="2:4">
      <c r="B1491" t="s">
        <v>2388</v>
      </c>
    </row>
    <row r="1492" spans="2:4">
      <c r="C1492" s="58" t="s">
        <v>2389</v>
      </c>
    </row>
    <row r="1493" spans="2:4">
      <c r="D1493" t="s">
        <v>2390</v>
      </c>
    </row>
    <row r="1494" spans="2:4">
      <c r="D1494" t="s">
        <v>2391</v>
      </c>
    </row>
    <row r="1495" spans="2:4">
      <c r="B1495" t="s">
        <v>2392</v>
      </c>
    </row>
    <row r="1496" spans="2:4">
      <c r="C1496" t="s">
        <v>2393</v>
      </c>
    </row>
    <row r="1497" spans="2:4">
      <c r="C1497" t="s">
        <v>2394</v>
      </c>
    </row>
    <row r="1498" spans="2:4">
      <c r="C1498" t="s">
        <v>2395</v>
      </c>
    </row>
    <row r="1499" spans="2:4">
      <c r="C1499" t="s">
        <v>2396</v>
      </c>
    </row>
    <row r="1500" spans="2:4">
      <c r="C1500" t="s">
        <v>2397</v>
      </c>
    </row>
    <row r="1502" spans="2:4">
      <c r="C1502" t="s">
        <v>2398</v>
      </c>
    </row>
    <row r="1503" spans="2:4">
      <c r="C1503" t="s">
        <v>2399</v>
      </c>
    </row>
    <row r="1504" spans="2:4">
      <c r="D1504" t="s">
        <v>2400</v>
      </c>
    </row>
    <row r="1505" spans="2:5">
      <c r="D1505" t="s">
        <v>2401</v>
      </c>
    </row>
    <row r="1506" spans="2:5">
      <c r="C1506" t="s">
        <v>2402</v>
      </c>
    </row>
    <row r="1507" spans="2:5">
      <c r="B1507" t="s">
        <v>2403</v>
      </c>
    </row>
    <row r="1508" spans="2:5">
      <c r="C1508" t="s">
        <v>2404</v>
      </c>
    </row>
    <row r="1509" spans="2:5">
      <c r="C1509" t="s">
        <v>2405</v>
      </c>
    </row>
    <row r="1510" spans="2:5">
      <c r="D1510" t="s">
        <v>2406</v>
      </c>
    </row>
    <row r="1511" spans="2:5">
      <c r="B1511" t="s">
        <v>2407</v>
      </c>
    </row>
    <row r="1512" spans="2:5">
      <c r="C1512" t="s">
        <v>2408</v>
      </c>
    </row>
    <row r="1513" spans="2:5">
      <c r="C1513" t="s">
        <v>2409</v>
      </c>
    </row>
    <row r="1514" spans="2:5">
      <c r="D1514" t="s">
        <v>2410</v>
      </c>
    </row>
    <row r="1515" spans="2:5">
      <c r="D1515" t="s">
        <v>2411</v>
      </c>
    </row>
    <row r="1516" spans="2:5">
      <c r="C1516" t="s">
        <v>2412</v>
      </c>
    </row>
    <row r="1517" spans="2:5">
      <c r="D1517" t="s">
        <v>2413</v>
      </c>
    </row>
    <row r="1518" spans="2:5">
      <c r="D1518" t="s">
        <v>2414</v>
      </c>
    </row>
    <row r="1519" spans="2:5">
      <c r="E1519" t="s">
        <v>2415</v>
      </c>
    </row>
    <row r="1520" spans="2:5">
      <c r="B1520" t="s">
        <v>147</v>
      </c>
    </row>
    <row r="1521" spans="2:5">
      <c r="C1521" t="s">
        <v>2416</v>
      </c>
    </row>
    <row r="1522" spans="2:5">
      <c r="C1522" t="s">
        <v>2417</v>
      </c>
    </row>
    <row r="1523" spans="2:5">
      <c r="D1523" t="s">
        <v>2418</v>
      </c>
    </row>
    <row r="1524" spans="2:5">
      <c r="D1524" t="s">
        <v>2419</v>
      </c>
    </row>
    <row r="1525" spans="2:5">
      <c r="E1525" t="s">
        <v>2420</v>
      </c>
    </row>
    <row r="1526" spans="2:5">
      <c r="B1526" t="s">
        <v>2421</v>
      </c>
    </row>
    <row r="1527" spans="2:5">
      <c r="C1527" t="s">
        <v>2422</v>
      </c>
    </row>
    <row r="1528" spans="2:5">
      <c r="D1528" t="s">
        <v>2423</v>
      </c>
    </row>
    <row r="1529" spans="2:5">
      <c r="D1529" t="s">
        <v>2424</v>
      </c>
    </row>
    <row r="1530" spans="2:5">
      <c r="C1530" t="s">
        <v>2425</v>
      </c>
    </row>
    <row r="1531" spans="2:5">
      <c r="B1531" t="s">
        <v>2426</v>
      </c>
    </row>
    <row r="1532" spans="2:5">
      <c r="C1532" t="s">
        <v>2427</v>
      </c>
    </row>
    <row r="1533" spans="2:5">
      <c r="C1533" t="s">
        <v>2428</v>
      </c>
    </row>
    <row r="1534" spans="2:5">
      <c r="C1534" t="s">
        <v>2429</v>
      </c>
    </row>
    <row r="1535" spans="2:5">
      <c r="C1535" t="s">
        <v>2430</v>
      </c>
    </row>
    <row r="1536" spans="2:5">
      <c r="B1536" t="s">
        <v>2431</v>
      </c>
    </row>
    <row r="1537" spans="2:5">
      <c r="C1537" t="s">
        <v>2432</v>
      </c>
    </row>
    <row r="1538" spans="2:5">
      <c r="C1538" t="s">
        <v>2433</v>
      </c>
    </row>
    <row r="1539" spans="2:5">
      <c r="C1539" t="s">
        <v>2434</v>
      </c>
    </row>
    <row r="1540" spans="2:5">
      <c r="C1540" t="s">
        <v>2435</v>
      </c>
    </row>
    <row r="1541" spans="2:5">
      <c r="B1541" t="s">
        <v>455</v>
      </c>
    </row>
    <row r="1542" spans="2:5">
      <c r="C1542" t="s">
        <v>2436</v>
      </c>
    </row>
    <row r="1543" spans="2:5">
      <c r="D1543" t="s">
        <v>2437</v>
      </c>
    </row>
    <row r="1544" spans="2:5">
      <c r="D1544" t="s">
        <v>2438</v>
      </c>
    </row>
    <row r="1545" spans="2:5">
      <c r="E1545" t="s">
        <v>2439</v>
      </c>
    </row>
    <row r="1547" spans="2:5">
      <c r="B1547" s="11" t="s">
        <v>2440</v>
      </c>
    </row>
    <row r="1549" spans="2:5">
      <c r="B1549" t="s">
        <v>2441</v>
      </c>
      <c r="C1549" t="s">
        <v>2442</v>
      </c>
    </row>
    <row r="1550" spans="2:5">
      <c r="C1550" t="s">
        <v>2443</v>
      </c>
    </row>
    <row r="1551" spans="2:5">
      <c r="B1551" t="s">
        <v>448</v>
      </c>
    </row>
    <row r="1552" spans="2:5">
      <c r="C1552" t="s">
        <v>2444</v>
      </c>
    </row>
    <row r="1553" spans="2:5">
      <c r="D1553" t="s">
        <v>2445</v>
      </c>
    </row>
    <row r="1554" spans="2:5">
      <c r="C1554" t="s">
        <v>2446</v>
      </c>
    </row>
    <row r="1555" spans="2:5">
      <c r="C1555" t="s">
        <v>2447</v>
      </c>
    </row>
    <row r="1556" spans="2:5">
      <c r="D1556" t="s">
        <v>2448</v>
      </c>
    </row>
    <row r="1557" spans="2:5">
      <c r="B1557" t="s">
        <v>2449</v>
      </c>
    </row>
    <row r="1558" spans="2:5">
      <c r="C1558" t="s">
        <v>2450</v>
      </c>
    </row>
    <row r="1559" spans="2:5">
      <c r="D1559" t="s">
        <v>2451</v>
      </c>
    </row>
    <row r="1560" spans="2:5">
      <c r="D1560" t="s">
        <v>2452</v>
      </c>
    </row>
    <row r="1561" spans="2:5">
      <c r="D1561" t="s">
        <v>2453</v>
      </c>
    </row>
    <row r="1562" spans="2:5">
      <c r="E1562" t="s">
        <v>2454</v>
      </c>
    </row>
    <row r="1563" spans="2:5">
      <c r="C1563" t="s">
        <v>2455</v>
      </c>
    </row>
    <row r="1564" spans="2:5">
      <c r="C1564" t="s">
        <v>2456</v>
      </c>
    </row>
    <row r="1565" spans="2:5">
      <c r="C1565" t="s">
        <v>2457</v>
      </c>
    </row>
    <row r="1566" spans="2:5">
      <c r="C1566" t="s">
        <v>2458</v>
      </c>
    </row>
    <row r="1567" spans="2:5">
      <c r="B1567" t="s">
        <v>2459</v>
      </c>
      <c r="C1567" t="s">
        <v>2460</v>
      </c>
    </row>
    <row r="1569" spans="2:4">
      <c r="B1569" t="s">
        <v>2461</v>
      </c>
    </row>
    <row r="1570" spans="2:4">
      <c r="C1570" t="s">
        <v>2462</v>
      </c>
    </row>
    <row r="1571" spans="2:4">
      <c r="C1571" t="s">
        <v>2463</v>
      </c>
    </row>
    <row r="1572" spans="2:4">
      <c r="D1572" t="s">
        <v>2464</v>
      </c>
    </row>
    <row r="1573" spans="2:4">
      <c r="D1573" t="s">
        <v>2465</v>
      </c>
    </row>
    <row r="1574" spans="2:4">
      <c r="B1574" t="s">
        <v>1751</v>
      </c>
    </row>
    <row r="1575" spans="2:4">
      <c r="C1575" t="s">
        <v>2466</v>
      </c>
    </row>
    <row r="1576" spans="2:4">
      <c r="D1576" t="s">
        <v>2467</v>
      </c>
    </row>
    <row r="1577" spans="2:4">
      <c r="D1577" t="s">
        <v>2468</v>
      </c>
    </row>
    <row r="1578" spans="2:4">
      <c r="C1578" t="s">
        <v>2469</v>
      </c>
    </row>
    <row r="1579" spans="2:4">
      <c r="D1579" t="s">
        <v>2470</v>
      </c>
    </row>
    <row r="1580" spans="2:4">
      <c r="D1580" t="s">
        <v>2471</v>
      </c>
    </row>
    <row r="1581" spans="2:4">
      <c r="D1581" t="s">
        <v>2472</v>
      </c>
    </row>
    <row r="1582" spans="2:4">
      <c r="C1582" t="s">
        <v>2392</v>
      </c>
    </row>
    <row r="1583" spans="2:4">
      <c r="D1583" t="s">
        <v>2473</v>
      </c>
    </row>
    <row r="1584" spans="2:4">
      <c r="C1584" t="s">
        <v>2474</v>
      </c>
    </row>
    <row r="1585" spans="2:4">
      <c r="D1585" t="s">
        <v>2475</v>
      </c>
    </row>
    <row r="1586" spans="2:4">
      <c r="C1586" t="s">
        <v>677</v>
      </c>
    </row>
    <row r="1587" spans="2:4">
      <c r="B1587" t="s">
        <v>2476</v>
      </c>
    </row>
    <row r="1588" spans="2:4">
      <c r="C1588" t="s">
        <v>2477</v>
      </c>
    </row>
    <row r="1589" spans="2:4">
      <c r="C1589" t="s">
        <v>2478</v>
      </c>
    </row>
    <row r="1590" spans="2:4">
      <c r="C1590" t="s">
        <v>2479</v>
      </c>
    </row>
    <row r="1591" spans="2:4">
      <c r="C1591" t="s">
        <v>2480</v>
      </c>
    </row>
    <row r="1592" spans="2:4">
      <c r="B1592" t="s">
        <v>2481</v>
      </c>
    </row>
    <row r="1593" spans="2:4">
      <c r="B1593" t="s">
        <v>2482</v>
      </c>
      <c r="C1593" t="s">
        <v>2483</v>
      </c>
    </row>
    <row r="1594" spans="2:4">
      <c r="B1594" t="s">
        <v>2484</v>
      </c>
      <c r="D1594" t="s">
        <v>2485</v>
      </c>
    </row>
    <row r="1595" spans="2:4">
      <c r="D1595" t="s">
        <v>2486</v>
      </c>
    </row>
    <row r="1596" spans="2:4">
      <c r="B1596" t="s">
        <v>455</v>
      </c>
    </row>
    <row r="1597" spans="2:4">
      <c r="C1597" t="s">
        <v>2487</v>
      </c>
    </row>
    <row r="1598" spans="2:4">
      <c r="C1598" t="s">
        <v>2488</v>
      </c>
    </row>
    <row r="1599" spans="2:4">
      <c r="D1599" t="s">
        <v>2489</v>
      </c>
    </row>
    <row r="1600" spans="2:4">
      <c r="C1600" t="s">
        <v>351</v>
      </c>
    </row>
    <row r="1601" spans="2:4">
      <c r="D1601" t="s">
        <v>2490</v>
      </c>
    </row>
    <row r="1602" spans="2:4">
      <c r="D1602" t="s">
        <v>2491</v>
      </c>
    </row>
    <row r="1604" spans="2:4">
      <c r="D1604" t="s">
        <v>2492</v>
      </c>
    </row>
    <row r="1605" spans="2:4">
      <c r="B1605" t="s">
        <v>147</v>
      </c>
    </row>
    <row r="1606" spans="2:4">
      <c r="C1606" t="s">
        <v>2493</v>
      </c>
    </row>
    <row r="1607" spans="2:4">
      <c r="C1607" t="s">
        <v>2494</v>
      </c>
    </row>
    <row r="1609" spans="2:4">
      <c r="C1609" t="s">
        <v>2495</v>
      </c>
    </row>
    <row r="1610" spans="2:4">
      <c r="D1610" t="s">
        <v>2496</v>
      </c>
    </row>
    <row r="1611" spans="2:4">
      <c r="D1611" t="s">
        <v>2342</v>
      </c>
    </row>
    <row r="1612" spans="2:4">
      <c r="D1612" t="s">
        <v>2497</v>
      </c>
    </row>
    <row r="1613" spans="2:4">
      <c r="D1613" t="s">
        <v>2498</v>
      </c>
    </row>
    <row r="1614" spans="2:4">
      <c r="C1614" t="s">
        <v>2499</v>
      </c>
    </row>
    <row r="1615" spans="2:4">
      <c r="D1615" t="s">
        <v>2500</v>
      </c>
    </row>
    <row r="1616" spans="2:4">
      <c r="C1616" t="s">
        <v>2501</v>
      </c>
    </row>
    <row r="1617" spans="2:5">
      <c r="D1617" t="s">
        <v>2502</v>
      </c>
    </row>
    <row r="1618" spans="2:5">
      <c r="D1618" t="s">
        <v>2503</v>
      </c>
    </row>
    <row r="1619" spans="2:5">
      <c r="B1619" t="s">
        <v>150</v>
      </c>
    </row>
    <row r="1620" spans="2:5">
      <c r="C1620" t="s">
        <v>2504</v>
      </c>
    </row>
    <row r="1621" spans="2:5">
      <c r="C1621" t="s">
        <v>2505</v>
      </c>
    </row>
    <row r="1623" spans="2:5">
      <c r="C1623" t="s">
        <v>2506</v>
      </c>
    </row>
    <row r="1624" spans="2:5">
      <c r="D1624" t="s">
        <v>2507</v>
      </c>
    </row>
    <row r="1625" spans="2:5">
      <c r="C1625" t="s">
        <v>2508</v>
      </c>
    </row>
    <row r="1626" spans="2:5">
      <c r="B1626" t="s">
        <v>1081</v>
      </c>
    </row>
    <row r="1627" spans="2:5">
      <c r="C1627" t="s">
        <v>2509</v>
      </c>
    </row>
    <row r="1628" spans="2:5">
      <c r="D1628" t="s">
        <v>2510</v>
      </c>
    </row>
    <row r="1629" spans="2:5">
      <c r="D1629" t="s">
        <v>2511</v>
      </c>
    </row>
    <row r="1630" spans="2:5">
      <c r="E1630" t="s">
        <v>2512</v>
      </c>
    </row>
    <row r="1631" spans="2:5">
      <c r="C1631" t="s">
        <v>2513</v>
      </c>
    </row>
    <row r="1632" spans="2:5">
      <c r="C1632" t="s">
        <v>2514</v>
      </c>
    </row>
    <row r="1634" spans="2:8">
      <c r="B1634" s="11" t="s">
        <v>2515</v>
      </c>
    </row>
    <row r="1636" spans="2:8">
      <c r="B1636" t="s">
        <v>2516</v>
      </c>
    </row>
    <row r="1637" spans="2:8">
      <c r="C1637" t="s">
        <v>2517</v>
      </c>
    </row>
    <row r="1638" spans="2:8">
      <c r="D1638" t="s">
        <v>2518</v>
      </c>
    </row>
    <row r="1639" spans="2:8">
      <c r="D1639" t="s">
        <v>2519</v>
      </c>
      <c r="F1639" t="s">
        <v>2520</v>
      </c>
      <c r="G1639" t="s">
        <v>2521</v>
      </c>
      <c r="H1639" t="s">
        <v>2522</v>
      </c>
    </row>
    <row r="1640" spans="2:8">
      <c r="F1640" t="s">
        <v>2523</v>
      </c>
      <c r="G1640" t="s">
        <v>2524</v>
      </c>
    </row>
    <row r="1641" spans="2:8">
      <c r="C1641" t="s">
        <v>2525</v>
      </c>
    </row>
    <row r="1642" spans="2:8">
      <c r="B1642" t="s">
        <v>2526</v>
      </c>
    </row>
    <row r="1643" spans="2:8">
      <c r="C1643" t="s">
        <v>2527</v>
      </c>
    </row>
    <row r="1644" spans="2:8">
      <c r="C1644" t="s">
        <v>2528</v>
      </c>
    </row>
    <row r="1645" spans="2:8">
      <c r="D1645" t="s">
        <v>2529</v>
      </c>
    </row>
    <row r="1646" spans="2:8">
      <c r="D1646" t="s">
        <v>2530</v>
      </c>
    </row>
    <row r="1647" spans="2:8">
      <c r="C1647" t="s">
        <v>2531</v>
      </c>
    </row>
    <row r="1648" spans="2:8">
      <c r="B1648" t="s">
        <v>2532</v>
      </c>
    </row>
    <row r="1649" spans="2:5">
      <c r="C1649" t="s">
        <v>2533</v>
      </c>
    </row>
    <row r="1650" spans="2:5">
      <c r="D1650" t="s">
        <v>2534</v>
      </c>
    </row>
    <row r="1651" spans="2:5">
      <c r="C1651" t="s">
        <v>36</v>
      </c>
    </row>
    <row r="1652" spans="2:5">
      <c r="D1652" t="s">
        <v>2535</v>
      </c>
    </row>
    <row r="1653" spans="2:5">
      <c r="B1653" t="s">
        <v>2536</v>
      </c>
    </row>
    <row r="1654" spans="2:5">
      <c r="C1654" t="s">
        <v>2537</v>
      </c>
    </row>
    <row r="1655" spans="2:5">
      <c r="C1655" t="s">
        <v>2538</v>
      </c>
    </row>
    <row r="1656" spans="2:5">
      <c r="B1656" t="s">
        <v>2449</v>
      </c>
    </row>
    <row r="1657" spans="2:5">
      <c r="C1657" t="s">
        <v>2539</v>
      </c>
    </row>
    <row r="1658" spans="2:5">
      <c r="D1658" t="s">
        <v>2449</v>
      </c>
      <c r="E1658" s="67">
        <v>0.03</v>
      </c>
    </row>
    <row r="1659" spans="2:5">
      <c r="C1659" t="s">
        <v>2540</v>
      </c>
      <c r="E1659" t="s">
        <v>2541</v>
      </c>
    </row>
    <row r="1660" spans="2:5">
      <c r="E1660" s="13" t="s">
        <v>2542</v>
      </c>
    </row>
    <row r="1661" spans="2:5">
      <c r="B1661" t="s">
        <v>1751</v>
      </c>
    </row>
    <row r="1662" spans="2:5">
      <c r="C1662" t="s">
        <v>2543</v>
      </c>
    </row>
    <row r="1663" spans="2:5">
      <c r="C1663" t="s">
        <v>2544</v>
      </c>
    </row>
    <row r="1664" spans="2:5">
      <c r="D1664" t="s">
        <v>2545</v>
      </c>
    </row>
    <row r="1665" spans="2:4">
      <c r="D1665" t="s">
        <v>2546</v>
      </c>
    </row>
    <row r="1666" spans="2:4">
      <c r="C1666" t="s">
        <v>2547</v>
      </c>
    </row>
    <row r="1667" spans="2:4">
      <c r="D1667" t="s">
        <v>2548</v>
      </c>
    </row>
    <row r="1668" spans="2:4">
      <c r="B1668" t="s">
        <v>678</v>
      </c>
    </row>
    <row r="1669" spans="2:4">
      <c r="C1669" t="s">
        <v>2549</v>
      </c>
    </row>
    <row r="1670" spans="2:4">
      <c r="C1670" t="s">
        <v>2550</v>
      </c>
    </row>
    <row r="1671" spans="2:4">
      <c r="C1671" t="s">
        <v>2551</v>
      </c>
    </row>
    <row r="1672" spans="2:4">
      <c r="D1672" t="s">
        <v>2552</v>
      </c>
    </row>
    <row r="1673" spans="2:4">
      <c r="C1673" t="s">
        <v>2553</v>
      </c>
    </row>
    <row r="1674" spans="2:4">
      <c r="B1674" t="s">
        <v>1081</v>
      </c>
    </row>
    <row r="1675" spans="2:4">
      <c r="C1675" t="s">
        <v>2554</v>
      </c>
    </row>
    <row r="1677" spans="2:4">
      <c r="C1677" t="s">
        <v>2555</v>
      </c>
    </row>
    <row r="1678" spans="2:4">
      <c r="C1678" t="s">
        <v>455</v>
      </c>
      <c r="D1678" t="s">
        <v>2556</v>
      </c>
    </row>
    <row r="1679" spans="2:4">
      <c r="D1679" t="s">
        <v>2557</v>
      </c>
    </row>
    <row r="1680" spans="2:4">
      <c r="C1680" t="s">
        <v>2558</v>
      </c>
    </row>
    <row r="1682" spans="2:4">
      <c r="C1682" t="s">
        <v>2559</v>
      </c>
    </row>
    <row r="1683" spans="2:4">
      <c r="B1683" t="s">
        <v>151</v>
      </c>
    </row>
    <row r="1684" spans="2:4">
      <c r="C1684" t="s">
        <v>2560</v>
      </c>
    </row>
    <row r="1685" spans="2:4">
      <c r="C1685" t="s">
        <v>2561</v>
      </c>
    </row>
    <row r="1686" spans="2:4">
      <c r="B1686" t="s">
        <v>147</v>
      </c>
    </row>
    <row r="1687" spans="2:4">
      <c r="C1687" t="s">
        <v>2562</v>
      </c>
    </row>
    <row r="1688" spans="2:4">
      <c r="C1688" t="s">
        <v>2563</v>
      </c>
    </row>
    <row r="1689" spans="2:4">
      <c r="B1689" t="s">
        <v>2564</v>
      </c>
    </row>
    <row r="1690" spans="2:4">
      <c r="C1690" t="s">
        <v>2565</v>
      </c>
    </row>
    <row r="1691" spans="2:4">
      <c r="C1691" t="s">
        <v>2566</v>
      </c>
    </row>
    <row r="1692" spans="2:4">
      <c r="D1692" t="s">
        <v>2567</v>
      </c>
    </row>
    <row r="1693" spans="2:4">
      <c r="C1693" t="s">
        <v>2568</v>
      </c>
    </row>
    <row r="1694" spans="2:4">
      <c r="D1694" t="s">
        <v>2569</v>
      </c>
    </row>
    <row r="1695" spans="2:4">
      <c r="D1695" t="s">
        <v>2570</v>
      </c>
    </row>
    <row r="1696" spans="2:4">
      <c r="B1696" t="s">
        <v>150</v>
      </c>
    </row>
    <row r="1697" spans="2:4">
      <c r="C1697" t="s">
        <v>2571</v>
      </c>
    </row>
    <row r="1698" spans="2:4">
      <c r="C1698" t="s">
        <v>2572</v>
      </c>
    </row>
    <row r="1699" spans="2:4">
      <c r="D1699" t="s">
        <v>1531</v>
      </c>
    </row>
    <row r="1700" spans="2:4">
      <c r="D1700" t="s">
        <v>2573</v>
      </c>
    </row>
    <row r="1701" spans="2:4">
      <c r="D1701" t="s">
        <v>2574</v>
      </c>
    </row>
    <row r="1702" spans="2:4">
      <c r="C1702" t="s">
        <v>2575</v>
      </c>
    </row>
    <row r="1703" spans="2:4">
      <c r="C1703" t="s">
        <v>2576</v>
      </c>
    </row>
    <row r="1704" spans="2:4">
      <c r="B1704" t="s">
        <v>2382</v>
      </c>
    </row>
    <row r="1705" spans="2:4">
      <c r="C1705" t="s">
        <v>2577</v>
      </c>
    </row>
    <row r="1706" spans="2:4">
      <c r="C1706" t="s">
        <v>2578</v>
      </c>
    </row>
    <row r="1707" spans="2:4">
      <c r="D1707" t="s">
        <v>2579</v>
      </c>
    </row>
    <row r="1708" spans="2:4">
      <c r="D1708" t="s">
        <v>2580</v>
      </c>
    </row>
    <row r="1709" spans="2:4">
      <c r="B1709" t="s">
        <v>2581</v>
      </c>
    </row>
    <row r="1710" spans="2:4">
      <c r="C1710" t="s">
        <v>2582</v>
      </c>
    </row>
    <row r="1711" spans="2:4">
      <c r="C1711" t="s">
        <v>2583</v>
      </c>
    </row>
    <row r="1712" spans="2:4">
      <c r="C1712" t="s">
        <v>2584</v>
      </c>
      <c r="D1712" t="s">
        <v>2585</v>
      </c>
    </row>
    <row r="1713" spans="2:5">
      <c r="C1713" t="s">
        <v>2586</v>
      </c>
      <c r="D1713" t="s">
        <v>2587</v>
      </c>
    </row>
    <row r="1714" spans="2:5">
      <c r="C1714" t="s">
        <v>2588</v>
      </c>
    </row>
    <row r="1715" spans="2:5">
      <c r="D1715" t="s">
        <v>2589</v>
      </c>
    </row>
    <row r="1716" spans="2:5">
      <c r="D1716" t="s">
        <v>2590</v>
      </c>
    </row>
    <row r="1718" spans="2:5">
      <c r="B1718" s="41" t="s">
        <v>2591</v>
      </c>
    </row>
    <row r="1720" spans="2:5">
      <c r="B1720" t="s">
        <v>2592</v>
      </c>
      <c r="C1720" t="s">
        <v>2593</v>
      </c>
    </row>
    <row r="1721" spans="2:5">
      <c r="C1721" t="s">
        <v>2594</v>
      </c>
    </row>
    <row r="1722" spans="2:5">
      <c r="B1722" t="s">
        <v>2495</v>
      </c>
      <c r="C1722" t="s">
        <v>2595</v>
      </c>
    </row>
    <row r="1723" spans="2:5">
      <c r="C1723" t="s">
        <v>2596</v>
      </c>
    </row>
    <row r="1724" spans="2:5">
      <c r="C1724" t="s">
        <v>2597</v>
      </c>
    </row>
    <row r="1725" spans="2:5">
      <c r="C1725" t="s">
        <v>2598</v>
      </c>
    </row>
    <row r="1726" spans="2:5">
      <c r="B1726" t="s">
        <v>2599</v>
      </c>
      <c r="C1726" t="s">
        <v>2600</v>
      </c>
      <c r="E1726">
        <v>70</v>
      </c>
    </row>
    <row r="1727" spans="2:5">
      <c r="C1727" t="s">
        <v>2601</v>
      </c>
      <c r="E1727">
        <v>30</v>
      </c>
    </row>
    <row r="1728" spans="2:5">
      <c r="E1728" s="13" t="s">
        <v>2602</v>
      </c>
    </row>
    <row r="1729" spans="2:5">
      <c r="C1729" t="s">
        <v>2603</v>
      </c>
    </row>
    <row r="1730" spans="2:5">
      <c r="C1730" t="s">
        <v>2604</v>
      </c>
    </row>
    <row r="1731" spans="2:5">
      <c r="B1731" t="s">
        <v>2605</v>
      </c>
      <c r="C1731" t="s">
        <v>2606</v>
      </c>
    </row>
    <row r="1732" spans="2:5">
      <c r="C1732" t="s">
        <v>2607</v>
      </c>
    </row>
    <row r="1733" spans="2:5">
      <c r="C1733" t="s">
        <v>2608</v>
      </c>
    </row>
    <row r="1734" spans="2:5">
      <c r="D1734" t="s">
        <v>2609</v>
      </c>
    </row>
    <row r="1735" spans="2:5">
      <c r="C1735" t="s">
        <v>2610</v>
      </c>
    </row>
    <row r="1736" spans="2:5">
      <c r="B1736" s="43" t="s">
        <v>2611</v>
      </c>
    </row>
    <row r="1737" spans="2:5">
      <c r="C1737" t="s">
        <v>2612</v>
      </c>
    </row>
    <row r="1738" spans="2:5">
      <c r="D1738" t="s">
        <v>2613</v>
      </c>
    </row>
    <row r="1739" spans="2:5">
      <c r="D1739" t="s">
        <v>2614</v>
      </c>
    </row>
    <row r="1740" spans="2:5">
      <c r="E1740" t="s">
        <v>2615</v>
      </c>
    </row>
    <row r="1741" spans="2:5">
      <c r="E1741" t="s">
        <v>2616</v>
      </c>
    </row>
    <row r="1742" spans="2:5">
      <c r="D1742" t="s">
        <v>2617</v>
      </c>
    </row>
    <row r="1743" spans="2:5">
      <c r="B1743" t="s">
        <v>2618</v>
      </c>
    </row>
    <row r="1744" spans="2:5">
      <c r="C1744" t="s">
        <v>2619</v>
      </c>
    </row>
    <row r="1745" spans="2:4">
      <c r="C1745" t="s">
        <v>2620</v>
      </c>
    </row>
    <row r="1746" spans="2:4">
      <c r="D1746" t="s">
        <v>2621</v>
      </c>
    </row>
    <row r="1747" spans="2:4">
      <c r="D1747" t="s">
        <v>2622</v>
      </c>
    </row>
    <row r="1748" spans="2:4">
      <c r="B1748" t="s">
        <v>24</v>
      </c>
    </row>
    <row r="1750" spans="2:4">
      <c r="B1750" s="41" t="s">
        <v>407</v>
      </c>
    </row>
    <row r="1752" spans="2:4">
      <c r="B1752" t="s">
        <v>2623</v>
      </c>
    </row>
    <row r="1753" spans="2:4">
      <c r="C1753" t="s">
        <v>2624</v>
      </c>
    </row>
    <row r="1754" spans="2:4">
      <c r="C1754" t="s">
        <v>2625</v>
      </c>
    </row>
    <row r="1755" spans="2:4">
      <c r="C1755" t="s">
        <v>2626</v>
      </c>
    </row>
    <row r="1756" spans="2:4">
      <c r="C1756" t="s">
        <v>2627</v>
      </c>
    </row>
    <row r="1757" spans="2:4">
      <c r="B1757" t="s">
        <v>2628</v>
      </c>
    </row>
    <row r="1758" spans="2:4">
      <c r="C1758" t="s">
        <v>2629</v>
      </c>
    </row>
    <row r="1759" spans="2:4">
      <c r="C1759" t="s">
        <v>2630</v>
      </c>
    </row>
    <row r="1760" spans="2:4">
      <c r="C1760" t="s">
        <v>2631</v>
      </c>
    </row>
    <row r="1761" spans="2:4">
      <c r="D1761" t="s">
        <v>2632</v>
      </c>
    </row>
    <row r="1762" spans="2:4">
      <c r="D1762" t="s">
        <v>2633</v>
      </c>
    </row>
    <row r="1763" spans="2:4">
      <c r="C1763" t="s">
        <v>2634</v>
      </c>
    </row>
    <row r="1764" spans="2:4">
      <c r="B1764" t="s">
        <v>1751</v>
      </c>
    </row>
    <row r="1765" spans="2:4">
      <c r="C1765" t="s">
        <v>2635</v>
      </c>
    </row>
    <row r="1766" spans="2:4">
      <c r="C1766" t="s">
        <v>2636</v>
      </c>
    </row>
    <row r="1767" spans="2:4">
      <c r="B1767" t="s">
        <v>2637</v>
      </c>
    </row>
    <row r="1769" spans="2:4">
      <c r="B1769" t="s">
        <v>2638</v>
      </c>
    </row>
    <row r="1770" spans="2:4">
      <c r="C1770" t="s">
        <v>2639</v>
      </c>
    </row>
    <row r="1771" spans="2:4">
      <c r="D1771" t="s">
        <v>2640</v>
      </c>
    </row>
    <row r="1772" spans="2:4">
      <c r="C1772" t="s">
        <v>2641</v>
      </c>
    </row>
    <row r="1773" spans="2:4">
      <c r="C1773" t="s">
        <v>2642</v>
      </c>
    </row>
    <row r="1774" spans="2:4">
      <c r="C1774" t="s">
        <v>2643</v>
      </c>
    </row>
    <row r="1775" spans="2:4">
      <c r="B1775" t="s">
        <v>2644</v>
      </c>
    </row>
    <row r="1776" spans="2:4">
      <c r="C1776" t="s">
        <v>2645</v>
      </c>
    </row>
    <row r="1777" spans="2:4">
      <c r="D1777" t="s">
        <v>349</v>
      </c>
    </row>
    <row r="1778" spans="2:4">
      <c r="B1778" t="s">
        <v>1751</v>
      </c>
    </row>
    <row r="1779" spans="2:4">
      <c r="C1779" t="s">
        <v>2646</v>
      </c>
    </row>
    <row r="1780" spans="2:4">
      <c r="B1780" t="s">
        <v>490</v>
      </c>
    </row>
    <row r="1781" spans="2:4">
      <c r="C1781" t="s">
        <v>2647</v>
      </c>
    </row>
    <row r="1782" spans="2:4">
      <c r="C1782" t="s">
        <v>2648</v>
      </c>
    </row>
    <row r="1783" spans="2:4">
      <c r="D1783" t="s">
        <v>2649</v>
      </c>
    </row>
    <row r="1784" spans="2:4">
      <c r="D1784" t="s">
        <v>2650</v>
      </c>
    </row>
    <row r="1785" spans="2:4">
      <c r="D1785" t="s">
        <v>2651</v>
      </c>
    </row>
    <row r="1786" spans="2:4">
      <c r="C1786" t="s">
        <v>2652</v>
      </c>
    </row>
    <row r="1787" spans="2:4">
      <c r="C1787" t="s">
        <v>2653</v>
      </c>
    </row>
    <row r="1788" spans="2:4">
      <c r="D1788" t="s">
        <v>2654</v>
      </c>
    </row>
    <row r="1789" spans="2:4">
      <c r="B1789" t="s">
        <v>2655</v>
      </c>
    </row>
    <row r="1790" spans="2:4">
      <c r="B1790" t="s">
        <v>2656</v>
      </c>
    </row>
    <row r="1791" spans="2:4">
      <c r="C1791" t="s">
        <v>2657</v>
      </c>
    </row>
    <row r="1792" spans="2:4">
      <c r="B1792" t="s">
        <v>147</v>
      </c>
    </row>
    <row r="1793" spans="2:4">
      <c r="C1793" t="s">
        <v>2658</v>
      </c>
    </row>
    <row r="1794" spans="2:4">
      <c r="C1794" t="s">
        <v>2659</v>
      </c>
    </row>
    <row r="1795" spans="2:4">
      <c r="D1795" t="s">
        <v>2660</v>
      </c>
    </row>
    <row r="1796" spans="2:4">
      <c r="C1796" t="s">
        <v>2661</v>
      </c>
    </row>
    <row r="1798" spans="2:4">
      <c r="B1798" s="41" t="s">
        <v>2662</v>
      </c>
    </row>
    <row r="1800" spans="2:4">
      <c r="B1800" t="s">
        <v>2663</v>
      </c>
    </row>
    <row r="1801" spans="2:4">
      <c r="C1801" t="s">
        <v>2664</v>
      </c>
    </row>
    <row r="1802" spans="2:4">
      <c r="C1802" t="s">
        <v>2665</v>
      </c>
    </row>
    <row r="1803" spans="2:4">
      <c r="B1803" t="s">
        <v>2666</v>
      </c>
    </row>
    <row r="1804" spans="2:4">
      <c r="C1804" t="s">
        <v>2667</v>
      </c>
    </row>
    <row r="1805" spans="2:4">
      <c r="B1805" t="s">
        <v>2668</v>
      </c>
    </row>
    <row r="1806" spans="2:4">
      <c r="C1806" t="s">
        <v>2669</v>
      </c>
    </row>
    <row r="1807" spans="2:4">
      <c r="D1807" t="s">
        <v>2670</v>
      </c>
    </row>
    <row r="1808" spans="2:4">
      <c r="C1808" t="s">
        <v>2671</v>
      </c>
    </row>
    <row r="1809" spans="2:3">
      <c r="C1809" t="s">
        <v>2672</v>
      </c>
    </row>
    <row r="1810" spans="2:3">
      <c r="C1810" t="s">
        <v>2673</v>
      </c>
    </row>
    <row r="1811" spans="2:3">
      <c r="C1811" t="s">
        <v>2674</v>
      </c>
    </row>
    <row r="1812" spans="2:3">
      <c r="C1812" t="s">
        <v>2675</v>
      </c>
    </row>
    <row r="1813" spans="2:3">
      <c r="B1813" t="s">
        <v>2676</v>
      </c>
    </row>
    <row r="1814" spans="2:3">
      <c r="C1814" t="s">
        <v>2677</v>
      </c>
    </row>
    <row r="1815" spans="2:3">
      <c r="B1815" t="s">
        <v>2678</v>
      </c>
    </row>
    <row r="1816" spans="2:3">
      <c r="C1816" t="s">
        <v>2679</v>
      </c>
    </row>
    <row r="1817" spans="2:3">
      <c r="B1817" t="s">
        <v>2680</v>
      </c>
    </row>
    <row r="1818" spans="2:3">
      <c r="C1818" t="s">
        <v>2681</v>
      </c>
    </row>
    <row r="1819" spans="2:3">
      <c r="B1819" t="s">
        <v>2682</v>
      </c>
    </row>
    <row r="1820" spans="2:3">
      <c r="C1820" t="s">
        <v>2683</v>
      </c>
    </row>
    <row r="1821" spans="2:3">
      <c r="B1821" t="s">
        <v>2684</v>
      </c>
    </row>
    <row r="1822" spans="2:3">
      <c r="C1822" t="s">
        <v>2685</v>
      </c>
    </row>
    <row r="1823" spans="2:3">
      <c r="B1823" t="s">
        <v>1969</v>
      </c>
    </row>
    <row r="1824" spans="2:3">
      <c r="C1824" t="s">
        <v>2686</v>
      </c>
    </row>
    <row r="1825" spans="2:5">
      <c r="B1825" t="s">
        <v>2687</v>
      </c>
    </row>
    <row r="1826" spans="2:5">
      <c r="C1826" t="s">
        <v>2688</v>
      </c>
    </row>
    <row r="1827" spans="2:5">
      <c r="C1827" t="s">
        <v>2689</v>
      </c>
    </row>
    <row r="1828" spans="2:5">
      <c r="C1828" t="s">
        <v>2690</v>
      </c>
    </row>
    <row r="1829" spans="2:5">
      <c r="C1829" t="s">
        <v>2691</v>
      </c>
    </row>
    <row r="1830" spans="2:5">
      <c r="C1830" t="s">
        <v>2692</v>
      </c>
    </row>
    <row r="1831" spans="2:5">
      <c r="B1831" t="s">
        <v>2693</v>
      </c>
    </row>
    <row r="1832" spans="2:5">
      <c r="C1832" t="s">
        <v>2694</v>
      </c>
    </row>
    <row r="1833" spans="2:5">
      <c r="D1833" t="s">
        <v>2695</v>
      </c>
    </row>
    <row r="1834" spans="2:5">
      <c r="D1834" t="s">
        <v>2696</v>
      </c>
      <c r="E1834" t="s">
        <v>2697</v>
      </c>
    </row>
    <row r="1835" spans="2:5">
      <c r="C1835" t="s">
        <v>2698</v>
      </c>
    </row>
    <row r="1836" spans="2:5">
      <c r="B1836" t="s">
        <v>2699</v>
      </c>
    </row>
    <row r="1837" spans="2:5">
      <c r="C1837" t="s">
        <v>2700</v>
      </c>
    </row>
    <row r="1838" spans="2:5">
      <c r="B1838" t="s">
        <v>2701</v>
      </c>
    </row>
    <row r="1839" spans="2:5">
      <c r="C1839" t="s">
        <v>2702</v>
      </c>
    </row>
    <row r="1840" spans="2:5">
      <c r="B1840" t="s">
        <v>857</v>
      </c>
    </row>
    <row r="1841" spans="2:4">
      <c r="C1841" t="s">
        <v>2703</v>
      </c>
    </row>
    <row r="1842" spans="2:4">
      <c r="D1842" t="s">
        <v>2704</v>
      </c>
    </row>
    <row r="1843" spans="2:4">
      <c r="C1843" t="s">
        <v>2705</v>
      </c>
    </row>
    <row r="1844" spans="2:4">
      <c r="B1844" t="s">
        <v>2392</v>
      </c>
    </row>
    <row r="1845" spans="2:4">
      <c r="C1845" t="s">
        <v>2706</v>
      </c>
    </row>
    <row r="1846" spans="2:4">
      <c r="C1846" t="s">
        <v>2707</v>
      </c>
    </row>
    <row r="1847" spans="2:4">
      <c r="C1847" t="s">
        <v>2708</v>
      </c>
    </row>
    <row r="1848" spans="2:4">
      <c r="B1848" t="s">
        <v>677</v>
      </c>
    </row>
    <row r="1849" spans="2:4">
      <c r="C1849" t="s">
        <v>2709</v>
      </c>
    </row>
    <row r="1850" spans="2:4">
      <c r="C1850" t="s">
        <v>2710</v>
      </c>
    </row>
    <row r="1851" spans="2:4">
      <c r="C1851" t="s">
        <v>2231</v>
      </c>
    </row>
    <row r="1852" spans="2:4">
      <c r="B1852" t="s">
        <v>147</v>
      </c>
    </row>
    <row r="1853" spans="2:4">
      <c r="C1853" t="s">
        <v>2587</v>
      </c>
    </row>
    <row r="1854" spans="2:4">
      <c r="C1854" t="s">
        <v>2711</v>
      </c>
    </row>
    <row r="1855" spans="2:4">
      <c r="C1855" t="s">
        <v>2712</v>
      </c>
    </row>
    <row r="1856" spans="2:4">
      <c r="C1856" t="s">
        <v>2713</v>
      </c>
    </row>
    <row r="1857" spans="2:4">
      <c r="C1857" t="s">
        <v>2714</v>
      </c>
    </row>
    <row r="1858" spans="2:4">
      <c r="D1858" t="s">
        <v>2715</v>
      </c>
    </row>
    <row r="1859" spans="2:4">
      <c r="B1859" t="s">
        <v>151</v>
      </c>
    </row>
    <row r="1860" spans="2:4">
      <c r="C1860" t="s">
        <v>2716</v>
      </c>
    </row>
    <row r="1861" spans="2:4">
      <c r="C1861" t="s">
        <v>2717</v>
      </c>
    </row>
    <row r="1862" spans="2:4">
      <c r="C1862" t="s">
        <v>2718</v>
      </c>
    </row>
    <row r="1863" spans="2:4">
      <c r="B1863" t="s">
        <v>2091</v>
      </c>
    </row>
    <row r="1864" spans="2:4">
      <c r="C1864" t="s">
        <v>2719</v>
      </c>
    </row>
    <row r="1865" spans="2:4">
      <c r="C1865" t="s">
        <v>2720</v>
      </c>
    </row>
    <row r="1866" spans="2:4">
      <c r="C1866" t="s">
        <v>2721</v>
      </c>
    </row>
    <row r="1867" spans="2:4">
      <c r="C1867" t="s">
        <v>2722</v>
      </c>
    </row>
    <row r="1868" spans="2:4">
      <c r="D1868" t="s">
        <v>2723</v>
      </c>
    </row>
    <row r="1869" spans="2:4">
      <c r="D1869" t="s">
        <v>770</v>
      </c>
    </row>
    <row r="1871" spans="2:4">
      <c r="B1871" s="11" t="s">
        <v>409</v>
      </c>
    </row>
    <row r="1873" spans="2:4">
      <c r="B1873" t="s">
        <v>2724</v>
      </c>
    </row>
    <row r="1874" spans="2:4">
      <c r="C1874" t="s">
        <v>2725</v>
      </c>
    </row>
    <row r="1875" spans="2:4">
      <c r="D1875" t="s">
        <v>2726</v>
      </c>
    </row>
    <row r="1876" spans="2:4">
      <c r="C1876" t="s">
        <v>2727</v>
      </c>
    </row>
    <row r="1877" spans="2:4">
      <c r="D1877" t="s">
        <v>2728</v>
      </c>
    </row>
    <row r="1878" spans="2:4">
      <c r="C1878" t="s">
        <v>2729</v>
      </c>
    </row>
    <row r="1879" spans="2:4">
      <c r="D1879" t="s">
        <v>2730</v>
      </c>
    </row>
    <row r="1880" spans="2:4">
      <c r="D1880" t="s">
        <v>2731</v>
      </c>
    </row>
    <row r="1881" spans="2:4">
      <c r="B1881" t="s">
        <v>2732</v>
      </c>
    </row>
    <row r="1882" spans="2:4">
      <c r="C1882" t="s">
        <v>2733</v>
      </c>
    </row>
    <row r="1883" spans="2:4">
      <c r="C1883" t="s">
        <v>2734</v>
      </c>
    </row>
    <row r="1884" spans="2:4">
      <c r="B1884" s="11" t="s">
        <v>2693</v>
      </c>
    </row>
    <row r="1885" spans="2:4">
      <c r="B1885" t="s">
        <v>2735</v>
      </c>
    </row>
    <row r="1886" spans="2:4">
      <c r="C1886" t="s">
        <v>2736</v>
      </c>
    </row>
    <row r="1887" spans="2:4">
      <c r="C1887" t="s">
        <v>2737</v>
      </c>
    </row>
    <row r="1888" spans="2:4">
      <c r="C1888" t="s">
        <v>2738</v>
      </c>
    </row>
    <row r="1889" spans="2:5">
      <c r="C1889" t="s">
        <v>2739</v>
      </c>
    </row>
    <row r="1890" spans="2:5">
      <c r="D1890" t="s">
        <v>2740</v>
      </c>
      <c r="E1890" t="s">
        <v>2741</v>
      </c>
    </row>
    <row r="1891" spans="2:5">
      <c r="E1891" t="s">
        <v>2742</v>
      </c>
    </row>
    <row r="1892" spans="2:5">
      <c r="B1892" t="s">
        <v>2743</v>
      </c>
    </row>
    <row r="1893" spans="2:5">
      <c r="C1893" t="s">
        <v>2744</v>
      </c>
    </row>
    <row r="1894" spans="2:5">
      <c r="D1894" t="s">
        <v>2745</v>
      </c>
    </row>
    <row r="1895" spans="2:5">
      <c r="D1895" t="s">
        <v>2746</v>
      </c>
    </row>
    <row r="1896" spans="2:5">
      <c r="D1896" t="s">
        <v>2747</v>
      </c>
    </row>
    <row r="1897" spans="2:5">
      <c r="C1897" t="s">
        <v>2748</v>
      </c>
    </row>
    <row r="1898" spans="2:5">
      <c r="B1898" t="s">
        <v>2749</v>
      </c>
    </row>
    <row r="1899" spans="2:5">
      <c r="C1899" t="s">
        <v>2750</v>
      </c>
    </row>
    <row r="1900" spans="2:5">
      <c r="C1900" t="s">
        <v>2751</v>
      </c>
    </row>
    <row r="1901" spans="2:5">
      <c r="D1901" t="s">
        <v>2752</v>
      </c>
    </row>
    <row r="1902" spans="2:5">
      <c r="D1902" t="s">
        <v>2753</v>
      </c>
    </row>
    <row r="1903" spans="2:5">
      <c r="C1903" t="s">
        <v>2754</v>
      </c>
    </row>
    <row r="1904" spans="2:5">
      <c r="D1904" t="s">
        <v>2755</v>
      </c>
    </row>
    <row r="1905" spans="2:5">
      <c r="D1905" t="s">
        <v>2756</v>
      </c>
    </row>
    <row r="1906" spans="2:5">
      <c r="C1906" t="s">
        <v>2757</v>
      </c>
    </row>
    <row r="1907" spans="2:5">
      <c r="D1907" t="s">
        <v>2758</v>
      </c>
    </row>
    <row r="1908" spans="2:5">
      <c r="D1908" t="s">
        <v>2759</v>
      </c>
    </row>
    <row r="1909" spans="2:5">
      <c r="D1909" t="s">
        <v>2760</v>
      </c>
    </row>
    <row r="1910" spans="2:5">
      <c r="B1910" t="s">
        <v>2761</v>
      </c>
    </row>
    <row r="1911" spans="2:5">
      <c r="C1911" t="s">
        <v>2762</v>
      </c>
    </row>
    <row r="1912" spans="2:5">
      <c r="C1912" t="s">
        <v>2763</v>
      </c>
    </row>
    <row r="1913" spans="2:5">
      <c r="C1913" t="s">
        <v>2764</v>
      </c>
    </row>
    <row r="1914" spans="2:5">
      <c r="B1914" t="s">
        <v>147</v>
      </c>
    </row>
    <row r="1915" spans="2:5">
      <c r="D1915" t="s">
        <v>2765</v>
      </c>
      <c r="E1915" t="s">
        <v>2766</v>
      </c>
    </row>
    <row r="1916" spans="2:5">
      <c r="C1916" s="43">
        <v>2020</v>
      </c>
      <c r="D1916" s="43">
        <v>400</v>
      </c>
      <c r="E1916">
        <v>380</v>
      </c>
    </row>
    <row r="1917" spans="2:5">
      <c r="C1917" s="43">
        <v>2021</v>
      </c>
      <c r="D1917" s="43">
        <v>400</v>
      </c>
      <c r="E1917" t="s">
        <v>2767</v>
      </c>
    </row>
    <row r="1918" spans="2:5">
      <c r="C1918" s="43"/>
    </row>
    <row r="1919" spans="2:5">
      <c r="C1919" s="43">
        <v>2022</v>
      </c>
      <c r="D1919" s="43">
        <v>400</v>
      </c>
    </row>
    <row r="1920" spans="2:5">
      <c r="D1920" t="s">
        <v>2768</v>
      </c>
    </row>
    <row r="1921" spans="2:4">
      <c r="B1921" t="s">
        <v>1687</v>
      </c>
    </row>
    <row r="1922" spans="2:4">
      <c r="C1922" t="s">
        <v>2769</v>
      </c>
    </row>
    <row r="1923" spans="2:4">
      <c r="B1923" t="s">
        <v>2770</v>
      </c>
    </row>
    <row r="1924" spans="2:4">
      <c r="C1924" t="s">
        <v>2771</v>
      </c>
    </row>
    <row r="1925" spans="2:4">
      <c r="C1925" t="s">
        <v>2772</v>
      </c>
    </row>
    <row r="1927" spans="2:4">
      <c r="B1927" s="41" t="s">
        <v>2773</v>
      </c>
    </row>
    <row r="1929" spans="2:4">
      <c r="B1929" t="s">
        <v>2774</v>
      </c>
    </row>
    <row r="1930" spans="2:4">
      <c r="C1930" t="s">
        <v>2775</v>
      </c>
    </row>
    <row r="1931" spans="2:4">
      <c r="C1931" t="s">
        <v>2776</v>
      </c>
    </row>
    <row r="1932" spans="2:4">
      <c r="D1932" t="s">
        <v>2777</v>
      </c>
    </row>
    <row r="1933" spans="2:4">
      <c r="D1933" t="s">
        <v>2778</v>
      </c>
    </row>
    <row r="1934" spans="2:4">
      <c r="B1934" t="s">
        <v>2779</v>
      </c>
    </row>
    <row r="1935" spans="2:4">
      <c r="B1935" t="s">
        <v>2780</v>
      </c>
    </row>
    <row r="1936" spans="2:4">
      <c r="B1936" t="s">
        <v>2781</v>
      </c>
    </row>
    <row r="1937" spans="2:4">
      <c r="B1937" t="s">
        <v>2782</v>
      </c>
    </row>
    <row r="1938" spans="2:4">
      <c r="B1938" t="s">
        <v>2783</v>
      </c>
    </row>
    <row r="1940" spans="2:4">
      <c r="B1940" s="11" t="s">
        <v>1197</v>
      </c>
      <c r="D1940" t="s">
        <v>65</v>
      </c>
    </row>
    <row r="1942" spans="2:4">
      <c r="B1942" t="s">
        <v>2784</v>
      </c>
    </row>
    <row r="1943" spans="2:4">
      <c r="C1943" t="s">
        <v>2785</v>
      </c>
    </row>
    <row r="1944" spans="2:4">
      <c r="C1944" t="s">
        <v>2786</v>
      </c>
    </row>
    <row r="1945" spans="2:4">
      <c r="C1945" t="s">
        <v>2787</v>
      </c>
    </row>
    <row r="1946" spans="2:4">
      <c r="C1946" t="s">
        <v>2788</v>
      </c>
    </row>
    <row r="1947" spans="2:4">
      <c r="B1947" t="s">
        <v>2789</v>
      </c>
    </row>
    <row r="1948" spans="2:4">
      <c r="C1948" t="s">
        <v>2790</v>
      </c>
    </row>
    <row r="1949" spans="2:4">
      <c r="C1949" t="s">
        <v>2791</v>
      </c>
    </row>
    <row r="1950" spans="2:4">
      <c r="C1950" t="s">
        <v>2792</v>
      </c>
    </row>
    <row r="1951" spans="2:4">
      <c r="C1951" t="s">
        <v>2793</v>
      </c>
    </row>
    <row r="1952" spans="2:4">
      <c r="D1952" t="s">
        <v>2794</v>
      </c>
    </row>
    <row r="1953" spans="2:4">
      <c r="D1953" t="s">
        <v>2795</v>
      </c>
    </row>
    <row r="1954" spans="2:4">
      <c r="B1954" t="s">
        <v>147</v>
      </c>
    </row>
    <row r="1955" spans="2:4">
      <c r="C1955" t="s">
        <v>2796</v>
      </c>
    </row>
    <row r="1956" spans="2:4">
      <c r="B1956" t="s">
        <v>2797</v>
      </c>
    </row>
    <row r="1957" spans="2:4">
      <c r="C1957" t="s">
        <v>2798</v>
      </c>
    </row>
    <row r="1958" spans="2:4">
      <c r="C1958" t="s">
        <v>2799</v>
      </c>
    </row>
    <row r="1959" spans="2:4">
      <c r="C1959" t="s">
        <v>2800</v>
      </c>
    </row>
    <row r="1960" spans="2:4">
      <c r="B1960" t="s">
        <v>735</v>
      </c>
    </row>
    <row r="1961" spans="2:4">
      <c r="C1961" t="s">
        <v>2801</v>
      </c>
    </row>
    <row r="1962" spans="2:4">
      <c r="C1962" t="s">
        <v>2802</v>
      </c>
    </row>
    <row r="1963" spans="2:4">
      <c r="B1963" t="s">
        <v>2803</v>
      </c>
    </row>
    <row r="1964" spans="2:4">
      <c r="B1964" t="s">
        <v>2804</v>
      </c>
    </row>
    <row r="1965" spans="2:4">
      <c r="B1965" t="s">
        <v>2805</v>
      </c>
    </row>
    <row r="1967" spans="2:4">
      <c r="B1967" t="s">
        <v>351</v>
      </c>
    </row>
    <row r="1968" spans="2:4">
      <c r="C1968" t="s">
        <v>2806</v>
      </c>
    </row>
    <row r="1970" spans="2:4">
      <c r="B1970" s="41" t="s">
        <v>2807</v>
      </c>
    </row>
    <row r="1972" spans="2:4">
      <c r="B1972" t="s">
        <v>122</v>
      </c>
    </row>
    <row r="1973" spans="2:4">
      <c r="C1973" t="s">
        <v>2808</v>
      </c>
    </row>
    <row r="1974" spans="2:4">
      <c r="D1974" t="s">
        <v>2809</v>
      </c>
    </row>
    <row r="1975" spans="2:4">
      <c r="C1975" t="s">
        <v>2810</v>
      </c>
    </row>
    <row r="1976" spans="2:4">
      <c r="D1976" t="s">
        <v>2811</v>
      </c>
    </row>
    <row r="1977" spans="2:4">
      <c r="C1977" t="s">
        <v>2812</v>
      </c>
    </row>
    <row r="1978" spans="2:4">
      <c r="B1978" t="s">
        <v>2813</v>
      </c>
    </row>
    <row r="1979" spans="2:4">
      <c r="C1979" t="s">
        <v>2814</v>
      </c>
    </row>
    <row r="1980" spans="2:4">
      <c r="C1980" t="s">
        <v>2815</v>
      </c>
    </row>
    <row r="1981" spans="2:4">
      <c r="C1981" t="s">
        <v>2816</v>
      </c>
    </row>
    <row r="1982" spans="2:4">
      <c r="C1982" t="s">
        <v>2817</v>
      </c>
    </row>
    <row r="1983" spans="2:4">
      <c r="C1983" t="s">
        <v>2818</v>
      </c>
    </row>
    <row r="1984" spans="2:4">
      <c r="C1984" t="s">
        <v>65</v>
      </c>
      <c r="D1984" t="s">
        <v>2819</v>
      </c>
    </row>
    <row r="1985" spans="2:4">
      <c r="C1985" t="s">
        <v>2820</v>
      </c>
    </row>
    <row r="1986" spans="2:4">
      <c r="C1986" t="s">
        <v>2821</v>
      </c>
    </row>
    <row r="1987" spans="2:4">
      <c r="D1987" t="s">
        <v>2822</v>
      </c>
    </row>
    <row r="1988" spans="2:4">
      <c r="D1988" t="s">
        <v>2823</v>
      </c>
    </row>
    <row r="1989" spans="2:4">
      <c r="C1989" t="s">
        <v>2824</v>
      </c>
    </row>
    <row r="1990" spans="2:4">
      <c r="D1990" t="s">
        <v>2825</v>
      </c>
    </row>
    <row r="1991" spans="2:4">
      <c r="D1991" t="s">
        <v>2826</v>
      </c>
    </row>
    <row r="1992" spans="2:4">
      <c r="D1992" t="s">
        <v>2827</v>
      </c>
    </row>
    <row r="1993" spans="2:4">
      <c r="C1993" t="s">
        <v>2828</v>
      </c>
    </row>
    <row r="1994" spans="2:4">
      <c r="B1994" t="s">
        <v>2145</v>
      </c>
    </row>
    <row r="1995" spans="2:4">
      <c r="C1995" t="s">
        <v>2829</v>
      </c>
    </row>
    <row r="1996" spans="2:4">
      <c r="D1996" t="s">
        <v>2830</v>
      </c>
    </row>
    <row r="1997" spans="2:4">
      <c r="D1997" t="s">
        <v>2831</v>
      </c>
    </row>
    <row r="1998" spans="2:4">
      <c r="C1998" t="s">
        <v>2832</v>
      </c>
    </row>
    <row r="1999" spans="2:4">
      <c r="B1999" t="s">
        <v>147</v>
      </c>
    </row>
    <row r="2000" spans="2:4">
      <c r="C2000" t="s">
        <v>2833</v>
      </c>
    </row>
    <row r="2001" spans="2:7">
      <c r="C2001" t="s">
        <v>2834</v>
      </c>
      <c r="E2001" s="919">
        <v>2022</v>
      </c>
      <c r="F2001" s="921" t="s">
        <v>2835</v>
      </c>
    </row>
    <row r="2002" spans="2:7">
      <c r="D2002" t="s">
        <v>2836</v>
      </c>
      <c r="E2002">
        <v>200</v>
      </c>
      <c r="F2002">
        <v>200</v>
      </c>
      <c r="G2002" t="s">
        <v>2837</v>
      </c>
    </row>
    <row r="2003" spans="2:7">
      <c r="D2003" t="s">
        <v>1511</v>
      </c>
      <c r="E2003">
        <v>75</v>
      </c>
    </row>
    <row r="2004" spans="2:7">
      <c r="D2004" t="s">
        <v>209</v>
      </c>
      <c r="E2004">
        <v>25</v>
      </c>
    </row>
    <row r="2005" spans="2:7">
      <c r="D2005" t="s">
        <v>653</v>
      </c>
      <c r="E2005">
        <f>E2006-E2002-E2003-E2004</f>
        <v>700</v>
      </c>
      <c r="F2005">
        <v>600</v>
      </c>
    </row>
    <row r="2006" spans="2:7">
      <c r="E2006">
        <v>1000</v>
      </c>
      <c r="F2006" t="s">
        <v>2838</v>
      </c>
    </row>
    <row r="2007" spans="2:7">
      <c r="B2007" t="s">
        <v>2839</v>
      </c>
    </row>
    <row r="2008" spans="2:7">
      <c r="C2008" t="s">
        <v>2840</v>
      </c>
    </row>
    <row r="2009" spans="2:7">
      <c r="C2009" s="43">
        <v>2022</v>
      </c>
    </row>
    <row r="2010" spans="2:7">
      <c r="C2010" t="s">
        <v>2841</v>
      </c>
    </row>
    <row r="2011" spans="2:7">
      <c r="B2011" t="s">
        <v>2842</v>
      </c>
    </row>
    <row r="2012" spans="2:7">
      <c r="C2012" t="s">
        <v>2843</v>
      </c>
    </row>
    <row r="2013" spans="2:7">
      <c r="C2013" t="s">
        <v>2844</v>
      </c>
    </row>
    <row r="2014" spans="2:7">
      <c r="C2014" t="s">
        <v>2845</v>
      </c>
    </row>
    <row r="2015" spans="2:7">
      <c r="C2015" t="s">
        <v>2846</v>
      </c>
    </row>
    <row r="2016" spans="2:7">
      <c r="B2016" t="s">
        <v>2847</v>
      </c>
    </row>
    <row r="2017" spans="2:4">
      <c r="C2017" t="s">
        <v>2848</v>
      </c>
    </row>
    <row r="2018" spans="2:4">
      <c r="B2018" t="s">
        <v>2849</v>
      </c>
    </row>
    <row r="2019" spans="2:4">
      <c r="C2019" t="s">
        <v>2850</v>
      </c>
      <c r="D2019" t="s">
        <v>2851</v>
      </c>
    </row>
    <row r="2020" spans="2:4">
      <c r="D2020" t="s">
        <v>2852</v>
      </c>
    </row>
    <row r="2021" spans="2:4">
      <c r="C2021" t="s">
        <v>2853</v>
      </c>
    </row>
    <row r="2022" spans="2:4">
      <c r="D2022" t="s">
        <v>2854</v>
      </c>
    </row>
    <row r="2023" spans="2:4">
      <c r="D2023" t="s">
        <v>2855</v>
      </c>
    </row>
    <row r="2024" spans="2:4">
      <c r="B2024" t="s">
        <v>2856</v>
      </c>
    </row>
    <row r="2025" spans="2:4">
      <c r="B2025">
        <v>201</v>
      </c>
      <c r="C2025" s="15">
        <v>0.04</v>
      </c>
    </row>
    <row r="2026" spans="2:4">
      <c r="C2026" s="15">
        <v>0.06</v>
      </c>
    </row>
    <row r="2028" spans="2:4">
      <c r="B2028" s="11" t="s">
        <v>2857</v>
      </c>
    </row>
    <row r="2030" spans="2:4">
      <c r="B2030" t="s">
        <v>2858</v>
      </c>
    </row>
    <row r="2031" spans="2:4">
      <c r="C2031" t="s">
        <v>2859</v>
      </c>
    </row>
    <row r="2032" spans="2:4">
      <c r="C2032" t="s">
        <v>2860</v>
      </c>
    </row>
    <row r="2033" spans="2:4">
      <c r="C2033" t="s">
        <v>2861</v>
      </c>
    </row>
    <row r="2034" spans="2:4">
      <c r="C2034" t="s">
        <v>2862</v>
      </c>
    </row>
    <row r="2035" spans="2:4">
      <c r="C2035" t="s">
        <v>2863</v>
      </c>
    </row>
    <row r="2036" spans="2:4">
      <c r="B2036" t="s">
        <v>147</v>
      </c>
    </row>
    <row r="2037" spans="2:4">
      <c r="C2037" s="43" t="s">
        <v>2864</v>
      </c>
    </row>
    <row r="2038" spans="2:4">
      <c r="C2038" s="43">
        <v>2023</v>
      </c>
      <c r="D2038" t="s">
        <v>2865</v>
      </c>
    </row>
    <row r="2039" spans="2:4">
      <c r="C2039" s="43">
        <v>2024</v>
      </c>
      <c r="D2039" t="s">
        <v>2866</v>
      </c>
    </row>
    <row r="2040" spans="2:4">
      <c r="C2040" t="s">
        <v>2867</v>
      </c>
      <c r="D2040" t="s">
        <v>2868</v>
      </c>
    </row>
    <row r="2041" spans="2:4">
      <c r="B2041" t="s">
        <v>2869</v>
      </c>
    </row>
    <row r="2042" spans="2:4">
      <c r="C2042" t="s">
        <v>2870</v>
      </c>
    </row>
    <row r="2043" spans="2:4">
      <c r="C2043" t="s">
        <v>2871</v>
      </c>
    </row>
    <row r="2044" spans="2:4">
      <c r="B2044" t="s">
        <v>2872</v>
      </c>
    </row>
    <row r="2045" spans="2:4">
      <c r="C2045" t="s">
        <v>2873</v>
      </c>
    </row>
    <row r="2046" spans="2:4">
      <c r="C2046" t="s">
        <v>2874</v>
      </c>
    </row>
    <row r="2047" spans="2:4">
      <c r="C2047" t="s">
        <v>2875</v>
      </c>
    </row>
    <row r="2048" spans="2:4">
      <c r="B2048" t="s">
        <v>2876</v>
      </c>
    </row>
    <row r="2049" spans="2:4">
      <c r="C2049" t="s">
        <v>2877</v>
      </c>
    </row>
    <row r="2050" spans="2:4">
      <c r="C2050" t="s">
        <v>2878</v>
      </c>
    </row>
    <row r="2051" spans="2:4">
      <c r="B2051" t="s">
        <v>2879</v>
      </c>
    </row>
    <row r="2052" spans="2:4">
      <c r="C2052" t="s">
        <v>2880</v>
      </c>
    </row>
    <row r="2053" spans="2:4">
      <c r="B2053" t="s">
        <v>47</v>
      </c>
    </row>
    <row r="2054" spans="2:4">
      <c r="C2054" t="s">
        <v>2881</v>
      </c>
    </row>
    <row r="2055" spans="2:4">
      <c r="D2055" t="s">
        <v>2882</v>
      </c>
    </row>
    <row r="2056" spans="2:4">
      <c r="D2056" t="s">
        <v>2883</v>
      </c>
    </row>
    <row r="2057" spans="2:4">
      <c r="C2057" t="s">
        <v>2884</v>
      </c>
    </row>
    <row r="2058" spans="2:4">
      <c r="B2058" t="s">
        <v>2885</v>
      </c>
    </row>
    <row r="2059" spans="2:4">
      <c r="C2059" t="s">
        <v>2886</v>
      </c>
    </row>
    <row r="2060" spans="2:4">
      <c r="C2060" t="s">
        <v>2887</v>
      </c>
    </row>
    <row r="2061" spans="2:4">
      <c r="B2061" t="s">
        <v>2888</v>
      </c>
    </row>
    <row r="2062" spans="2:4">
      <c r="C2062" t="s">
        <v>2889</v>
      </c>
    </row>
    <row r="2063" spans="2:4">
      <c r="C2063" t="s">
        <v>2890</v>
      </c>
    </row>
    <row r="2064" spans="2:4">
      <c r="C2064" t="s">
        <v>2891</v>
      </c>
    </row>
    <row r="2065" spans="2:4">
      <c r="D2065" s="11" t="s">
        <v>2892</v>
      </c>
    </row>
    <row r="2066" spans="2:4">
      <c r="D2066" t="s">
        <v>2893</v>
      </c>
    </row>
    <row r="2067" spans="2:4">
      <c r="D2067" t="s">
        <v>2894</v>
      </c>
    </row>
    <row r="2068" spans="2:4">
      <c r="C2068" t="s">
        <v>2895</v>
      </c>
    </row>
    <row r="2069" spans="2:4">
      <c r="D2069" t="s">
        <v>2896</v>
      </c>
    </row>
    <row r="2070" spans="2:4">
      <c r="B2070" t="s">
        <v>2897</v>
      </c>
    </row>
    <row r="2072" spans="2:4">
      <c r="B2072" t="s">
        <v>2898</v>
      </c>
    </row>
    <row r="2073" spans="2:4">
      <c r="C2073" t="s">
        <v>2899</v>
      </c>
    </row>
    <row r="2074" spans="2:4">
      <c r="C2074" t="s">
        <v>2900</v>
      </c>
    </row>
    <row r="2075" spans="2:4">
      <c r="D2075" t="s">
        <v>2901</v>
      </c>
    </row>
    <row r="2076" spans="2:4">
      <c r="C2076" t="s">
        <v>2902</v>
      </c>
    </row>
    <row r="2077" spans="2:4">
      <c r="C2077" t="s">
        <v>2903</v>
      </c>
    </row>
    <row r="2078" spans="2:4">
      <c r="B2078" t="s">
        <v>2904</v>
      </c>
    </row>
    <row r="2079" spans="2:4">
      <c r="C2079" t="s">
        <v>2905</v>
      </c>
    </row>
    <row r="2080" spans="2:4">
      <c r="C2080" t="s">
        <v>2906</v>
      </c>
    </row>
    <row r="2081" spans="2:3">
      <c r="B2081" t="s">
        <v>2907</v>
      </c>
    </row>
    <row r="2082" spans="2:3">
      <c r="C2082" t="s">
        <v>2908</v>
      </c>
    </row>
    <row r="2083" spans="2:3">
      <c r="C2083" t="s">
        <v>2909</v>
      </c>
    </row>
    <row r="2084" spans="2:3">
      <c r="C2084" t="s">
        <v>2910</v>
      </c>
    </row>
    <row r="2085" spans="2:3">
      <c r="B2085" t="s">
        <v>2911</v>
      </c>
    </row>
    <row r="2086" spans="2:3">
      <c r="C2086" t="s">
        <v>2912</v>
      </c>
    </row>
    <row r="2087" spans="2:3">
      <c r="C2087" t="s">
        <v>2913</v>
      </c>
    </row>
    <row r="2088" spans="2:3">
      <c r="C2088" t="s">
        <v>2914</v>
      </c>
    </row>
    <row r="2089" spans="2:3">
      <c r="C2089" t="s">
        <v>2915</v>
      </c>
    </row>
    <row r="2090" spans="2:3">
      <c r="B2090" t="s">
        <v>2916</v>
      </c>
    </row>
    <row r="2091" spans="2:3">
      <c r="C2091" t="s">
        <v>2917</v>
      </c>
    </row>
    <row r="2092" spans="2:3">
      <c r="C2092" t="s">
        <v>2918</v>
      </c>
    </row>
    <row r="2093" spans="2:3">
      <c r="C2093" t="s">
        <v>2919</v>
      </c>
    </row>
    <row r="2094" spans="2:3">
      <c r="B2094" t="s">
        <v>123</v>
      </c>
    </row>
    <row r="2095" spans="2:3">
      <c r="C2095" t="s">
        <v>2920</v>
      </c>
    </row>
    <row r="2096" spans="2:3">
      <c r="B2096" t="s">
        <v>2921</v>
      </c>
    </row>
    <row r="2097" spans="2:4">
      <c r="C2097" t="s">
        <v>2922</v>
      </c>
    </row>
    <row r="2098" spans="2:4">
      <c r="C2098" t="s">
        <v>2923</v>
      </c>
    </row>
    <row r="2099" spans="2:4">
      <c r="C2099" t="s">
        <v>2924</v>
      </c>
    </row>
    <row r="2100" spans="2:4">
      <c r="C2100" t="s">
        <v>2925</v>
      </c>
    </row>
    <row r="2101" spans="2:4">
      <c r="C2101" t="s">
        <v>2926</v>
      </c>
    </row>
    <row r="2102" spans="2:4">
      <c r="D2102" t="s">
        <v>2927</v>
      </c>
    </row>
    <row r="2104" spans="2:4">
      <c r="B2104" s="41" t="s">
        <v>2928</v>
      </c>
    </row>
    <row r="2105" spans="2:4">
      <c r="B2105" t="s">
        <v>2929</v>
      </c>
    </row>
    <row r="2106" spans="2:4">
      <c r="C2106" t="s">
        <v>2930</v>
      </c>
    </row>
    <row r="2107" spans="2:4">
      <c r="B2107" s="43" t="s">
        <v>147</v>
      </c>
    </row>
    <row r="2108" spans="2:4">
      <c r="C2108" t="s">
        <v>2931</v>
      </c>
    </row>
    <row r="2109" spans="2:4">
      <c r="B2109" t="s">
        <v>1197</v>
      </c>
    </row>
    <row r="2111" spans="2:4">
      <c r="B2111" t="s">
        <v>2932</v>
      </c>
    </row>
    <row r="2112" spans="2:4">
      <c r="C2112" t="s">
        <v>2933</v>
      </c>
    </row>
    <row r="2113" spans="2:3">
      <c r="C2113" t="s">
        <v>2934</v>
      </c>
    </row>
    <row r="2114" spans="2:3">
      <c r="C2114" t="s">
        <v>2935</v>
      </c>
    </row>
    <row r="2115" spans="2:3">
      <c r="B2115" t="s">
        <v>147</v>
      </c>
    </row>
    <row r="2116" spans="2:3">
      <c r="C2116" t="s">
        <v>2936</v>
      </c>
    </row>
    <row r="2117" spans="2:3">
      <c r="C2117" t="s">
        <v>2937</v>
      </c>
    </row>
    <row r="2118" spans="2:3">
      <c r="B2118" t="s">
        <v>735</v>
      </c>
    </row>
    <row r="2119" spans="2:3">
      <c r="C2119" t="s">
        <v>2938</v>
      </c>
    </row>
    <row r="2120" spans="2:3">
      <c r="C2120" t="s">
        <v>2939</v>
      </c>
    </row>
    <row r="2121" spans="2:3">
      <c r="C2121" t="s">
        <v>2940</v>
      </c>
    </row>
    <row r="2122" spans="2:3">
      <c r="C2122" t="s">
        <v>2941</v>
      </c>
    </row>
    <row r="2123" spans="2:3">
      <c r="B2123" t="s">
        <v>2942</v>
      </c>
    </row>
    <row r="2124" spans="2:3">
      <c r="C2124" t="s">
        <v>2943</v>
      </c>
    </row>
    <row r="2125" spans="2:3">
      <c r="B2125" t="s">
        <v>147</v>
      </c>
    </row>
    <row r="2126" spans="2:3">
      <c r="C2126" t="s">
        <v>2944</v>
      </c>
    </row>
    <row r="2127" spans="2:3">
      <c r="C2127" t="s">
        <v>2945</v>
      </c>
    </row>
    <row r="2128" spans="2:3">
      <c r="C2128" t="s">
        <v>2946</v>
      </c>
    </row>
    <row r="2129" spans="2:4">
      <c r="D2129" t="s">
        <v>2947</v>
      </c>
    </row>
    <row r="2130" spans="2:4">
      <c r="B2130" t="s">
        <v>455</v>
      </c>
    </row>
    <row r="2131" spans="2:4">
      <c r="C2131" t="s">
        <v>2948</v>
      </c>
    </row>
    <row r="2132" spans="2:4">
      <c r="D2132" t="s">
        <v>2949</v>
      </c>
    </row>
    <row r="2133" spans="2:4">
      <c r="D2133" t="s">
        <v>2950</v>
      </c>
    </row>
    <row r="2134" spans="2:4">
      <c r="D2134" t="s">
        <v>2951</v>
      </c>
    </row>
    <row r="2135" spans="2:4">
      <c r="B2135" t="s">
        <v>2952</v>
      </c>
    </row>
    <row r="2136" spans="2:4">
      <c r="C2136" t="s">
        <v>2953</v>
      </c>
    </row>
    <row r="2137" spans="2:4">
      <c r="C2137" t="s">
        <v>2954</v>
      </c>
    </row>
    <row r="2138" spans="2:4">
      <c r="B2138" t="s">
        <v>2955</v>
      </c>
    </row>
    <row r="2139" spans="2:4">
      <c r="C2139" t="s">
        <v>2956</v>
      </c>
    </row>
    <row r="2140" spans="2:4">
      <c r="C2140" t="s">
        <v>2957</v>
      </c>
    </row>
    <row r="2141" spans="2:4">
      <c r="C2141" t="s">
        <v>2958</v>
      </c>
    </row>
    <row r="2142" spans="2:4">
      <c r="B2142" t="s">
        <v>2959</v>
      </c>
    </row>
    <row r="2143" spans="2:4">
      <c r="C2143" t="s">
        <v>2960</v>
      </c>
    </row>
    <row r="2144" spans="2:4">
      <c r="B2144" t="s">
        <v>2961</v>
      </c>
    </row>
    <row r="2145" spans="2:5">
      <c r="C2145" t="s">
        <v>2962</v>
      </c>
    </row>
    <row r="2146" spans="2:5">
      <c r="D2146" t="s">
        <v>2963</v>
      </c>
      <c r="E2146" t="s">
        <v>2964</v>
      </c>
    </row>
    <row r="2147" spans="2:5">
      <c r="D2147" t="s">
        <v>2965</v>
      </c>
      <c r="E2147" t="s">
        <v>2966</v>
      </c>
    </row>
    <row r="2148" spans="2:5">
      <c r="D2148" s="43">
        <f>50+150</f>
        <v>200</v>
      </c>
    </row>
    <row r="2149" spans="2:5">
      <c r="B2149" t="s">
        <v>697</v>
      </c>
    </row>
    <row r="2150" spans="2:5">
      <c r="C2150" t="s">
        <v>2967</v>
      </c>
    </row>
    <row r="2151" spans="2:5">
      <c r="C2151" t="s">
        <v>2968</v>
      </c>
    </row>
    <row r="2153" spans="2:5">
      <c r="B2153" s="232">
        <v>44927</v>
      </c>
    </row>
    <row r="2155" spans="2:5">
      <c r="B2155" t="s">
        <v>2969</v>
      </c>
    </row>
    <row r="2156" spans="2:5">
      <c r="B2156" t="s">
        <v>2970</v>
      </c>
    </row>
    <row r="2157" spans="2:5">
      <c r="C2157" t="s">
        <v>2971</v>
      </c>
    </row>
    <row r="2158" spans="2:5">
      <c r="C2158" t="s">
        <v>2972</v>
      </c>
    </row>
    <row r="2159" spans="2:5">
      <c r="C2159" t="s">
        <v>2973</v>
      </c>
    </row>
    <row r="2160" spans="2:5">
      <c r="D2160" t="s">
        <v>2974</v>
      </c>
    </row>
    <row r="2161" spans="2:5">
      <c r="D2161" t="s">
        <v>2975</v>
      </c>
    </row>
    <row r="2162" spans="2:5">
      <c r="B2162" t="s">
        <v>697</v>
      </c>
    </row>
    <row r="2163" spans="2:5">
      <c r="C2163" t="s">
        <v>2976</v>
      </c>
    </row>
    <row r="2164" spans="2:5">
      <c r="D2164" t="s">
        <v>2977</v>
      </c>
    </row>
    <row r="2165" spans="2:5">
      <c r="C2165" t="s">
        <v>2978</v>
      </c>
    </row>
    <row r="2166" spans="2:5">
      <c r="C2166" t="s">
        <v>2979</v>
      </c>
    </row>
    <row r="2167" spans="2:5">
      <c r="B2167" t="s">
        <v>568</v>
      </c>
    </row>
    <row r="2168" spans="2:5">
      <c r="C2168" t="s">
        <v>2980</v>
      </c>
    </row>
    <row r="2169" spans="2:5">
      <c r="C2169" t="s">
        <v>2981</v>
      </c>
    </row>
    <row r="2170" spans="2:5">
      <c r="D2170" t="s">
        <v>2982</v>
      </c>
    </row>
    <row r="2171" spans="2:5">
      <c r="E2171" t="s">
        <v>2983</v>
      </c>
    </row>
    <row r="2172" spans="2:5">
      <c r="E2172" t="s">
        <v>2984</v>
      </c>
    </row>
    <row r="2173" spans="2:5">
      <c r="D2173" t="s">
        <v>2985</v>
      </c>
    </row>
    <row r="2174" spans="2:5">
      <c r="E2174" t="s">
        <v>2986</v>
      </c>
    </row>
    <row r="2175" spans="2:5">
      <c r="E2175" t="s">
        <v>2987</v>
      </c>
    </row>
    <row r="2176" spans="2:5">
      <c r="D2176" t="s">
        <v>2988</v>
      </c>
    </row>
    <row r="2177" spans="2:7">
      <c r="E2177" t="s">
        <v>2989</v>
      </c>
      <c r="G2177" t="s">
        <v>2990</v>
      </c>
    </row>
    <row r="2178" spans="2:7">
      <c r="E2178" t="s">
        <v>2991</v>
      </c>
      <c r="F2178" t="s">
        <v>2992</v>
      </c>
      <c r="G2178" t="s">
        <v>2990</v>
      </c>
    </row>
    <row r="2179" spans="2:7">
      <c r="C2179" t="s">
        <v>2993</v>
      </c>
    </row>
    <row r="2180" spans="2:7">
      <c r="C2180" t="s">
        <v>2994</v>
      </c>
    </row>
    <row r="2181" spans="2:7">
      <c r="C2181" t="s">
        <v>2995</v>
      </c>
    </row>
    <row r="2182" spans="2:7">
      <c r="D2182" t="s">
        <v>2996</v>
      </c>
    </row>
    <row r="2183" spans="2:7">
      <c r="B2183" s="43">
        <v>2022</v>
      </c>
    </row>
    <row r="2184" spans="2:7">
      <c r="C2184" t="s">
        <v>2997</v>
      </c>
    </row>
    <row r="2185" spans="2:7">
      <c r="C2185" t="s">
        <v>2998</v>
      </c>
    </row>
    <row r="2186" spans="2:7">
      <c r="C2186" t="s">
        <v>2999</v>
      </c>
    </row>
    <row r="2187" spans="2:7">
      <c r="D2187" t="s">
        <v>3000</v>
      </c>
    </row>
    <row r="2188" spans="2:7">
      <c r="D2188" t="s">
        <v>3001</v>
      </c>
    </row>
    <row r="2189" spans="2:7">
      <c r="D2189" t="s">
        <v>3002</v>
      </c>
    </row>
    <row r="2190" spans="2:7">
      <c r="B2190" t="s">
        <v>147</v>
      </c>
    </row>
    <row r="2191" spans="2:7">
      <c r="C2191" t="s">
        <v>3003</v>
      </c>
    </row>
    <row r="2192" spans="2:7">
      <c r="C2192" t="s">
        <v>3004</v>
      </c>
    </row>
    <row r="2193" spans="2:3">
      <c r="B2193" t="s">
        <v>352</v>
      </c>
    </row>
    <row r="2194" spans="2:3">
      <c r="C2194" t="s">
        <v>3005</v>
      </c>
    </row>
    <row r="2195" spans="2:3">
      <c r="B2195" t="s">
        <v>350</v>
      </c>
    </row>
    <row r="2196" spans="2:3">
      <c r="C2196" t="s">
        <v>3006</v>
      </c>
    </row>
    <row r="2197" spans="2:3">
      <c r="B2197" t="s">
        <v>349</v>
      </c>
    </row>
    <row r="2198" spans="2:3">
      <c r="C2198" t="s">
        <v>3007</v>
      </c>
    </row>
    <row r="2199" spans="2:3">
      <c r="C2199" t="s">
        <v>3008</v>
      </c>
    </row>
    <row r="2200" spans="2:3">
      <c r="B2200" t="s">
        <v>351</v>
      </c>
    </row>
    <row r="2201" spans="2:3">
      <c r="C2201" t="s">
        <v>3009</v>
      </c>
    </row>
    <row r="2202" spans="2:3">
      <c r="B2202" t="s">
        <v>3010</v>
      </c>
    </row>
    <row r="2203" spans="2:3">
      <c r="C2203" t="s">
        <v>3011</v>
      </c>
    </row>
    <row r="2205" spans="2:3">
      <c r="B2205" s="11" t="s">
        <v>3012</v>
      </c>
    </row>
    <row r="2206" spans="2:3">
      <c r="C2206" t="s">
        <v>3013</v>
      </c>
    </row>
    <row r="2207" spans="2:3">
      <c r="C2207" t="s">
        <v>3014</v>
      </c>
    </row>
    <row r="2208" spans="2:3">
      <c r="C2208" t="s">
        <v>3015</v>
      </c>
    </row>
    <row r="2210" spans="2:4">
      <c r="C2210" t="s">
        <v>3016</v>
      </c>
    </row>
    <row r="2211" spans="2:4">
      <c r="C2211" t="s">
        <v>3017</v>
      </c>
    </row>
    <row r="2212" spans="2:4">
      <c r="C2212" t="s">
        <v>3018</v>
      </c>
    </row>
    <row r="2213" spans="2:4">
      <c r="C2213" t="s">
        <v>3019</v>
      </c>
    </row>
    <row r="2215" spans="2:4">
      <c r="C2215" t="s">
        <v>3020</v>
      </c>
    </row>
    <row r="2217" spans="2:4">
      <c r="C2217" t="s">
        <v>3021</v>
      </c>
    </row>
    <row r="2218" spans="2:4">
      <c r="D2218" t="s">
        <v>3022</v>
      </c>
    </row>
    <row r="2219" spans="2:4">
      <c r="D2219" t="s">
        <v>3023</v>
      </c>
    </row>
    <row r="2220" spans="2:4">
      <c r="D2220" t="s">
        <v>3024</v>
      </c>
    </row>
    <row r="2221" spans="2:4">
      <c r="C2221" t="s">
        <v>3025</v>
      </c>
    </row>
    <row r="2222" spans="2:4">
      <c r="D2222" t="s">
        <v>3026</v>
      </c>
    </row>
    <row r="2223" spans="2:4">
      <c r="B2223" t="s">
        <v>3027</v>
      </c>
    </row>
    <row r="2224" spans="2:4">
      <c r="C2224" t="s">
        <v>3028</v>
      </c>
    </row>
    <row r="2225" spans="2:3">
      <c r="C2225" t="s">
        <v>3029</v>
      </c>
    </row>
    <row r="2226" spans="2:3">
      <c r="C2226" t="s">
        <v>3030</v>
      </c>
    </row>
    <row r="2227" spans="2:3">
      <c r="B2227" t="s">
        <v>3031</v>
      </c>
    </row>
    <row r="2229" spans="2:3">
      <c r="B2229" t="s">
        <v>3032</v>
      </c>
    </row>
    <row r="2231" spans="2:3">
      <c r="B2231" t="s">
        <v>3033</v>
      </c>
    </row>
    <row r="2232" spans="2:3">
      <c r="B2232" t="s">
        <v>3034</v>
      </c>
    </row>
    <row r="2233" spans="2:3">
      <c r="B2233" t="s">
        <v>3035</v>
      </c>
    </row>
    <row r="2234" spans="2:3">
      <c r="B2234" t="s">
        <v>3036</v>
      </c>
    </row>
    <row r="2235" spans="2:3">
      <c r="B2235" t="s">
        <v>3037</v>
      </c>
    </row>
    <row r="2236" spans="2:3">
      <c r="B2236" t="s">
        <v>3038</v>
      </c>
    </row>
    <row r="2238" spans="2:3">
      <c r="B2238" t="s">
        <v>3039</v>
      </c>
    </row>
    <row r="2242" spans="2:8">
      <c r="D2242">
        <f>55/19</f>
        <v>2.8947368421052633</v>
      </c>
      <c r="F2242">
        <f>43/10</f>
        <v>4.3</v>
      </c>
      <c r="G2242">
        <v>2.9</v>
      </c>
      <c r="H2242">
        <f>F2242+G2242</f>
        <v>7.1999999999999993</v>
      </c>
    </row>
    <row r="2244" spans="2:8">
      <c r="B2244" s="40" t="s">
        <v>3040</v>
      </c>
    </row>
    <row r="2286" spans="2:2">
      <c r="B2286" s="40" t="s">
        <v>3041</v>
      </c>
    </row>
    <row r="2308" spans="2:2">
      <c r="B2308" s="40" t="s">
        <v>3042</v>
      </c>
    </row>
    <row r="2340" spans="2:4">
      <c r="B2340" s="41" t="s">
        <v>3043</v>
      </c>
    </row>
    <row r="2342" spans="2:4">
      <c r="B2342" t="s">
        <v>3044</v>
      </c>
    </row>
    <row r="2343" spans="2:4">
      <c r="C2343" t="s">
        <v>3045</v>
      </c>
    </row>
    <row r="2344" spans="2:4">
      <c r="C2344" t="s">
        <v>3046</v>
      </c>
    </row>
    <row r="2345" spans="2:4">
      <c r="C2345" t="s">
        <v>3047</v>
      </c>
    </row>
    <row r="2346" spans="2:4">
      <c r="D2346" t="s">
        <v>3048</v>
      </c>
    </row>
    <row r="2347" spans="2:4">
      <c r="D2347" t="s">
        <v>3049</v>
      </c>
    </row>
    <row r="2349" spans="2:4">
      <c r="B2349" t="s">
        <v>3050</v>
      </c>
      <c r="C2349" t="s">
        <v>3051</v>
      </c>
    </row>
    <row r="2350" spans="2:4">
      <c r="C2350" t="s">
        <v>3052</v>
      </c>
    </row>
    <row r="2351" spans="2:4">
      <c r="C2351" t="s">
        <v>3053</v>
      </c>
    </row>
    <row r="2352" spans="2:4">
      <c r="C2352" t="s">
        <v>3054</v>
      </c>
    </row>
    <row r="2353" spans="2:4">
      <c r="C2353" t="s">
        <v>3055</v>
      </c>
    </row>
    <row r="2354" spans="2:4">
      <c r="C2354" t="s">
        <v>3056</v>
      </c>
    </row>
    <row r="2355" spans="2:4">
      <c r="B2355" t="s">
        <v>3057</v>
      </c>
    </row>
    <row r="2356" spans="2:4">
      <c r="C2356" t="s">
        <v>3058</v>
      </c>
    </row>
    <row r="2357" spans="2:4">
      <c r="C2357" t="s">
        <v>3059</v>
      </c>
    </row>
    <row r="2358" spans="2:4">
      <c r="B2358" t="s">
        <v>3060</v>
      </c>
    </row>
    <row r="2359" spans="2:4">
      <c r="C2359" t="s">
        <v>3061</v>
      </c>
    </row>
    <row r="2360" spans="2:4">
      <c r="B2360" t="s">
        <v>3062</v>
      </c>
    </row>
    <row r="2361" spans="2:4">
      <c r="C2361" t="s">
        <v>3063</v>
      </c>
    </row>
    <row r="2362" spans="2:4">
      <c r="D2362" t="s">
        <v>3064</v>
      </c>
    </row>
    <row r="2363" spans="2:4">
      <c r="C2363" t="s">
        <v>3065</v>
      </c>
    </row>
    <row r="2364" spans="2:4">
      <c r="C2364" t="s">
        <v>3066</v>
      </c>
    </row>
    <row r="2365" spans="2:4">
      <c r="D2365" t="s">
        <v>3067</v>
      </c>
    </row>
    <row r="2366" spans="2:4">
      <c r="C2366" t="s">
        <v>3068</v>
      </c>
    </row>
    <row r="2367" spans="2:4">
      <c r="B2367" t="s">
        <v>678</v>
      </c>
    </row>
    <row r="2368" spans="2:4">
      <c r="C2368" t="s">
        <v>3069</v>
      </c>
    </row>
    <row r="2369" spans="2:6">
      <c r="C2369" t="s">
        <v>3070</v>
      </c>
    </row>
    <row r="2370" spans="2:6">
      <c r="C2370" t="s">
        <v>3071</v>
      </c>
    </row>
    <row r="2371" spans="2:6">
      <c r="C2371" t="s">
        <v>3072</v>
      </c>
    </row>
    <row r="2372" spans="2:6">
      <c r="B2372" t="s">
        <v>1751</v>
      </c>
    </row>
    <row r="2373" spans="2:6">
      <c r="C2373" t="s">
        <v>3073</v>
      </c>
    </row>
    <row r="2374" spans="2:6">
      <c r="C2374" t="s">
        <v>3074</v>
      </c>
    </row>
    <row r="2375" spans="2:6">
      <c r="C2375" t="s">
        <v>3075</v>
      </c>
    </row>
    <row r="2376" spans="2:6">
      <c r="D2376" t="s">
        <v>3076</v>
      </c>
    </row>
    <row r="2377" spans="2:6">
      <c r="D2377" t="s">
        <v>3077</v>
      </c>
    </row>
    <row r="2378" spans="2:6">
      <c r="C2378" t="s">
        <v>699</v>
      </c>
    </row>
    <row r="2379" spans="2:6">
      <c r="D2379" t="s">
        <v>3078</v>
      </c>
    </row>
    <row r="2380" spans="2:6">
      <c r="C2380" t="s">
        <v>3079</v>
      </c>
    </row>
    <row r="2381" spans="2:6">
      <c r="C2381" t="s">
        <v>3080</v>
      </c>
    </row>
    <row r="2382" spans="2:6">
      <c r="B2382" t="s">
        <v>3081</v>
      </c>
    </row>
    <row r="2383" spans="2:6">
      <c r="C2383" t="s">
        <v>3082</v>
      </c>
    </row>
    <row r="2384" spans="2:6">
      <c r="D2384" t="s">
        <v>3083</v>
      </c>
      <c r="E2384" t="s">
        <v>3084</v>
      </c>
      <c r="F2384" t="s">
        <v>3085</v>
      </c>
    </row>
    <row r="2385" spans="2:6">
      <c r="F2385" t="s">
        <v>3086</v>
      </c>
    </row>
    <row r="2386" spans="2:6">
      <c r="D2386" t="s">
        <v>3087</v>
      </c>
      <c r="E2386" t="s">
        <v>3088</v>
      </c>
    </row>
    <row r="2387" spans="2:6">
      <c r="C2387" t="s">
        <v>3089</v>
      </c>
    </row>
    <row r="2388" spans="2:6">
      <c r="B2388" t="s">
        <v>147</v>
      </c>
    </row>
    <row r="2389" spans="2:6">
      <c r="C2389" t="s">
        <v>3090</v>
      </c>
    </row>
    <row r="2390" spans="2:6">
      <c r="C2390" t="s">
        <v>3091</v>
      </c>
    </row>
    <row r="2391" spans="2:6">
      <c r="C2391" t="s">
        <v>3092</v>
      </c>
    </row>
    <row r="2392" spans="2:6">
      <c r="C2392" t="s">
        <v>3093</v>
      </c>
    </row>
    <row r="2393" spans="2:6">
      <c r="C2393" t="s">
        <v>3094</v>
      </c>
    </row>
    <row r="2394" spans="2:6">
      <c r="C2394" s="43">
        <v>2024</v>
      </c>
    </row>
    <row r="2395" spans="2:6">
      <c r="D2395" t="s">
        <v>3095</v>
      </c>
    </row>
    <row r="2396" spans="2:6">
      <c r="C2396" t="s">
        <v>3096</v>
      </c>
    </row>
    <row r="2397" spans="2:6">
      <c r="C2397" t="s">
        <v>3097</v>
      </c>
    </row>
    <row r="2398" spans="2:6">
      <c r="D2398" t="s">
        <v>3098</v>
      </c>
    </row>
    <row r="2399" spans="2:6">
      <c r="D2399" t="s">
        <v>3099</v>
      </c>
    </row>
    <row r="2400" spans="2:6">
      <c r="D2400" t="s">
        <v>3100</v>
      </c>
    </row>
    <row r="2401" spans="2:4">
      <c r="D2401" t="s">
        <v>3101</v>
      </c>
    </row>
    <row r="2402" spans="2:4">
      <c r="D2402" t="s">
        <v>3102</v>
      </c>
    </row>
    <row r="2403" spans="2:4">
      <c r="C2403" t="s">
        <v>3103</v>
      </c>
    </row>
    <row r="2404" spans="2:4">
      <c r="D2404" t="s">
        <v>3104</v>
      </c>
    </row>
    <row r="2405" spans="2:4">
      <c r="D2405" t="s">
        <v>3105</v>
      </c>
    </row>
    <row r="2406" spans="2:4">
      <c r="D2406" t="s">
        <v>3106</v>
      </c>
    </row>
    <row r="2407" spans="2:4">
      <c r="D2407" t="s">
        <v>3107</v>
      </c>
    </row>
    <row r="2408" spans="2:4">
      <c r="B2408" t="s">
        <v>985</v>
      </c>
    </row>
    <row r="2409" spans="2:4">
      <c r="C2409" t="s">
        <v>3108</v>
      </c>
    </row>
    <row r="2410" spans="2:4">
      <c r="C2410" t="s">
        <v>3109</v>
      </c>
    </row>
    <row r="2411" spans="2:4">
      <c r="D2411" t="s">
        <v>3110</v>
      </c>
    </row>
    <row r="2412" spans="2:4">
      <c r="D2412" t="s">
        <v>3111</v>
      </c>
    </row>
    <row r="2413" spans="2:4">
      <c r="C2413" t="s">
        <v>3112</v>
      </c>
    </row>
    <row r="2414" spans="2:4">
      <c r="D2414" t="s">
        <v>3113</v>
      </c>
    </row>
    <row r="2415" spans="2:4">
      <c r="D2415" t="s">
        <v>3114</v>
      </c>
    </row>
    <row r="2416" spans="2:4">
      <c r="C2416" t="s">
        <v>3115</v>
      </c>
    </row>
    <row r="2417" spans="2:4">
      <c r="B2417" t="s">
        <v>3116</v>
      </c>
    </row>
    <row r="2418" spans="2:4">
      <c r="C2418" t="s">
        <v>3117</v>
      </c>
    </row>
    <row r="2419" spans="2:4">
      <c r="D2419" t="s">
        <v>3118</v>
      </c>
    </row>
    <row r="2421" spans="2:4">
      <c r="B2421" s="11" t="s">
        <v>417</v>
      </c>
    </row>
    <row r="2423" spans="2:4">
      <c r="B2423" t="s">
        <v>3119</v>
      </c>
      <c r="C2423" t="s">
        <v>3120</v>
      </c>
    </row>
    <row r="2424" spans="2:4">
      <c r="C2424" t="s">
        <v>3121</v>
      </c>
    </row>
    <row r="2425" spans="2:4">
      <c r="C2425" t="s">
        <v>3122</v>
      </c>
    </row>
    <row r="2426" spans="2:4">
      <c r="B2426" t="s">
        <v>3123</v>
      </c>
    </row>
    <row r="2427" spans="2:4">
      <c r="C2427" t="s">
        <v>3124</v>
      </c>
    </row>
    <row r="2428" spans="2:4">
      <c r="C2428" t="s">
        <v>3125</v>
      </c>
    </row>
    <row r="2429" spans="2:4">
      <c r="C2429" t="s">
        <v>3126</v>
      </c>
    </row>
    <row r="2430" spans="2:4">
      <c r="B2430" t="s">
        <v>1018</v>
      </c>
    </row>
    <row r="2431" spans="2:4">
      <c r="C2431" t="s">
        <v>3127</v>
      </c>
    </row>
    <row r="2432" spans="2:4">
      <c r="B2432" t="s">
        <v>3128</v>
      </c>
    </row>
    <row r="2433" spans="2:4">
      <c r="C2433" t="s">
        <v>3129</v>
      </c>
    </row>
    <row r="2434" spans="2:4">
      <c r="C2434" t="s">
        <v>3130</v>
      </c>
    </row>
    <row r="2435" spans="2:4">
      <c r="B2435" t="s">
        <v>1751</v>
      </c>
    </row>
    <row r="2436" spans="2:4">
      <c r="C2436" t="s">
        <v>3131</v>
      </c>
    </row>
    <row r="2437" spans="2:4">
      <c r="C2437" t="s">
        <v>3132</v>
      </c>
    </row>
    <row r="2438" spans="2:4">
      <c r="C2438" t="s">
        <v>3133</v>
      </c>
    </row>
    <row r="2439" spans="2:4">
      <c r="D2439" t="s">
        <v>3134</v>
      </c>
    </row>
    <row r="2440" spans="2:4">
      <c r="B2440" t="s">
        <v>3081</v>
      </c>
    </row>
    <row r="2441" spans="2:4">
      <c r="C2441" t="s">
        <v>3135</v>
      </c>
    </row>
    <row r="2442" spans="2:4">
      <c r="C2442" t="s">
        <v>3136</v>
      </c>
    </row>
    <row r="2443" spans="2:4">
      <c r="C2443" t="s">
        <v>3137</v>
      </c>
    </row>
    <row r="2444" spans="2:4">
      <c r="B2444" t="s">
        <v>2564</v>
      </c>
    </row>
    <row r="2445" spans="2:4">
      <c r="C2445" t="s">
        <v>3138</v>
      </c>
    </row>
    <row r="2446" spans="2:4">
      <c r="C2446" t="s">
        <v>3139</v>
      </c>
    </row>
    <row r="2447" spans="2:4">
      <c r="C2447" t="s">
        <v>3140</v>
      </c>
    </row>
    <row r="2448" spans="2:4">
      <c r="C2448" t="s">
        <v>3141</v>
      </c>
    </row>
    <row r="2449" spans="2:4">
      <c r="B2449" t="s">
        <v>3142</v>
      </c>
    </row>
    <row r="2450" spans="2:4">
      <c r="C2450" t="s">
        <v>3143</v>
      </c>
    </row>
    <row r="2451" spans="2:4">
      <c r="C2451" t="s">
        <v>3144</v>
      </c>
    </row>
    <row r="2452" spans="2:4">
      <c r="B2452" t="s">
        <v>2461</v>
      </c>
    </row>
    <row r="2453" spans="2:4">
      <c r="C2453" t="s">
        <v>3145</v>
      </c>
    </row>
    <row r="2454" spans="2:4">
      <c r="C2454" t="s">
        <v>3146</v>
      </c>
    </row>
    <row r="2455" spans="2:4">
      <c r="C2455" t="s">
        <v>3147</v>
      </c>
    </row>
    <row r="2456" spans="2:4">
      <c r="D2456" t="s">
        <v>3148</v>
      </c>
    </row>
    <row r="2514" spans="2:2">
      <c r="B2514" s="11" t="s">
        <v>3149</v>
      </c>
    </row>
    <row r="2516" spans="2:2">
      <c r="B2516" s="399" t="s">
        <v>3150</v>
      </c>
    </row>
    <row r="2517" spans="2:2">
      <c r="B2517" s="399"/>
    </row>
    <row r="2518" spans="2:2">
      <c r="B2518" s="399" t="s">
        <v>3151</v>
      </c>
    </row>
    <row r="2519" spans="2:2">
      <c r="B2519" s="399"/>
    </row>
    <row r="2520" spans="2:2">
      <c r="B2520" s="399" t="s">
        <v>3152</v>
      </c>
    </row>
    <row r="2522" spans="2:2">
      <c r="B2522" s="64">
        <v>45292</v>
      </c>
    </row>
    <row r="2524" spans="2:2">
      <c r="B2524" t="s">
        <v>3153</v>
      </c>
    </row>
    <row r="2525" spans="2:2">
      <c r="B2525" t="s">
        <v>3154</v>
      </c>
    </row>
    <row r="2526" spans="2:2">
      <c r="B2526" t="s">
        <v>3155</v>
      </c>
    </row>
    <row r="2528" spans="2:2">
      <c r="B2528" s="11" t="s">
        <v>2991</v>
      </c>
    </row>
    <row r="2529" spans="2:3">
      <c r="B2529" t="s">
        <v>3156</v>
      </c>
    </row>
    <row r="2530" spans="2:3">
      <c r="B2530" t="s">
        <v>3157</v>
      </c>
    </row>
    <row r="2531" spans="2:3">
      <c r="B2531" t="s">
        <v>3158</v>
      </c>
    </row>
    <row r="2532" spans="2:3">
      <c r="B2532" t="s">
        <v>3159</v>
      </c>
    </row>
    <row r="2533" spans="2:3">
      <c r="B2533" t="s">
        <v>3160</v>
      </c>
    </row>
    <row r="2534" spans="2:3">
      <c r="C2534" t="s">
        <v>3161</v>
      </c>
    </row>
    <row r="2535" spans="2:3">
      <c r="C2535" t="s">
        <v>3162</v>
      </c>
    </row>
    <row r="2536" spans="2:3">
      <c r="B2536" t="s">
        <v>3163</v>
      </c>
    </row>
    <row r="2537" spans="2:3">
      <c r="C2537" t="s">
        <v>3164</v>
      </c>
    </row>
    <row r="2538" spans="2:3">
      <c r="B2538" t="s">
        <v>3165</v>
      </c>
    </row>
    <row r="2539" spans="2:3">
      <c r="B2539" t="s">
        <v>3166</v>
      </c>
    </row>
    <row r="2540" spans="2:3">
      <c r="C2540" t="s">
        <v>3167</v>
      </c>
    </row>
    <row r="2541" spans="2:3">
      <c r="C2541" t="s">
        <v>3168</v>
      </c>
    </row>
    <row r="2542" spans="2:3">
      <c r="C2542" t="s">
        <v>3169</v>
      </c>
    </row>
    <row r="2543" spans="2:3">
      <c r="C2543" t="s">
        <v>3170</v>
      </c>
    </row>
    <row r="2544" spans="2:3">
      <c r="B2544" t="s">
        <v>3171</v>
      </c>
    </row>
    <row r="2545" spans="2:5">
      <c r="C2545" t="s">
        <v>3172</v>
      </c>
    </row>
    <row r="2546" spans="2:5">
      <c r="C2546" t="s">
        <v>3173</v>
      </c>
    </row>
    <row r="2547" spans="2:5">
      <c r="B2547" t="s">
        <v>3174</v>
      </c>
    </row>
    <row r="2548" spans="2:5">
      <c r="C2548" t="s">
        <v>3175</v>
      </c>
    </row>
    <row r="2549" spans="2:5">
      <c r="C2549" t="s">
        <v>3176</v>
      </c>
    </row>
    <row r="2550" spans="2:5">
      <c r="E2550" t="s">
        <v>3177</v>
      </c>
    </row>
    <row r="2551" spans="2:5">
      <c r="E2551" t="s">
        <v>3178</v>
      </c>
    </row>
    <row r="2552" spans="2:5">
      <c r="C2552" t="s">
        <v>3179</v>
      </c>
      <c r="E2552" s="16">
        <f>2.5/5</f>
        <v>0.5</v>
      </c>
    </row>
    <row r="2553" spans="2:5">
      <c r="C2553" t="s">
        <v>3180</v>
      </c>
    </row>
    <row r="2554" spans="2:5">
      <c r="B2554" t="s">
        <v>3181</v>
      </c>
    </row>
    <row r="2555" spans="2:5">
      <c r="C2555" t="s">
        <v>3182</v>
      </c>
    </row>
    <row r="2556" spans="2:5">
      <c r="C2556" t="s">
        <v>3183</v>
      </c>
      <c r="D2556" t="s">
        <v>3184</v>
      </c>
    </row>
    <row r="2557" spans="2:5">
      <c r="D2557" t="s">
        <v>3185</v>
      </c>
    </row>
    <row r="2558" spans="2:5">
      <c r="C2558" t="s">
        <v>3186</v>
      </c>
    </row>
    <row r="2559" spans="2:5">
      <c r="B2559" t="s">
        <v>3187</v>
      </c>
    </row>
    <row r="2560" spans="2:5">
      <c r="C2560" t="s">
        <v>3188</v>
      </c>
    </row>
    <row r="2561" spans="2:4">
      <c r="B2561" t="s">
        <v>3189</v>
      </c>
    </row>
    <row r="2562" spans="2:4">
      <c r="C2562" t="s">
        <v>3190</v>
      </c>
    </row>
    <row r="2563" spans="2:4">
      <c r="C2563" t="s">
        <v>3191</v>
      </c>
    </row>
    <row r="2564" spans="2:4">
      <c r="B2564" t="s">
        <v>3192</v>
      </c>
    </row>
    <row r="2565" spans="2:4">
      <c r="C2565" t="s">
        <v>3193</v>
      </c>
    </row>
    <row r="2566" spans="2:4">
      <c r="C2566" t="s">
        <v>3194</v>
      </c>
    </row>
    <row r="2567" spans="2:4">
      <c r="B2567" t="s">
        <v>3195</v>
      </c>
    </row>
    <row r="2568" spans="2:4">
      <c r="B2568" t="s">
        <v>3196</v>
      </c>
    </row>
    <row r="2569" spans="2:4">
      <c r="B2569" t="s">
        <v>1587</v>
      </c>
    </row>
    <row r="2570" spans="2:4">
      <c r="C2570" t="s">
        <v>3197</v>
      </c>
    </row>
    <row r="2571" spans="2:4">
      <c r="C2571" t="s">
        <v>3198</v>
      </c>
    </row>
    <row r="2572" spans="2:4">
      <c r="D2572" s="17">
        <f>SUM(Quarts!BD9:BJ9)</f>
        <v>4983.9979999999996</v>
      </c>
    </row>
    <row r="2573" spans="2:4">
      <c r="C2573" t="s">
        <v>3199</v>
      </c>
    </row>
    <row r="2574" spans="2:4">
      <c r="D2574" s="13" t="s">
        <v>3200</v>
      </c>
    </row>
    <row r="2575" spans="2:4">
      <c r="B2575" t="s">
        <v>3201</v>
      </c>
    </row>
    <row r="2576" spans="2:4">
      <c r="C2576" t="s">
        <v>3202</v>
      </c>
    </row>
    <row r="2578" spans="2:3">
      <c r="B2578" s="41" t="s">
        <v>3203</v>
      </c>
    </row>
    <row r="2580" spans="2:3">
      <c r="B2580" t="s">
        <v>3204</v>
      </c>
    </row>
    <row r="2581" spans="2:3">
      <c r="B2581" t="s">
        <v>3205</v>
      </c>
    </row>
    <row r="2582" spans="2:3">
      <c r="B2582" t="s">
        <v>3206</v>
      </c>
    </row>
    <row r="2583" spans="2:3">
      <c r="B2583" t="s">
        <v>3207</v>
      </c>
    </row>
    <row r="2584" spans="2:3">
      <c r="B2584" t="s">
        <v>3208</v>
      </c>
      <c r="C2584" t="s">
        <v>3209</v>
      </c>
    </row>
    <row r="2585" spans="2:3">
      <c r="C2585" t="s">
        <v>3210</v>
      </c>
    </row>
    <row r="2586" spans="2:3">
      <c r="B2586" t="s">
        <v>3211</v>
      </c>
    </row>
    <row r="2587" spans="2:3">
      <c r="C2587" t="s">
        <v>3212</v>
      </c>
    </row>
    <row r="2588" spans="2:3">
      <c r="B2588" t="s">
        <v>3213</v>
      </c>
    </row>
    <row r="2589" spans="2:3">
      <c r="C2589" t="s">
        <v>3214</v>
      </c>
    </row>
    <row r="2590" spans="2:3">
      <c r="C2590" t="s">
        <v>3215</v>
      </c>
    </row>
    <row r="2591" spans="2:3">
      <c r="C2591" t="s">
        <v>3216</v>
      </c>
    </row>
    <row r="2592" spans="2:3">
      <c r="C2592" t="s">
        <v>3217</v>
      </c>
    </row>
    <row r="2593" spans="2:3">
      <c r="C2593" t="s">
        <v>3218</v>
      </c>
    </row>
    <row r="2594" spans="2:3">
      <c r="B2594" t="s">
        <v>3219</v>
      </c>
    </row>
    <row r="2595" spans="2:3">
      <c r="C2595" t="s">
        <v>3220</v>
      </c>
    </row>
    <row r="2596" spans="2:3">
      <c r="C2596" t="s">
        <v>3221</v>
      </c>
    </row>
    <row r="2597" spans="2:3">
      <c r="C2597" t="s">
        <v>3222</v>
      </c>
    </row>
    <row r="2598" spans="2:3">
      <c r="B2598" t="s">
        <v>351</v>
      </c>
    </row>
    <row r="2599" spans="2:3">
      <c r="C2599" t="s">
        <v>3223</v>
      </c>
    </row>
    <row r="2600" spans="2:3">
      <c r="C2600" t="s">
        <v>3224</v>
      </c>
    </row>
    <row r="2602" spans="2:3">
      <c r="C2602" t="s">
        <v>3225</v>
      </c>
    </row>
    <row r="2603" spans="2:3">
      <c r="B2603" t="s">
        <v>3226</v>
      </c>
    </row>
    <row r="2604" spans="2:3">
      <c r="C2604" t="s">
        <v>3227</v>
      </c>
    </row>
    <row r="2605" spans="2:3">
      <c r="C2605" t="s">
        <v>3228</v>
      </c>
    </row>
    <row r="2606" spans="2:3">
      <c r="C2606" t="s">
        <v>3229</v>
      </c>
    </row>
    <row r="2607" spans="2:3">
      <c r="B2607" t="s">
        <v>3230</v>
      </c>
    </row>
    <row r="2608" spans="2:3">
      <c r="C2608" t="s">
        <v>3231</v>
      </c>
    </row>
    <row r="2609" spans="2:3">
      <c r="B2609" t="s">
        <v>3232</v>
      </c>
    </row>
    <row r="2610" spans="2:3">
      <c r="C2610" t="s">
        <v>3233</v>
      </c>
    </row>
    <row r="2611" spans="2:3">
      <c r="C2611" t="s">
        <v>3234</v>
      </c>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7E895-A1B6-4108-BB31-13C27864DE13}">
  <dimension ref="B2:T107"/>
  <sheetViews>
    <sheetView showGridLines="0" zoomScale="75" zoomScaleNormal="75" workbookViewId="0">
      <selection activeCell="G20" sqref="G20"/>
    </sheetView>
  </sheetViews>
  <sheetFormatPr defaultRowHeight="15" outlineLevelRow="1"/>
  <cols>
    <col min="1" max="1" width="3.42578125" customWidth="1"/>
    <col min="2" max="2" width="17.28515625" customWidth="1"/>
    <col min="4" max="4" width="10.5703125" bestFit="1" customWidth="1"/>
    <col min="7" max="7" width="8.7109375" customWidth="1"/>
  </cols>
  <sheetData>
    <row r="2" spans="2:12">
      <c r="B2" s="937" t="s">
        <v>3235</v>
      </c>
      <c r="C2" s="935"/>
      <c r="D2" s="935">
        <f>Analysis!E595</f>
        <v>2022</v>
      </c>
      <c r="E2" s="935">
        <f>Analysis!F595</f>
        <v>2023</v>
      </c>
      <c r="F2" s="935">
        <f>Analysis!G595</f>
        <v>2024</v>
      </c>
      <c r="G2" s="935">
        <f>Analysis!H595</f>
        <v>2025</v>
      </c>
      <c r="H2" s="935">
        <f>Analysis!I595</f>
        <v>2026</v>
      </c>
      <c r="I2" s="935">
        <f>H2+1</f>
        <v>2027</v>
      </c>
      <c r="J2" s="935">
        <f>I2+1</f>
        <v>2028</v>
      </c>
      <c r="K2" s="935">
        <f>J2+1</f>
        <v>2029</v>
      </c>
      <c r="L2" s="935">
        <f>K2+1</f>
        <v>2030</v>
      </c>
    </row>
    <row r="3" spans="2:12">
      <c r="B3" s="185" t="s">
        <v>2735</v>
      </c>
      <c r="C3" s="203"/>
      <c r="D3" s="365">
        <f>Analysis!E507</f>
        <v>48411.8</v>
      </c>
      <c r="E3" s="365">
        <f>Analysis!F507</f>
        <v>49137.976999999999</v>
      </c>
      <c r="F3" s="365">
        <f>(1+F4)*E3</f>
        <v>49629.356769999999</v>
      </c>
      <c r="G3" s="365"/>
      <c r="H3" s="365"/>
      <c r="I3" s="365"/>
      <c r="J3" s="365"/>
      <c r="K3" s="365"/>
      <c r="L3" s="365"/>
    </row>
    <row r="4" spans="2:12">
      <c r="B4" t="s">
        <v>328</v>
      </c>
      <c r="C4" s="90"/>
      <c r="D4" s="116"/>
      <c r="E4" s="234">
        <f>E3/D3-1</f>
        <v>1.4999999999999902E-2</v>
      </c>
      <c r="F4" s="363">
        <v>0.01</v>
      </c>
      <c r="G4" s="234"/>
      <c r="H4" s="234"/>
      <c r="I4" s="234"/>
      <c r="J4" s="234"/>
      <c r="K4" s="234"/>
      <c r="L4" s="234"/>
    </row>
    <row r="5" spans="2:12">
      <c r="B5" s="185" t="s">
        <v>122</v>
      </c>
      <c r="C5" s="203"/>
      <c r="D5" s="365">
        <f>Master!V8</f>
        <v>27155.555</v>
      </c>
      <c r="E5" s="365">
        <f>Master!W8</f>
        <v>29870.54</v>
      </c>
      <c r="F5" s="365">
        <f>(1+F6)*E5</f>
        <v>32558.888600000002</v>
      </c>
      <c r="G5" s="365"/>
      <c r="H5" s="365"/>
      <c r="I5" s="365"/>
      <c r="J5" s="365"/>
      <c r="K5" s="365"/>
      <c r="L5" s="365"/>
    </row>
    <row r="6" spans="2:12">
      <c r="B6" t="s">
        <v>328</v>
      </c>
      <c r="C6" s="90"/>
      <c r="D6" s="116"/>
      <c r="E6" s="234">
        <f>E5/D5-1</f>
        <v>9.9978991407098761E-2</v>
      </c>
      <c r="F6" s="363">
        <v>0.09</v>
      </c>
      <c r="G6" s="234"/>
      <c r="H6" s="234"/>
      <c r="I6" s="234"/>
      <c r="J6" s="234"/>
      <c r="K6" s="234"/>
      <c r="L6" s="234"/>
    </row>
    <row r="7" spans="2:12">
      <c r="B7" s="366" t="s">
        <v>3236</v>
      </c>
      <c r="C7" s="367"/>
      <c r="D7" s="368">
        <f>D3+D5</f>
        <v>75567.35500000001</v>
      </c>
      <c r="E7" s="368">
        <f>E3+E5</f>
        <v>79008.516999999993</v>
      </c>
      <c r="F7" s="368">
        <f>F3+F5</f>
        <v>82188.245370000004</v>
      </c>
      <c r="G7" s="368">
        <f t="shared" ref="G7:L7" si="0">(1+G8)*F7</f>
        <v>84653.892731100001</v>
      </c>
      <c r="H7" s="368">
        <f t="shared" si="0"/>
        <v>87193.509513033001</v>
      </c>
      <c r="I7" s="368">
        <f t="shared" si="0"/>
        <v>89809.314798423991</v>
      </c>
      <c r="J7" s="368">
        <f t="shared" si="0"/>
        <v>92503.594242376712</v>
      </c>
      <c r="K7" s="368">
        <f t="shared" si="0"/>
        <v>95278.702069648018</v>
      </c>
      <c r="L7" s="368">
        <f t="shared" si="0"/>
        <v>98137.063131737465</v>
      </c>
    </row>
    <row r="8" spans="2:12">
      <c r="C8" s="90"/>
      <c r="D8" s="90"/>
      <c r="F8" s="15">
        <f>F7/E7-1</f>
        <v>4.0245387342228156E-2</v>
      </c>
      <c r="G8" s="364">
        <v>0.03</v>
      </c>
      <c r="H8" s="364">
        <v>0.03</v>
      </c>
      <c r="I8" s="364">
        <v>0.03</v>
      </c>
      <c r="J8" s="364">
        <v>0.03</v>
      </c>
      <c r="K8" s="364">
        <v>0.03</v>
      </c>
      <c r="L8" s="364">
        <v>0.03</v>
      </c>
    </row>
    <row r="9" spans="2:12">
      <c r="B9" s="366" t="s">
        <v>295</v>
      </c>
      <c r="C9" s="203"/>
      <c r="D9" s="203"/>
      <c r="E9" s="185"/>
      <c r="F9" s="185"/>
      <c r="G9" s="185"/>
      <c r="H9" s="185"/>
      <c r="I9" s="185"/>
      <c r="J9" s="185"/>
      <c r="K9" s="185"/>
      <c r="L9" s="185"/>
    </row>
    <row r="10" spans="2:12">
      <c r="B10" t="str">
        <f>B3</f>
        <v xml:space="preserve">Izzy </v>
      </c>
      <c r="C10" s="90"/>
      <c r="D10" s="116">
        <f>Analysis!E508</f>
        <v>19902.8</v>
      </c>
      <c r="E10" s="116">
        <f>Analysis!F508</f>
        <v>18746.138225499999</v>
      </c>
      <c r="F10" s="116">
        <f>Analysis!G508</f>
        <v>19164.4252547125</v>
      </c>
      <c r="G10" s="116">
        <f>Analysis!H508</f>
        <v>19591.910298994688</v>
      </c>
      <c r="H10" s="116">
        <f>Analysis!I508</f>
        <v>20077.642541486563</v>
      </c>
      <c r="I10" s="116"/>
      <c r="J10" s="116"/>
      <c r="K10" s="116"/>
      <c r="L10" s="116"/>
    </row>
    <row r="11" spans="2:12">
      <c r="B11" s="185" t="str">
        <f>B5</f>
        <v>MEGA</v>
      </c>
      <c r="C11" s="203"/>
      <c r="D11" s="365">
        <f>Master!W13</f>
        <v>13319.993</v>
      </c>
      <c r="E11" s="365">
        <f>Master!X13</f>
        <v>14629.852999999999</v>
      </c>
      <c r="F11" s="365">
        <f>Master!Y13</f>
        <v>15936.034</v>
      </c>
      <c r="G11" s="365">
        <f>Master!Z13</f>
        <v>17317.949166000006</v>
      </c>
      <c r="H11" s="365">
        <f>Master!AA13</f>
        <v>18891.568466000008</v>
      </c>
      <c r="I11" s="365"/>
      <c r="J11" s="365"/>
      <c r="K11" s="365"/>
      <c r="L11" s="365"/>
    </row>
    <row r="12" spans="2:12">
      <c r="B12" s="40" t="s">
        <v>3237</v>
      </c>
      <c r="C12" s="90"/>
      <c r="D12" s="235">
        <f>D10+D11</f>
        <v>33222.792999999998</v>
      </c>
      <c r="E12" s="235">
        <f>E10+E11</f>
        <v>33375.991225499994</v>
      </c>
      <c r="F12" s="235">
        <f>F10+F11</f>
        <v>35100.459254712499</v>
      </c>
      <c r="G12" s="235">
        <f>G10+G11</f>
        <v>36909.85946499469</v>
      </c>
      <c r="H12" s="235">
        <f>H10+H11</f>
        <v>38969.21100748657</v>
      </c>
      <c r="I12" s="235"/>
      <c r="J12" s="235"/>
      <c r="K12" s="235"/>
      <c r="L12" s="235"/>
    </row>
    <row r="13" spans="2:12">
      <c r="B13" s="185" t="s">
        <v>3238</v>
      </c>
      <c r="C13" s="203"/>
      <c r="D13" s="203"/>
      <c r="E13" s="365"/>
      <c r="F13" s="365"/>
      <c r="G13" s="365">
        <f>2300/2</f>
        <v>1150</v>
      </c>
      <c r="H13" s="365">
        <f>2300</f>
        <v>2300</v>
      </c>
      <c r="I13" s="365"/>
      <c r="J13" s="365"/>
      <c r="K13" s="365"/>
      <c r="L13" s="365"/>
    </row>
    <row r="14" spans="2:12">
      <c r="B14" s="40" t="s">
        <v>3239</v>
      </c>
      <c r="C14" s="90"/>
      <c r="D14" s="235">
        <f>D12+D13</f>
        <v>33222.792999999998</v>
      </c>
      <c r="E14" s="235">
        <f>E12+E13</f>
        <v>33375.991225499994</v>
      </c>
      <c r="F14" s="235">
        <f>F12+F13</f>
        <v>35100.459254712499</v>
      </c>
      <c r="G14" s="235">
        <f>G12+G13</f>
        <v>38059.85946499469</v>
      </c>
      <c r="H14" s="235">
        <f>H12+H13</f>
        <v>41269.21100748657</v>
      </c>
      <c r="I14" s="235">
        <f>I15*I7</f>
        <v>42597.096652509594</v>
      </c>
      <c r="J14" s="235">
        <f>J15*J7</f>
        <v>43967.513146327256</v>
      </c>
      <c r="K14" s="235">
        <f>K15*K7</f>
        <v>45381.817242786725</v>
      </c>
      <c r="L14" s="235">
        <f>L15*L7</f>
        <v>46841.408823202066</v>
      </c>
    </row>
    <row r="15" spans="2:12">
      <c r="B15" s="185" t="s">
        <v>45</v>
      </c>
      <c r="C15" s="203"/>
      <c r="D15" s="369">
        <f>D14/D7</f>
        <v>0.4396447778276743</v>
      </c>
      <c r="E15" s="369">
        <f>E14/E7</f>
        <v>0.42243535877910476</v>
      </c>
      <c r="F15" s="369">
        <f>F14/F7</f>
        <v>0.42707395804223747</v>
      </c>
      <c r="G15" s="369">
        <f>G14/G7</f>
        <v>0.44959373086232957</v>
      </c>
      <c r="H15" s="369">
        <f>H14/H7</f>
        <v>0.47330599763641779</v>
      </c>
      <c r="I15" s="370">
        <f>H15+0.001</f>
        <v>0.47430599763641779</v>
      </c>
      <c r="J15" s="370">
        <f>I15+0.001</f>
        <v>0.47530599763641779</v>
      </c>
      <c r="K15" s="370">
        <f>J15+0.001</f>
        <v>0.47630599763641779</v>
      </c>
      <c r="L15" s="370">
        <f>K15+0.001</f>
        <v>0.47730599763641779</v>
      </c>
    </row>
    <row r="16" spans="2:12">
      <c r="C16" s="90"/>
      <c r="D16" s="90"/>
    </row>
    <row r="17" spans="2:12">
      <c r="B17" s="366" t="s">
        <v>147</v>
      </c>
      <c r="C17" s="203"/>
      <c r="D17" s="203"/>
      <c r="E17" s="185"/>
      <c r="F17" s="185"/>
      <c r="G17" s="185"/>
      <c r="H17" s="185"/>
      <c r="I17" s="185"/>
      <c r="J17" s="185"/>
      <c r="K17" s="185"/>
      <c r="L17" s="185"/>
    </row>
    <row r="18" spans="2:12">
      <c r="B18" t="str">
        <f>B3</f>
        <v xml:space="preserve">Izzy </v>
      </c>
      <c r="C18" s="90"/>
      <c r="D18" s="116">
        <f>Analysis!E509</f>
        <v>12989.048999999999</v>
      </c>
      <c r="E18" s="116">
        <f>Analysis!F509</f>
        <v>11056.044825000001</v>
      </c>
      <c r="F18" s="116"/>
      <c r="G18" s="116"/>
      <c r="H18" s="116"/>
      <c r="I18" s="116"/>
      <c r="J18" s="116"/>
      <c r="K18" s="116"/>
      <c r="L18" s="116"/>
    </row>
    <row r="19" spans="2:12">
      <c r="B19" s="185" t="s">
        <v>122</v>
      </c>
      <c r="C19" s="203"/>
      <c r="D19" s="365">
        <f>Master!V45</f>
        <v>11836</v>
      </c>
      <c r="E19" s="365">
        <f>Master!W45</f>
        <v>12949</v>
      </c>
      <c r="F19" s="365"/>
      <c r="G19" s="365"/>
      <c r="H19" s="365"/>
      <c r="I19" s="365"/>
      <c r="J19" s="365"/>
      <c r="K19" s="365"/>
      <c r="L19" s="365"/>
    </row>
    <row r="20" spans="2:12">
      <c r="B20" s="40" t="s">
        <v>539</v>
      </c>
      <c r="C20" s="233"/>
      <c r="D20" s="235">
        <f>D18+D19</f>
        <v>24825.048999999999</v>
      </c>
      <c r="E20" s="235">
        <f>E18+E19</f>
        <v>24005.044825000001</v>
      </c>
      <c r="F20" s="235">
        <f t="shared" ref="F20:L20" si="1">F21*F7</f>
        <v>20547.061342500001</v>
      </c>
      <c r="G20" s="235">
        <f t="shared" si="1"/>
        <v>19470.395328153001</v>
      </c>
      <c r="H20" s="235">
        <f t="shared" si="1"/>
        <v>19182.57209286726</v>
      </c>
      <c r="I20" s="235">
        <f t="shared" si="1"/>
        <v>19758.049255653277</v>
      </c>
      <c r="J20" s="235">
        <f t="shared" si="1"/>
        <v>20350.790733322876</v>
      </c>
      <c r="K20" s="235">
        <f t="shared" si="1"/>
        <v>20008.527434626081</v>
      </c>
      <c r="L20" s="235">
        <f t="shared" si="1"/>
        <v>19627.412626347494</v>
      </c>
    </row>
    <row r="21" spans="2:12">
      <c r="B21" s="185" t="s">
        <v>148</v>
      </c>
      <c r="C21" s="203"/>
      <c r="D21" s="369">
        <f>D20/D7</f>
        <v>0.32851552102094872</v>
      </c>
      <c r="E21" s="369">
        <f>E20/E7</f>
        <v>0.30382857110202438</v>
      </c>
      <c r="F21" s="371">
        <v>0.25</v>
      </c>
      <c r="G21" s="371">
        <v>0.23</v>
      </c>
      <c r="H21" s="371">
        <v>0.22</v>
      </c>
      <c r="I21" s="371">
        <v>0.22</v>
      </c>
      <c r="J21" s="371">
        <v>0.22</v>
      </c>
      <c r="K21" s="371">
        <v>0.21</v>
      </c>
      <c r="L21" s="371">
        <v>0.2</v>
      </c>
    </row>
    <row r="22" spans="2:12">
      <c r="C22" s="90"/>
      <c r="D22" s="90"/>
    </row>
    <row r="23" spans="2:12">
      <c r="B23" s="919"/>
      <c r="C23" s="920"/>
      <c r="D23" s="935">
        <f>D2</f>
        <v>2022</v>
      </c>
      <c r="E23" s="935">
        <f t="shared" ref="E23:L23" si="2">E2</f>
        <v>2023</v>
      </c>
      <c r="F23" s="935">
        <f t="shared" si="2"/>
        <v>2024</v>
      </c>
      <c r="G23" s="935">
        <f t="shared" si="2"/>
        <v>2025</v>
      </c>
      <c r="H23" s="935">
        <f t="shared" si="2"/>
        <v>2026</v>
      </c>
      <c r="I23" s="935">
        <f t="shared" si="2"/>
        <v>2027</v>
      </c>
      <c r="J23" s="935">
        <f t="shared" si="2"/>
        <v>2028</v>
      </c>
      <c r="K23" s="935">
        <f t="shared" si="2"/>
        <v>2029</v>
      </c>
      <c r="L23" s="935">
        <f t="shared" si="2"/>
        <v>2030</v>
      </c>
    </row>
    <row r="24" spans="2:12">
      <c r="B24" s="366" t="s">
        <v>92</v>
      </c>
      <c r="C24" s="203"/>
      <c r="D24" s="368">
        <f t="shared" ref="D24:L24" si="3">D14-D20</f>
        <v>8397.7439999999988</v>
      </c>
      <c r="E24" s="368">
        <f t="shared" si="3"/>
        <v>9370.9464004999936</v>
      </c>
      <c r="F24" s="368">
        <f t="shared" si="3"/>
        <v>14553.397912212498</v>
      </c>
      <c r="G24" s="368">
        <f t="shared" si="3"/>
        <v>18589.464136841689</v>
      </c>
      <c r="H24" s="368">
        <f t="shared" si="3"/>
        <v>22086.638914619311</v>
      </c>
      <c r="I24" s="368">
        <f t="shared" si="3"/>
        <v>22839.047396856316</v>
      </c>
      <c r="J24" s="368">
        <f t="shared" si="3"/>
        <v>23616.72241300438</v>
      </c>
      <c r="K24" s="368">
        <f t="shared" si="3"/>
        <v>25373.289808160644</v>
      </c>
      <c r="L24" s="368">
        <f t="shared" si="3"/>
        <v>27213.996196854572</v>
      </c>
    </row>
    <row r="25" spans="2:12">
      <c r="B25" t="s">
        <v>148</v>
      </c>
      <c r="C25" s="90"/>
      <c r="D25" s="66">
        <f t="shared" ref="D25:L25" si="4">D24/D7</f>
        <v>0.11112925680672557</v>
      </c>
      <c r="E25" s="66">
        <f t="shared" si="4"/>
        <v>0.11860678767708037</v>
      </c>
      <c r="F25" s="66">
        <f t="shared" si="4"/>
        <v>0.17707395804223747</v>
      </c>
      <c r="G25" s="66">
        <f t="shared" si="4"/>
        <v>0.21959373086232956</v>
      </c>
      <c r="H25" s="66">
        <f t="shared" si="4"/>
        <v>0.25330599763641781</v>
      </c>
      <c r="I25" s="66">
        <f t="shared" si="4"/>
        <v>0.25430599763641781</v>
      </c>
      <c r="J25" s="66">
        <f t="shared" si="4"/>
        <v>0.25530599763641781</v>
      </c>
      <c r="K25" s="66">
        <f t="shared" si="4"/>
        <v>0.26630599763641782</v>
      </c>
      <c r="L25" s="66">
        <f t="shared" si="4"/>
        <v>0.27730599763641778</v>
      </c>
    </row>
    <row r="26" spans="2:12">
      <c r="B26" s="185"/>
      <c r="C26" s="203"/>
      <c r="D26" s="203"/>
      <c r="E26" s="185"/>
      <c r="F26" s="185"/>
      <c r="G26" s="185"/>
      <c r="H26" s="185"/>
      <c r="I26" s="185"/>
      <c r="J26" s="185"/>
      <c r="K26" s="185"/>
      <c r="L26" s="185"/>
    </row>
    <row r="27" spans="2:12">
      <c r="B27" t="s">
        <v>3240</v>
      </c>
      <c r="C27" s="90"/>
      <c r="D27" s="90"/>
      <c r="E27" s="378">
        <v>0.09</v>
      </c>
      <c r="F27" s="378">
        <v>0.09</v>
      </c>
      <c r="G27" s="378">
        <v>0.09</v>
      </c>
      <c r="H27" s="378">
        <v>0.09</v>
      </c>
      <c r="I27" s="378">
        <v>0.09</v>
      </c>
      <c r="J27" s="378">
        <v>0.09</v>
      </c>
      <c r="K27" s="378">
        <v>0.09</v>
      </c>
      <c r="L27" s="378">
        <v>0.09</v>
      </c>
    </row>
    <row r="28" spans="2:12">
      <c r="B28" s="185" t="s">
        <v>3241</v>
      </c>
      <c r="C28" s="203"/>
      <c r="D28" s="203"/>
      <c r="E28" s="365">
        <f t="shared" ref="E28:L28" si="5">E27*D41</f>
        <v>4299.6178799999998</v>
      </c>
      <c r="F28" s="365">
        <f t="shared" si="5"/>
        <v>4299.6178799999998</v>
      </c>
      <c r="G28" s="365">
        <f t="shared" si="5"/>
        <v>3865.927044061315</v>
      </c>
      <c r="H28" s="365">
        <f t="shared" si="5"/>
        <v>3825.6848082888182</v>
      </c>
      <c r="I28" s="365">
        <f t="shared" si="5"/>
        <v>3772.0728517271268</v>
      </c>
      <c r="J28" s="365">
        <f t="shared" si="5"/>
        <v>3715.9462307268818</v>
      </c>
      <c r="K28" s="365">
        <f t="shared" si="5"/>
        <v>3657.2186495104656</v>
      </c>
      <c r="L28" s="365">
        <f t="shared" si="5"/>
        <v>3592.7996798063637</v>
      </c>
    </row>
    <row r="29" spans="2:12">
      <c r="B29" t="s">
        <v>3242</v>
      </c>
      <c r="C29" s="90"/>
      <c r="D29" s="90"/>
      <c r="E29" s="116">
        <f>1087</f>
        <v>1087</v>
      </c>
      <c r="F29" s="379">
        <f t="shared" ref="F29:L29" si="6">E29</f>
        <v>1087</v>
      </c>
      <c r="G29" s="379">
        <f t="shared" si="6"/>
        <v>1087</v>
      </c>
      <c r="H29" s="379">
        <f t="shared" si="6"/>
        <v>1087</v>
      </c>
      <c r="I29" s="379">
        <f t="shared" si="6"/>
        <v>1087</v>
      </c>
      <c r="J29" s="379">
        <f t="shared" si="6"/>
        <v>1087</v>
      </c>
      <c r="K29" s="379">
        <f t="shared" si="6"/>
        <v>1087</v>
      </c>
      <c r="L29" s="379">
        <f t="shared" si="6"/>
        <v>1087</v>
      </c>
    </row>
    <row r="30" spans="2:12">
      <c r="B30" s="185" t="s">
        <v>3243</v>
      </c>
      <c r="C30" s="203"/>
      <c r="D30" s="203"/>
      <c r="E30" s="365">
        <v>100</v>
      </c>
      <c r="F30" s="372">
        <f t="shared" ref="F30:L30" si="7">E30*1.05</f>
        <v>105</v>
      </c>
      <c r="G30" s="372">
        <f t="shared" si="7"/>
        <v>110.25</v>
      </c>
      <c r="H30" s="372">
        <f t="shared" si="7"/>
        <v>115.7625</v>
      </c>
      <c r="I30" s="372">
        <f t="shared" si="7"/>
        <v>121.55062500000001</v>
      </c>
      <c r="J30" s="372">
        <f t="shared" si="7"/>
        <v>127.62815625000002</v>
      </c>
      <c r="K30" s="372">
        <f t="shared" si="7"/>
        <v>134.00956406250003</v>
      </c>
      <c r="L30" s="372">
        <f t="shared" si="7"/>
        <v>140.71004226562505</v>
      </c>
    </row>
    <row r="31" spans="2:12">
      <c r="B31" t="s">
        <v>3244</v>
      </c>
      <c r="C31" s="90"/>
      <c r="D31" s="90"/>
      <c r="E31" s="116">
        <f t="shared" ref="E31:L31" si="8">D40/D39*E30</f>
        <v>33.27749192293885</v>
      </c>
      <c r="F31" s="116">
        <f t="shared" si="8"/>
        <v>34.941366519085797</v>
      </c>
      <c r="G31" s="116">
        <f t="shared" si="8"/>
        <v>36.688434845040085</v>
      </c>
      <c r="H31" s="116">
        <f t="shared" si="8"/>
        <v>38.52285658729209</v>
      </c>
      <c r="I31" s="116">
        <f t="shared" si="8"/>
        <v>40.448999416656697</v>
      </c>
      <c r="J31" s="116">
        <f t="shared" si="8"/>
        <v>42.471449387489535</v>
      </c>
      <c r="K31" s="116">
        <f t="shared" si="8"/>
        <v>44.595021856864015</v>
      </c>
      <c r="L31" s="116">
        <f t="shared" si="8"/>
        <v>46.824772949707217</v>
      </c>
    </row>
    <row r="32" spans="2:12">
      <c r="B32" s="185" t="s">
        <v>114</v>
      </c>
      <c r="C32" s="203"/>
      <c r="D32" s="203"/>
      <c r="E32" s="365">
        <f t="shared" ref="E32:L32" si="9">(E24-E29-E30-E31-E28)*0.3</f>
        <v>1155.3153085731165</v>
      </c>
      <c r="F32" s="365">
        <f t="shared" si="9"/>
        <v>2708.0515997080238</v>
      </c>
      <c r="G32" s="365">
        <f t="shared" si="9"/>
        <v>4046.8795973806</v>
      </c>
      <c r="H32" s="365">
        <f t="shared" si="9"/>
        <v>5105.9006249229597</v>
      </c>
      <c r="I32" s="365">
        <f t="shared" si="9"/>
        <v>5345.3924762137594</v>
      </c>
      <c r="J32" s="365">
        <f t="shared" si="9"/>
        <v>5593.1029729920028</v>
      </c>
      <c r="K32" s="365">
        <f t="shared" si="9"/>
        <v>6135.1399718192433</v>
      </c>
      <c r="L32" s="365">
        <f t="shared" si="9"/>
        <v>6703.9985105498617</v>
      </c>
    </row>
    <row r="33" spans="2:20">
      <c r="B33" t="s">
        <v>1164</v>
      </c>
      <c r="C33" s="90"/>
      <c r="D33" s="90"/>
      <c r="F33" s="14">
        <f>Analysis!H558</f>
        <v>1500</v>
      </c>
      <c r="G33" s="14">
        <f>Analysis!I558</f>
        <v>500</v>
      </c>
      <c r="H33" s="14">
        <f>Analysis!J558</f>
        <v>0</v>
      </c>
      <c r="I33" s="14">
        <f>Analysis!K558</f>
        <v>0</v>
      </c>
      <c r="J33" s="14">
        <f>Analysis!L558</f>
        <v>0</v>
      </c>
      <c r="K33" s="14">
        <f>Analysis!M558</f>
        <v>0</v>
      </c>
      <c r="L33" s="14">
        <f>Analysis!N558</f>
        <v>0</v>
      </c>
    </row>
    <row r="34" spans="2:20">
      <c r="B34" s="366" t="s">
        <v>31</v>
      </c>
      <c r="C34" s="367"/>
      <c r="D34" s="367"/>
      <c r="E34" s="373">
        <f>E24-E28-E29-E30-E31-E32-E33</f>
        <v>2695.7357200039387</v>
      </c>
      <c r="F34" s="373">
        <f t="shared" ref="F34:L34" si="10">F24-F28-F29-F30-F31-F32-F33</f>
        <v>4818.7870659853888</v>
      </c>
      <c r="G34" s="373">
        <f t="shared" si="10"/>
        <v>8942.719060554733</v>
      </c>
      <c r="H34" s="373">
        <f t="shared" si="10"/>
        <v>11913.768124820239</v>
      </c>
      <c r="I34" s="373">
        <f t="shared" si="10"/>
        <v>12472.582444498772</v>
      </c>
      <c r="J34" s="373">
        <f t="shared" si="10"/>
        <v>13050.573603648007</v>
      </c>
      <c r="K34" s="373">
        <f t="shared" si="10"/>
        <v>14315.326600911569</v>
      </c>
      <c r="L34" s="373">
        <f t="shared" si="10"/>
        <v>15642.663191283011</v>
      </c>
    </row>
    <row r="35" spans="2:20">
      <c r="C35" s="90"/>
      <c r="D35" s="90"/>
    </row>
    <row r="36" spans="2:20">
      <c r="B36" s="366" t="s">
        <v>499</v>
      </c>
      <c r="C36" s="203"/>
      <c r="D36" s="203"/>
      <c r="E36" s="185"/>
      <c r="F36" s="373"/>
      <c r="G36" s="373">
        <f t="shared" ref="G36:L36" si="11">G34*0.95</f>
        <v>8495.5831075269962</v>
      </c>
      <c r="H36" s="373">
        <f t="shared" si="11"/>
        <v>11318.079718579227</v>
      </c>
      <c r="I36" s="373">
        <f t="shared" si="11"/>
        <v>11848.953322273834</v>
      </c>
      <c r="J36" s="373">
        <f t="shared" si="11"/>
        <v>12398.044923465606</v>
      </c>
      <c r="K36" s="373">
        <f t="shared" si="11"/>
        <v>13599.56027086599</v>
      </c>
      <c r="L36" s="373">
        <f t="shared" si="11"/>
        <v>14860.530031718859</v>
      </c>
    </row>
    <row r="37" spans="2:20">
      <c r="C37" s="90"/>
      <c r="D37" s="90"/>
      <c r="T37" t="s">
        <v>3245</v>
      </c>
    </row>
    <row r="38" spans="2:20">
      <c r="B38" s="366" t="s">
        <v>3246</v>
      </c>
      <c r="C38" s="203"/>
      <c r="D38" s="368">
        <f>E38</f>
        <v>58911.531999999999</v>
      </c>
      <c r="E38" s="368">
        <f>Analysis!V554</f>
        <v>58911.531999999999</v>
      </c>
      <c r="F38" s="373">
        <f t="shared" ref="F38:L38" si="12">E38-F34+F36</f>
        <v>54092.744934014612</v>
      </c>
      <c r="G38" s="373">
        <f t="shared" si="12"/>
        <v>53645.608980986872</v>
      </c>
      <c r="H38" s="373">
        <f t="shared" si="12"/>
        <v>53049.920574745855</v>
      </c>
      <c r="I38" s="373">
        <f t="shared" si="12"/>
        <v>52426.291452520913</v>
      </c>
      <c r="J38" s="373">
        <f t="shared" si="12"/>
        <v>51773.762772338509</v>
      </c>
      <c r="K38" s="373">
        <f t="shared" si="12"/>
        <v>51057.996442292933</v>
      </c>
      <c r="L38" s="373">
        <f t="shared" si="12"/>
        <v>50275.86328272878</v>
      </c>
    </row>
    <row r="39" spans="2:20" hidden="1" outlineLevel="1">
      <c r="B39" s="374" t="s">
        <v>3247</v>
      </c>
      <c r="C39" s="203"/>
      <c r="D39" s="365">
        <v>8357</v>
      </c>
      <c r="E39" s="375">
        <f t="shared" ref="E39:L40" si="13">D39</f>
        <v>8357</v>
      </c>
      <c r="F39" s="375">
        <f t="shared" si="13"/>
        <v>8357</v>
      </c>
      <c r="G39" s="375">
        <f t="shared" si="13"/>
        <v>8357</v>
      </c>
      <c r="H39" s="375">
        <f t="shared" si="13"/>
        <v>8357</v>
      </c>
      <c r="I39" s="375">
        <f t="shared" si="13"/>
        <v>8357</v>
      </c>
      <c r="J39" s="375">
        <f t="shared" si="13"/>
        <v>8357</v>
      </c>
      <c r="K39" s="375">
        <f t="shared" si="13"/>
        <v>8357</v>
      </c>
      <c r="L39" s="375">
        <f t="shared" si="13"/>
        <v>8357</v>
      </c>
    </row>
    <row r="40" spans="2:20" hidden="1" outlineLevel="1">
      <c r="B40" s="374" t="s">
        <v>3248</v>
      </c>
      <c r="C40" s="203"/>
      <c r="D40" s="365">
        <v>2781</v>
      </c>
      <c r="E40" s="375">
        <f t="shared" si="13"/>
        <v>2781</v>
      </c>
      <c r="F40" s="375">
        <f t="shared" si="13"/>
        <v>2781</v>
      </c>
      <c r="G40" s="375">
        <f t="shared" si="13"/>
        <v>2781</v>
      </c>
      <c r="H40" s="375">
        <f t="shared" si="13"/>
        <v>2781</v>
      </c>
      <c r="I40" s="375">
        <f t="shared" si="13"/>
        <v>2781</v>
      </c>
      <c r="J40" s="375">
        <f t="shared" si="13"/>
        <v>2781</v>
      </c>
      <c r="K40" s="375">
        <f t="shared" si="13"/>
        <v>2781</v>
      </c>
      <c r="L40" s="375">
        <f t="shared" si="13"/>
        <v>2781</v>
      </c>
    </row>
    <row r="41" spans="2:20" hidden="1" outlineLevel="1">
      <c r="B41" s="374" t="s">
        <v>3249</v>
      </c>
      <c r="C41" s="203"/>
      <c r="D41" s="365">
        <f>E41</f>
        <v>47773.531999999999</v>
      </c>
      <c r="E41" s="365">
        <f t="shared" ref="E41:L41" si="14">E38-E39-E40</f>
        <v>47773.531999999999</v>
      </c>
      <c r="F41" s="365">
        <f t="shared" si="14"/>
        <v>42954.744934014612</v>
      </c>
      <c r="G41" s="365">
        <f t="shared" si="14"/>
        <v>42507.608980986872</v>
      </c>
      <c r="H41" s="365">
        <f t="shared" si="14"/>
        <v>41911.920574745855</v>
      </c>
      <c r="I41" s="365">
        <f t="shared" si="14"/>
        <v>41288.291452520913</v>
      </c>
      <c r="J41" s="365">
        <f t="shared" si="14"/>
        <v>40635.762772338509</v>
      </c>
      <c r="K41" s="365">
        <f t="shared" si="14"/>
        <v>39919.996442292933</v>
      </c>
      <c r="L41" s="365">
        <f t="shared" si="14"/>
        <v>39137.86328272878</v>
      </c>
    </row>
    <row r="42" spans="2:20" collapsed="1">
      <c r="B42" s="380"/>
      <c r="C42" s="90"/>
      <c r="D42" s="381"/>
    </row>
    <row r="43" spans="2:20">
      <c r="B43" s="366" t="s">
        <v>90</v>
      </c>
      <c r="C43" s="367"/>
      <c r="D43" s="377"/>
      <c r="E43" s="377">
        <f t="shared" ref="E43:L43" si="15">E38/E14</f>
        <v>1.7650871131279027</v>
      </c>
      <c r="F43" s="377">
        <f t="shared" si="15"/>
        <v>1.541083680457892</v>
      </c>
      <c r="G43" s="377">
        <f t="shared" si="15"/>
        <v>1.4095062287428326</v>
      </c>
      <c r="H43" s="377">
        <f t="shared" si="15"/>
        <v>1.2854600143705719</v>
      </c>
      <c r="I43" s="377">
        <f t="shared" si="15"/>
        <v>1.2307479986299075</v>
      </c>
      <c r="J43" s="377">
        <f t="shared" si="15"/>
        <v>1.1775458530035905</v>
      </c>
      <c r="K43" s="377">
        <f t="shared" si="15"/>
        <v>1.1250760666797321</v>
      </c>
      <c r="L43" s="377">
        <f t="shared" si="15"/>
        <v>1.0733209044264596</v>
      </c>
    </row>
    <row r="44" spans="2:20">
      <c r="C44" s="90"/>
      <c r="D44" s="90"/>
    </row>
    <row r="45" spans="2:20">
      <c r="B45" s="40" t="s">
        <v>3250</v>
      </c>
      <c r="C45" s="90"/>
      <c r="D45" s="90"/>
      <c r="E45" s="240">
        <f>15000/Valuation!M8</f>
        <v>0.29273396798104429</v>
      </c>
    </row>
    <row r="46" spans="2:20">
      <c r="B46" s="40"/>
      <c r="C46" s="90"/>
      <c r="D46" s="90"/>
      <c r="E46" s="240"/>
    </row>
    <row r="47" spans="2:20">
      <c r="B47" s="937" t="s">
        <v>3251</v>
      </c>
      <c r="C47" s="935"/>
      <c r="D47" s="935">
        <f t="shared" ref="D47:L47" si="16">D2</f>
        <v>2022</v>
      </c>
      <c r="E47" s="935">
        <f t="shared" si="16"/>
        <v>2023</v>
      </c>
      <c r="F47" s="935">
        <f t="shared" si="16"/>
        <v>2024</v>
      </c>
      <c r="G47" s="935">
        <f t="shared" si="16"/>
        <v>2025</v>
      </c>
      <c r="H47" s="935">
        <f t="shared" si="16"/>
        <v>2026</v>
      </c>
      <c r="I47" s="935">
        <f t="shared" si="16"/>
        <v>2027</v>
      </c>
      <c r="J47" s="935">
        <f t="shared" si="16"/>
        <v>2028</v>
      </c>
      <c r="K47" s="935">
        <f t="shared" si="16"/>
        <v>2029</v>
      </c>
      <c r="L47" s="935">
        <f t="shared" si="16"/>
        <v>2030</v>
      </c>
    </row>
    <row r="48" spans="2:20">
      <c r="B48" s="366" t="s">
        <v>93</v>
      </c>
      <c r="C48" s="203"/>
      <c r="D48" s="368"/>
      <c r="E48" s="368"/>
      <c r="F48" s="368"/>
      <c r="G48" s="368">
        <f t="shared" ref="G48:L48" si="17">G24*0.7</f>
        <v>13012.624895789182</v>
      </c>
      <c r="H48" s="368">
        <f t="shared" si="17"/>
        <v>15460.647240233517</v>
      </c>
      <c r="I48" s="368">
        <f t="shared" si="17"/>
        <v>15987.333177799421</v>
      </c>
      <c r="J48" s="368">
        <f t="shared" si="17"/>
        <v>16531.705689103066</v>
      </c>
      <c r="K48" s="368">
        <f t="shared" si="17"/>
        <v>17761.302865712449</v>
      </c>
      <c r="L48" s="368">
        <f t="shared" si="17"/>
        <v>19049.797337798198</v>
      </c>
    </row>
    <row r="49" spans="2:20">
      <c r="B49" s="40" t="s">
        <v>120</v>
      </c>
      <c r="D49" s="236">
        <f>Valuation!C115</f>
        <v>0.1168</v>
      </c>
      <c r="N49" s="236">
        <f>Valuation!C115</f>
        <v>0.1168</v>
      </c>
      <c r="R49" s="13" t="s">
        <v>122</v>
      </c>
      <c r="S49" s="13" t="s">
        <v>36</v>
      </c>
    </row>
    <row r="50" spans="2:20">
      <c r="B50" s="366" t="s">
        <v>3252</v>
      </c>
      <c r="C50" s="185"/>
      <c r="D50" s="383">
        <v>0.02</v>
      </c>
      <c r="E50" s="185"/>
      <c r="F50" s="185"/>
      <c r="G50" s="185"/>
      <c r="H50" s="185"/>
      <c r="I50" s="185"/>
      <c r="J50" s="185"/>
      <c r="K50" s="185"/>
      <c r="L50" s="185"/>
      <c r="N50" s="236">
        <f>Valuation!C81</f>
        <v>0</v>
      </c>
      <c r="P50" t="s">
        <v>978</v>
      </c>
      <c r="R50" s="19">
        <v>4</v>
      </c>
      <c r="S50" s="19">
        <v>4</v>
      </c>
    </row>
    <row r="51" spans="2:20">
      <c r="B51" s="40" t="s">
        <v>96</v>
      </c>
      <c r="D51" s="238">
        <f>1/(D49-D50)</f>
        <v>10.330578512396695</v>
      </c>
      <c r="N51" s="238">
        <f>1/(N49-N50)</f>
        <v>8.5616438356164384</v>
      </c>
      <c r="P51" t="s">
        <v>951</v>
      </c>
      <c r="R51" s="14">
        <f>Analysis!T545</f>
        <v>12977.221</v>
      </c>
      <c r="S51" s="14">
        <f>Analysis!U545</f>
        <v>19179</v>
      </c>
    </row>
    <row r="52" spans="2:20">
      <c r="B52" s="185" t="s">
        <v>3253</v>
      </c>
      <c r="C52" s="185"/>
      <c r="D52" s="365">
        <f>NPV(D49,G48:L48)</f>
        <v>66194.063155637748</v>
      </c>
      <c r="E52" s="185"/>
      <c r="F52" s="185"/>
      <c r="G52" s="185"/>
      <c r="H52" s="185"/>
      <c r="I52" s="185"/>
      <c r="J52" s="185"/>
      <c r="K52" s="185"/>
      <c r="L52" s="185"/>
      <c r="N52" s="116">
        <f>NPV(N49,F48:L48)</f>
        <v>66194.063155637748</v>
      </c>
      <c r="P52" t="s">
        <v>30</v>
      </c>
      <c r="R52" s="14">
        <f>R50*R51</f>
        <v>51908.883999999998</v>
      </c>
      <c r="S52" s="14">
        <f>S50*S51</f>
        <v>76716</v>
      </c>
    </row>
    <row r="53" spans="2:20">
      <c r="B53" t="s">
        <v>3254</v>
      </c>
      <c r="D53" s="116">
        <f>D51*L48</f>
        <v>196795.42704336983</v>
      </c>
      <c r="N53" s="116">
        <f>N51*L48</f>
        <v>163097.57994690238</v>
      </c>
      <c r="P53" t="s">
        <v>804</v>
      </c>
      <c r="R53" s="14">
        <f>Analysis!T547</f>
        <v>18911.531999999999</v>
      </c>
      <c r="S53" s="14">
        <f>0.3*S51</f>
        <v>5753.7</v>
      </c>
      <c r="T53" s="14">
        <f>R53+S53</f>
        <v>24665.232</v>
      </c>
    </row>
    <row r="54" spans="2:20" ht="15.75" thickBot="1">
      <c r="B54" s="940" t="s">
        <v>3255</v>
      </c>
      <c r="C54" s="940"/>
      <c r="D54" s="966">
        <f>D53/(1+D49)^6</f>
        <v>101429.09973527372</v>
      </c>
      <c r="E54" s="185"/>
      <c r="F54" s="185"/>
      <c r="G54" s="185"/>
      <c r="H54" s="185"/>
      <c r="I54" s="185"/>
      <c r="J54" s="185"/>
      <c r="K54" s="185"/>
      <c r="L54" s="185"/>
      <c r="N54" s="959">
        <f>N53/(1+N49)^7</f>
        <v>75269.612468894251</v>
      </c>
      <c r="P54" t="s">
        <v>956</v>
      </c>
      <c r="R54" s="14">
        <f>N58</f>
        <v>1068</v>
      </c>
      <c r="S54" s="14">
        <f>D59</f>
        <v>8636</v>
      </c>
    </row>
    <row r="55" spans="2:20" ht="15.75" thickBot="1">
      <c r="B55" t="s">
        <v>30</v>
      </c>
      <c r="D55" s="116">
        <f>D52+D54</f>
        <v>167623.16289091145</v>
      </c>
      <c r="F55" s="14">
        <f>Valuation!C71</f>
        <v>82491.806288849781</v>
      </c>
      <c r="G55">
        <v>61657</v>
      </c>
      <c r="H55" s="14">
        <f>F55+G55</f>
        <v>144148.8062888498</v>
      </c>
      <c r="I55" s="388">
        <f>D55-H55</f>
        <v>23474.356602061656</v>
      </c>
      <c r="N55" s="116">
        <f>N52+N54</f>
        <v>141463.67562453198</v>
      </c>
      <c r="P55" t="s">
        <v>105</v>
      </c>
      <c r="R55" s="14">
        <f>R52-R53-R54</f>
        <v>31929.351999999999</v>
      </c>
      <c r="S55" s="14">
        <f>S52-S53-S54</f>
        <v>62326.3</v>
      </c>
      <c r="T55" s="14"/>
    </row>
    <row r="56" spans="2:20">
      <c r="B56" s="376" t="s">
        <v>3256</v>
      </c>
      <c r="C56" s="384"/>
      <c r="D56" s="384"/>
      <c r="E56" s="385">
        <f>$D$55/E14</f>
        <v>5.0222677061001759</v>
      </c>
      <c r="F56" s="385">
        <f>$D$55/F14</f>
        <v>4.7755262025070735</v>
      </c>
      <c r="G56" s="385">
        <f>$D$55/G14</f>
        <v>4.4041981564614492</v>
      </c>
      <c r="H56" s="385">
        <f>$D$55/H14</f>
        <v>4.0617002069776245</v>
      </c>
      <c r="I56" s="185"/>
      <c r="J56" s="185"/>
      <c r="K56" s="185"/>
      <c r="L56" s="185"/>
      <c r="N56" s="116"/>
      <c r="R56" s="14"/>
      <c r="S56" s="14"/>
      <c r="T56" s="14"/>
    </row>
    <row r="57" spans="2:20">
      <c r="B57" t="s">
        <v>3257</v>
      </c>
      <c r="D57" s="116">
        <f>F38</f>
        <v>54092.744934014612</v>
      </c>
      <c r="N57" s="116">
        <f>E38</f>
        <v>58911.531999999999</v>
      </c>
      <c r="P57" t="s">
        <v>3258</v>
      </c>
      <c r="R57" s="244">
        <f>R55/Valuation!O5</f>
        <v>37.230294391147567</v>
      </c>
      <c r="S57" s="15"/>
    </row>
    <row r="58" spans="2:20">
      <c r="B58" s="185" t="s">
        <v>3259</v>
      </c>
      <c r="C58" s="185"/>
      <c r="D58" s="365">
        <f>N58</f>
        <v>1068</v>
      </c>
      <c r="E58" s="185"/>
      <c r="F58" s="185"/>
      <c r="G58" s="185"/>
      <c r="H58" s="185"/>
      <c r="I58" s="185"/>
      <c r="J58" s="185"/>
      <c r="K58" s="185"/>
      <c r="L58" s="185"/>
      <c r="N58" s="116">
        <f>Valuation!C90</f>
        <v>1068</v>
      </c>
      <c r="R58" s="14"/>
      <c r="T58" s="14"/>
    </row>
    <row r="59" spans="2:20">
      <c r="B59" s="919" t="s">
        <v>3260</v>
      </c>
      <c r="C59" s="919"/>
      <c r="D59" s="959">
        <f>N59</f>
        <v>8636</v>
      </c>
      <c r="N59" s="967">
        <f>508*17</f>
        <v>8636</v>
      </c>
      <c r="P59" t="s">
        <v>18</v>
      </c>
      <c r="R59" s="14">
        <v>58</v>
      </c>
      <c r="S59" s="14"/>
      <c r="T59" s="14"/>
    </row>
    <row r="60" spans="2:20">
      <c r="B60" s="366" t="s">
        <v>105</v>
      </c>
      <c r="C60" s="366"/>
      <c r="D60" s="368">
        <f>D55-D57-D58-D59</f>
        <v>103826.41795689684</v>
      </c>
      <c r="E60" s="185"/>
      <c r="F60" s="365"/>
      <c r="G60" s="185"/>
      <c r="H60" s="185"/>
      <c r="I60" s="185"/>
      <c r="J60" s="185"/>
      <c r="K60" s="185"/>
      <c r="L60" s="185"/>
      <c r="N60" s="116">
        <f>N55-N57-N58-N59</f>
        <v>72848.143624531978</v>
      </c>
      <c r="P60" t="s">
        <v>105</v>
      </c>
      <c r="R60" s="14">
        <f>R59*Valuation!O5</f>
        <v>49741.814999999995</v>
      </c>
    </row>
    <row r="61" spans="2:20">
      <c r="B61" t="s">
        <v>1111</v>
      </c>
      <c r="D61" s="116">
        <f>N61</f>
        <v>858.12400000000002</v>
      </c>
      <c r="N61" s="116">
        <f>Valuation!C96</f>
        <v>858.12400000000002</v>
      </c>
      <c r="P61" t="s">
        <v>3261</v>
      </c>
      <c r="R61" s="14">
        <f>R60-R55</f>
        <v>17812.462999999996</v>
      </c>
    </row>
    <row r="62" spans="2:20">
      <c r="B62" s="185" t="s">
        <v>3262</v>
      </c>
      <c r="C62" s="185"/>
      <c r="D62" s="365">
        <f>D60/D61</f>
        <v>120.99232506828481</v>
      </c>
      <c r="E62" s="185"/>
      <c r="F62" s="185"/>
      <c r="G62" s="185"/>
      <c r="H62" s="185"/>
      <c r="I62" s="185"/>
      <c r="J62" s="185"/>
      <c r="K62" s="185"/>
      <c r="L62" s="185"/>
      <c r="N62" s="116">
        <f>N60/N61</f>
        <v>84.892327477767751</v>
      </c>
    </row>
    <row r="63" spans="2:20">
      <c r="B63" t="s">
        <v>3263</v>
      </c>
      <c r="D63" s="90"/>
      <c r="N63" s="90"/>
    </row>
    <row r="64" spans="2:20">
      <c r="B64" s="185"/>
      <c r="C64" s="185"/>
      <c r="D64" s="386" t="s">
        <v>122</v>
      </c>
      <c r="E64" s="386"/>
      <c r="F64" s="185"/>
      <c r="G64" s="185"/>
      <c r="H64" s="185"/>
      <c r="I64" s="185"/>
      <c r="J64" s="185"/>
      <c r="K64" s="185"/>
      <c r="L64" s="185"/>
      <c r="N64" s="236">
        <f>D65</f>
        <v>0.52519085534397758</v>
      </c>
    </row>
    <row r="65" spans="2:14">
      <c r="B65" s="40" t="s">
        <v>3264</v>
      </c>
      <c r="D65" s="236">
        <f>Analysis!T550</f>
        <v>0.52519085534397758</v>
      </c>
      <c r="E65" s="236"/>
      <c r="N65" s="236">
        <f>E65</f>
        <v>0</v>
      </c>
    </row>
    <row r="66" spans="2:14">
      <c r="B66" s="366"/>
      <c r="C66" s="185"/>
      <c r="D66" s="185"/>
      <c r="E66" s="185"/>
      <c r="F66" s="185"/>
      <c r="G66" s="185"/>
      <c r="H66" s="185"/>
      <c r="I66" s="185"/>
      <c r="J66" s="185"/>
      <c r="K66" s="185"/>
      <c r="L66" s="185"/>
      <c r="N66" s="116">
        <f>N64*N60</f>
        <v>38259.178860388878</v>
      </c>
    </row>
    <row r="67" spans="2:14">
      <c r="B67" t="s">
        <v>3265</v>
      </c>
      <c r="D67" s="116">
        <f>D65*D60</f>
        <v>54528.685254083961</v>
      </c>
      <c r="E67" s="116"/>
      <c r="N67" s="959">
        <f>Analysis!V553</f>
        <v>15000</v>
      </c>
    </row>
    <row r="68" spans="2:14">
      <c r="B68" s="940" t="s">
        <v>3266</v>
      </c>
      <c r="C68" s="940"/>
      <c r="D68" s="966">
        <f>N67*0.9</f>
        <v>13500</v>
      </c>
      <c r="E68" s="185"/>
      <c r="F68" s="185"/>
      <c r="G68" s="185"/>
      <c r="H68" s="185"/>
      <c r="I68" s="185"/>
      <c r="J68" s="185"/>
      <c r="K68" s="185"/>
      <c r="L68" s="185"/>
      <c r="N68" s="116">
        <f>N66+N67</f>
        <v>53259.178860388878</v>
      </c>
    </row>
    <row r="69" spans="2:14">
      <c r="B69" t="s">
        <v>967</v>
      </c>
      <c r="D69" s="116">
        <f>D67+D68</f>
        <v>68028.685254083961</v>
      </c>
      <c r="E69" s="116"/>
      <c r="N69" s="239">
        <f>N68/Valuation!O5</f>
        <v>62.101320064467998</v>
      </c>
    </row>
    <row r="70" spans="2:14" ht="15.75" thickBot="1">
      <c r="B70" s="366" t="s">
        <v>3267</v>
      </c>
      <c r="C70" s="185"/>
      <c r="D70" s="368">
        <f>D69/Valuation!P5</f>
        <v>79.241287866557983</v>
      </c>
      <c r="E70" s="185"/>
      <c r="F70" s="185"/>
      <c r="G70" s="185"/>
      <c r="H70" s="185"/>
      <c r="I70" s="185"/>
      <c r="J70" s="185"/>
      <c r="K70" s="185"/>
      <c r="L70" s="185"/>
      <c r="N70" s="236">
        <f>N69/Valuation!C4-1</f>
        <v>4.2318228675193081E-2</v>
      </c>
    </row>
    <row r="71" spans="2:14" ht="15.75" thickBot="1">
      <c r="B71" s="205" t="s">
        <v>3261</v>
      </c>
      <c r="C71" s="245"/>
      <c r="D71" s="382">
        <f>D70/Valuation!C4-1</f>
        <v>0.32999811793484368</v>
      </c>
      <c r="E71" s="14"/>
    </row>
    <row r="72" spans="2:14">
      <c r="B72" s="40"/>
      <c r="C72" s="236"/>
      <c r="D72" s="239"/>
      <c r="N72" s="116">
        <f>Valuation!C94</f>
        <v>63057.424103273734</v>
      </c>
    </row>
    <row r="73" spans="2:14">
      <c r="B73" t="s">
        <v>3268</v>
      </c>
      <c r="C73" s="236"/>
      <c r="D73" s="116">
        <f>D60-D67</f>
        <v>49297.732702812878</v>
      </c>
      <c r="E73" s="116"/>
      <c r="F73" s="14">
        <f>D69-Valuation!C94-Valuation!C93</f>
        <v>1796.202350810227</v>
      </c>
      <c r="G73" s="389">
        <v>17700</v>
      </c>
      <c r="H73" s="14">
        <f>F73+G73</f>
        <v>19496.202350810228</v>
      </c>
      <c r="N73" s="116">
        <f>N68-N72</f>
        <v>-9798.2452428848555</v>
      </c>
    </row>
    <row r="74" spans="2:14">
      <c r="B74" t="s">
        <v>752</v>
      </c>
      <c r="C74" s="236"/>
      <c r="D74" s="116">
        <v>17.2</v>
      </c>
      <c r="F74" s="15">
        <f>F73/H73</f>
        <v>9.213088367107454E-2</v>
      </c>
      <c r="G74" s="15">
        <f>100%-F74</f>
        <v>0.90786911632892542</v>
      </c>
      <c r="N74" s="116">
        <f>N69-Valuation!C98</f>
        <v>-11.381561317795786</v>
      </c>
    </row>
    <row r="75" spans="2:14">
      <c r="B75" t="s">
        <v>3269</v>
      </c>
      <c r="C75" s="236"/>
      <c r="D75" s="116">
        <f>D73/D74</f>
        <v>2866.1472501635394</v>
      </c>
      <c r="N75" s="968">
        <v>0.5</v>
      </c>
    </row>
    <row r="76" spans="2:14">
      <c r="B76" s="40"/>
      <c r="C76" s="236"/>
      <c r="D76" s="236"/>
      <c r="N76" s="239">
        <f>N74*N75</f>
        <v>-5.6907806588978929</v>
      </c>
    </row>
    <row r="77" spans="2:14">
      <c r="C77" s="236"/>
      <c r="D77" s="116"/>
      <c r="N77" s="239"/>
    </row>
    <row r="78" spans="2:14">
      <c r="C78" s="236"/>
      <c r="D78" s="236"/>
      <c r="N78" s="239"/>
    </row>
    <row r="79" spans="2:14">
      <c r="B79" s="40"/>
      <c r="C79" s="236"/>
      <c r="D79" s="236"/>
      <c r="N79" s="239"/>
    </row>
    <row r="80" spans="2:14">
      <c r="C80" s="90"/>
      <c r="D80" s="90"/>
    </row>
    <row r="81" spans="2:14">
      <c r="C81" s="90"/>
      <c r="D81" s="90"/>
    </row>
    <row r="82" spans="2:14">
      <c r="B82" s="40" t="s">
        <v>3270</v>
      </c>
      <c r="C82" s="90"/>
      <c r="D82" s="235">
        <f>D60</f>
        <v>103826.41795689684</v>
      </c>
    </row>
    <row r="83" spans="2:14">
      <c r="C83" s="90"/>
      <c r="D83" s="90"/>
    </row>
    <row r="84" spans="2:14">
      <c r="B84" t="s">
        <v>3271</v>
      </c>
      <c r="D84" s="116">
        <f>E65*D60</f>
        <v>0</v>
      </c>
      <c r="N84" s="116">
        <f>N65*N60</f>
        <v>0</v>
      </c>
    </row>
    <row r="85" spans="2:14">
      <c r="B85" s="919" t="s">
        <v>3272</v>
      </c>
      <c r="C85" s="919"/>
      <c r="D85" s="959">
        <f>N85</f>
        <v>25000</v>
      </c>
      <c r="N85" s="959">
        <f>Analysis!U547</f>
        <v>25000</v>
      </c>
    </row>
    <row r="86" spans="2:14">
      <c r="B86" s="40" t="s">
        <v>3273</v>
      </c>
      <c r="C86" s="40"/>
      <c r="D86" s="235">
        <f>D84+D85</f>
        <v>25000</v>
      </c>
      <c r="N86" s="116">
        <f>N84+N85</f>
        <v>25000</v>
      </c>
    </row>
    <row r="87" spans="2:14">
      <c r="D87" s="116"/>
      <c r="N87" s="116"/>
    </row>
    <row r="88" spans="2:14">
      <c r="B88" t="s">
        <v>3274</v>
      </c>
      <c r="D88" s="116">
        <f>N88</f>
        <v>101040</v>
      </c>
      <c r="N88" s="116">
        <f>5052*20</f>
        <v>101040</v>
      </c>
    </row>
    <row r="89" spans="2:14">
      <c r="B89" t="s">
        <v>3275</v>
      </c>
      <c r="D89" s="116">
        <f>N89</f>
        <v>8636</v>
      </c>
      <c r="N89" s="116">
        <f>N59</f>
        <v>8636</v>
      </c>
    </row>
    <row r="90" spans="2:14">
      <c r="B90" s="919" t="s">
        <v>804</v>
      </c>
      <c r="C90" s="919"/>
      <c r="D90" s="959">
        <f>N90</f>
        <v>15148</v>
      </c>
      <c r="N90" s="959">
        <v>15148</v>
      </c>
    </row>
    <row r="91" spans="2:14">
      <c r="B91" s="40" t="s">
        <v>3276</v>
      </c>
      <c r="C91" s="40"/>
      <c r="D91" s="235">
        <f>N91</f>
        <v>77256</v>
      </c>
      <c r="N91" s="116">
        <f>N88-N89-N90</f>
        <v>77256</v>
      </c>
    </row>
    <row r="92" spans="2:14">
      <c r="B92" t="s">
        <v>3277</v>
      </c>
      <c r="D92" s="116">
        <f>D86-D91</f>
        <v>-52256</v>
      </c>
      <c r="F92" s="14"/>
      <c r="G92" s="14"/>
      <c r="N92" s="116">
        <f>N86-N91</f>
        <v>-52256</v>
      </c>
    </row>
    <row r="93" spans="2:14">
      <c r="B93" t="s">
        <v>3278</v>
      </c>
      <c r="D93" s="116">
        <f>D92/19</f>
        <v>-2750.3157894736842</v>
      </c>
      <c r="N93" s="116">
        <f>N92/19</f>
        <v>-2750.3157894736842</v>
      </c>
    </row>
    <row r="94" spans="2:14" ht="15.75" thickBot="1">
      <c r="B94" t="s">
        <v>1111</v>
      </c>
      <c r="D94" s="116">
        <v>573</v>
      </c>
      <c r="N94" s="116">
        <v>573</v>
      </c>
    </row>
    <row r="95" spans="2:14" ht="15.75" thickBot="1">
      <c r="B95" s="205" t="s">
        <v>3279</v>
      </c>
      <c r="C95" s="246"/>
      <c r="D95" s="247">
        <f>D93/D94</f>
        <v>-4.7998530357306883</v>
      </c>
      <c r="N95" s="237">
        <f>N93/N94</f>
        <v>-4.7998530357306883</v>
      </c>
    </row>
    <row r="96" spans="2:14" ht="15.75" thickBot="1">
      <c r="B96" t="s">
        <v>3280</v>
      </c>
      <c r="D96" s="234">
        <v>0.5</v>
      </c>
      <c r="N96" s="234">
        <v>0.5</v>
      </c>
    </row>
    <row r="97" spans="2:14" ht="15.75" thickBot="1">
      <c r="B97" s="205" t="s">
        <v>3281</v>
      </c>
      <c r="C97" s="246"/>
      <c r="D97" s="247">
        <f>D95*D96</f>
        <v>-2.3999265178653442</v>
      </c>
      <c r="N97" s="237">
        <f>N95*N96</f>
        <v>-2.3999265178653442</v>
      </c>
    </row>
    <row r="98" spans="2:14">
      <c r="C98" s="116"/>
      <c r="D98" s="116"/>
    </row>
    <row r="100" spans="2:14">
      <c r="C100" s="90"/>
      <c r="D100" s="90"/>
    </row>
    <row r="101" spans="2:14">
      <c r="C101" s="90"/>
      <c r="D101" s="90"/>
    </row>
    <row r="102" spans="2:14">
      <c r="B102" t="s">
        <v>3282</v>
      </c>
      <c r="C102" s="116">
        <v>40</v>
      </c>
      <c r="D102" s="90"/>
    </row>
    <row r="103" spans="2:14">
      <c r="B103" t="s">
        <v>105</v>
      </c>
      <c r="C103" s="116">
        <f>C102*N61</f>
        <v>34324.959999999999</v>
      </c>
      <c r="D103" s="90"/>
    </row>
    <row r="104" spans="2:14">
      <c r="B104" t="s">
        <v>109</v>
      </c>
      <c r="C104" s="116">
        <f>Valuation!C4</f>
        <v>59.58</v>
      </c>
      <c r="D104" s="90"/>
    </row>
    <row r="105" spans="2:14">
      <c r="B105" t="s">
        <v>105</v>
      </c>
      <c r="C105" s="116">
        <f>C104*N61</f>
        <v>51127.02792</v>
      </c>
      <c r="D105" s="90"/>
    </row>
    <row r="106" spans="2:14">
      <c r="B106" t="s">
        <v>105</v>
      </c>
      <c r="C106" s="116">
        <f>C105-C103</f>
        <v>16802.067920000001</v>
      </c>
      <c r="D106" s="90"/>
    </row>
    <row r="107" spans="2:14">
      <c r="C107" s="116">
        <f>C106/0.45</f>
        <v>37337.928711111112</v>
      </c>
      <c r="D107" s="90"/>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5"/>
  <sheetViews>
    <sheetView workbookViewId="0">
      <selection activeCell="M1" sqref="M1"/>
    </sheetView>
  </sheetViews>
  <sheetFormatPr defaultRowHeight="15"/>
  <cols>
    <col min="1" max="1" width="35" customWidth="1"/>
  </cols>
  <sheetData>
    <row r="1" spans="1:11">
      <c r="A1" t="s">
        <v>3283</v>
      </c>
    </row>
    <row r="3" spans="1:11" ht="15.75">
      <c r="A3" s="46"/>
      <c r="B3" s="47" t="str">
        <f>+[23]LiLAC!B33</f>
        <v>2016A</v>
      </c>
      <c r="C3" s="47" t="str">
        <f>+[23]LiLAC!C33</f>
        <v>2017E</v>
      </c>
      <c r="D3" s="47" t="str">
        <f>+[23]LiLAC!D33</f>
        <v>2018E</v>
      </c>
      <c r="E3" s="47" t="str">
        <f>+[23]LiLAC!E33</f>
        <v>2019E</v>
      </c>
      <c r="F3" s="47" t="str">
        <f>+[23]LiLAC!F33</f>
        <v>2020E</v>
      </c>
      <c r="G3" s="47" t="str">
        <f>+[23]LiLAC!G33</f>
        <v>2021E</v>
      </c>
      <c r="H3" s="47" t="str">
        <f>+[23]LiLAC!H33</f>
        <v>2022E</v>
      </c>
      <c r="I3" s="47" t="str">
        <f>+[23]LiLAC!I33</f>
        <v>2023E</v>
      </c>
      <c r="J3" s="47" t="str">
        <f>+[23]LiLAC!J33</f>
        <v>2024E</v>
      </c>
      <c r="K3" s="47" t="str">
        <f>+[23]LiLAC!K33</f>
        <v>2025E</v>
      </c>
    </row>
    <row r="4" spans="1:11" ht="15.75">
      <c r="A4" s="48" t="s">
        <v>3284</v>
      </c>
      <c r="B4" s="49">
        <f>+Fixed!K5</f>
        <v>7868</v>
      </c>
      <c r="C4" s="49">
        <f>+Fixed!L5</f>
        <v>8135</v>
      </c>
      <c r="D4" s="49">
        <f>+Fixed!M5</f>
        <v>8428</v>
      </c>
      <c r="E4" s="49">
        <f>+Fixed!N5</f>
        <v>8836.6749999999993</v>
      </c>
      <c r="F4" s="49">
        <f>+Fixed!O5</f>
        <v>8955</v>
      </c>
      <c r="G4" s="49">
        <f>+Fixed!P5</f>
        <v>9568.6</v>
      </c>
      <c r="H4" s="49">
        <f>+Fixed!Q5</f>
        <v>11560.218000000001</v>
      </c>
      <c r="I4" s="49">
        <f>+Fixed!R5</f>
        <v>15437.906999999999</v>
      </c>
      <c r="J4" s="49">
        <f>+Fixed!S5</f>
        <v>17429.384999999998</v>
      </c>
      <c r="K4" s="49">
        <f>+Fixed!T5</f>
        <v>19246.286</v>
      </c>
    </row>
    <row r="5" spans="1:11" ht="15.75">
      <c r="A5" s="48" t="s">
        <v>3285</v>
      </c>
      <c r="B5" s="49">
        <f>+Fixed!K46</f>
        <v>3303</v>
      </c>
      <c r="C5" s="49">
        <f>+Fixed!L46</f>
        <v>3405</v>
      </c>
      <c r="D5" s="49">
        <f>+Fixed!M46</f>
        <v>3593</v>
      </c>
      <c r="E5" s="49">
        <f>+Fixed!N46</f>
        <v>3628</v>
      </c>
      <c r="F5" s="49">
        <f>+Fixed!O46</f>
        <v>3933</v>
      </c>
      <c r="G5" s="49">
        <f>+Fixed!P46</f>
        <v>4153.0469999999996</v>
      </c>
      <c r="H5" s="49">
        <f>+Fixed!Q46</f>
        <v>4397.9939999999997</v>
      </c>
      <c r="I5" s="49">
        <f>+Fixed!R46</f>
        <v>4945.826</v>
      </c>
      <c r="J5" s="49">
        <f>+Fixed!S46</f>
        <v>5520.1790000000001</v>
      </c>
      <c r="K5" s="49">
        <f>+Fixed!T46</f>
        <v>5953.912127236581</v>
      </c>
    </row>
    <row r="6" spans="1:11" ht="15.75">
      <c r="A6" s="48" t="s">
        <v>343</v>
      </c>
      <c r="B6" s="49">
        <f>+Fixed!K15</f>
        <v>2971</v>
      </c>
      <c r="C6" s="49">
        <f>+Fixed!L15</f>
        <v>3040</v>
      </c>
      <c r="D6" s="49">
        <f>+Fixed!M15</f>
        <v>3202</v>
      </c>
      <c r="E6" s="49">
        <f>+Fixed!N15</f>
        <v>3224.7979999999998</v>
      </c>
      <c r="F6" s="49">
        <f>+Fixed!O15</f>
        <v>3413</v>
      </c>
      <c r="G6" s="49">
        <f>+Fixed!P15</f>
        <v>3539.82</v>
      </c>
      <c r="H6" s="49">
        <f>+Fixed!Q15</f>
        <v>3675.6149999999998</v>
      </c>
      <c r="I6" s="49">
        <f>+Fixed!R15</f>
        <v>3914.09</v>
      </c>
      <c r="J6" s="49">
        <f>+Fixed!S15</f>
        <v>3849.1570000000002</v>
      </c>
      <c r="K6" s="49">
        <f>+Fixed!T15</f>
        <v>4029.6190000000001</v>
      </c>
    </row>
    <row r="7" spans="1:11" ht="15.75">
      <c r="A7" s="48" t="s">
        <v>529</v>
      </c>
      <c r="B7" s="49">
        <f>+Fixed!K25</f>
        <v>2228</v>
      </c>
      <c r="C7" s="49">
        <f>+Fixed!L25</f>
        <v>2625</v>
      </c>
      <c r="D7" s="49">
        <f>+Fixed!M25</f>
        <v>2942</v>
      </c>
      <c r="E7" s="49">
        <f>+Fixed!N25</f>
        <v>3097.6280000000002</v>
      </c>
      <c r="F7" s="49">
        <f>+Fixed!O25</f>
        <v>3510</v>
      </c>
      <c r="G7" s="49">
        <f>+Fixed!P25</f>
        <v>3833.893</v>
      </c>
      <c r="H7" s="49">
        <f>+Fixed!Q25</f>
        <v>4137.8599999999997</v>
      </c>
      <c r="I7" s="49">
        <f>+Fixed!R25</f>
        <v>4721.5519999999997</v>
      </c>
      <c r="J7" s="49">
        <f>+Fixed!S25</f>
        <v>5311.95</v>
      </c>
      <c r="K7" s="49">
        <f>+Fixed!T25</f>
        <v>5805.7190000000001</v>
      </c>
    </row>
    <row r="8" spans="1:11" ht="15.75">
      <c r="A8" s="48" t="s">
        <v>3286</v>
      </c>
      <c r="B8" s="49">
        <f>+Fixed!K34</f>
        <v>1176</v>
      </c>
      <c r="C8" s="49">
        <f>+Fixed!L34</f>
        <v>1467</v>
      </c>
      <c r="D8" s="49">
        <f>+Fixed!M34</f>
        <v>1813</v>
      </c>
      <c r="E8" s="49">
        <f>+Fixed!N34</f>
        <v>2130.538</v>
      </c>
      <c r="F8" s="49">
        <f>+Fixed!O34</f>
        <v>2627</v>
      </c>
      <c r="G8" s="49">
        <f>+Fixed!P34</f>
        <v>3031.1190000000001</v>
      </c>
      <c r="H8" s="49">
        <f>+Fixed!Q34</f>
        <v>3404.125</v>
      </c>
      <c r="I8" s="49">
        <f>+Fixed!R34</f>
        <v>4082.0549999999998</v>
      </c>
      <c r="J8" s="49">
        <f>+Fixed!S34</f>
        <v>4766.9560000000001</v>
      </c>
      <c r="K8" s="49">
        <f>+Fixed!T34</f>
        <v>5138.7510000000002</v>
      </c>
    </row>
    <row r="9" spans="1:11" ht="15.75">
      <c r="A9" s="48" t="s">
        <v>150</v>
      </c>
      <c r="B9" s="49">
        <f>+Mobile!G9</f>
        <v>0</v>
      </c>
      <c r="C9" s="49">
        <f>+Mobile!H9</f>
        <v>0</v>
      </c>
      <c r="D9" s="49">
        <f>+Mobile!I9</f>
        <v>0</v>
      </c>
      <c r="E9" s="49">
        <f>+Mobile!J9</f>
        <v>0</v>
      </c>
      <c r="F9" s="49">
        <f>+Mobile!K9</f>
        <v>174.4</v>
      </c>
      <c r="G9" s="49">
        <f>+Mobile!L9</f>
        <v>428.3</v>
      </c>
      <c r="H9" s="49">
        <f>+Mobile!M9</f>
        <v>356.76900000000001</v>
      </c>
      <c r="I9" s="49">
        <f>+Mobile!N9</f>
        <v>433.38799999999998</v>
      </c>
      <c r="J9" s="49">
        <f>+Mobile!O9</f>
        <v>554.322</v>
      </c>
      <c r="K9" s="49">
        <f>+Mobile!P9</f>
        <v>679.29200000000003</v>
      </c>
    </row>
    <row r="10" spans="1:11" ht="15.75">
      <c r="A10" s="48"/>
      <c r="B10" s="49"/>
      <c r="C10" s="49"/>
      <c r="D10" s="49"/>
      <c r="E10" s="49"/>
      <c r="F10" s="49"/>
      <c r="G10" s="49"/>
      <c r="H10" s="49"/>
      <c r="I10" s="49"/>
      <c r="J10" s="49"/>
      <c r="K10" s="49"/>
    </row>
    <row r="11" spans="1:11" ht="15.75">
      <c r="A11" s="48" t="s">
        <v>3287</v>
      </c>
      <c r="B11" s="49"/>
      <c r="C11" s="49"/>
      <c r="D11" s="49"/>
      <c r="E11" s="49"/>
      <c r="F11" s="49"/>
      <c r="G11" s="49"/>
      <c r="H11" s="49"/>
      <c r="I11" s="49"/>
      <c r="J11" s="49"/>
      <c r="K11" s="49"/>
    </row>
    <row r="12" spans="1:11" ht="15.75">
      <c r="A12" s="48" t="s">
        <v>343</v>
      </c>
      <c r="B12" s="49">
        <f>+Fixed!K59</f>
        <v>7775.6624948499993</v>
      </c>
      <c r="C12" s="49">
        <f>+Fixed!L59</f>
        <v>7490.3016378000002</v>
      </c>
      <c r="D12" s="49">
        <f>+Fixed!M59</f>
        <v>8128.7349387000004</v>
      </c>
      <c r="E12" s="49">
        <f>+Fixed!N59</f>
        <v>8966.2410969499997</v>
      </c>
      <c r="F12" s="49">
        <f>+Fixed!O59</f>
        <v>9245.9353932000013</v>
      </c>
      <c r="G12" s="49">
        <f>+Fixed!P59</f>
        <v>9480.2566471499995</v>
      </c>
      <c r="H12" s="49">
        <f>+Fixed!Q59</f>
        <v>9876.7625811000016</v>
      </c>
      <c r="I12" s="49">
        <f>+Fixed!R59</f>
        <v>10778.534942549999</v>
      </c>
      <c r="J12" s="49">
        <f>+Fixed!S59</f>
        <v>11093.579</v>
      </c>
      <c r="K12" s="49">
        <f>+Fixed!T59</f>
        <v>11583.474063991656</v>
      </c>
    </row>
    <row r="13" spans="1:11" ht="15.75">
      <c r="A13" s="48" t="s">
        <v>529</v>
      </c>
      <c r="B13" s="49">
        <f>+Fixed!K60</f>
        <v>4457.5604041000006</v>
      </c>
      <c r="C13" s="49">
        <f>+Fixed!L60</f>
        <v>5137.1891435999996</v>
      </c>
      <c r="D13" s="49">
        <f>+Fixed!M60</f>
        <v>6056.1526047000007</v>
      </c>
      <c r="E13" s="49">
        <f>+Fixed!N60</f>
        <v>6617.4883136999997</v>
      </c>
      <c r="F13" s="49">
        <f>+Fixed!O60</f>
        <v>7178.6430369</v>
      </c>
      <c r="G13" s="49">
        <f>+Fixed!P60</f>
        <v>8202.1739376000005</v>
      </c>
      <c r="H13" s="49">
        <f>+Fixed!Q60</f>
        <v>8988.8520795000004</v>
      </c>
      <c r="I13" s="49">
        <f>+Fixed!R60</f>
        <v>10278.634920150002</v>
      </c>
      <c r="J13" s="49">
        <f>+Fixed!S60</f>
        <v>12350.602000000001</v>
      </c>
      <c r="K13" s="49">
        <f>+Fixed!T60</f>
        <v>13814.454901958286</v>
      </c>
    </row>
    <row r="14" spans="1:11" ht="15.75">
      <c r="A14" s="48" t="s">
        <v>1969</v>
      </c>
      <c r="B14" s="49">
        <f>+Fixed!K61</f>
        <v>1641.2073165000002</v>
      </c>
      <c r="C14" s="49">
        <f>+Fixed!L61</f>
        <v>1641.2073165000002</v>
      </c>
      <c r="D14" s="49">
        <f>+Fixed!M61</f>
        <v>1656.3104122499999</v>
      </c>
      <c r="E14" s="49">
        <f>+Fixed!N61</f>
        <v>1595.4044411499999</v>
      </c>
      <c r="F14" s="49">
        <f>+Fixed!O61</f>
        <v>1832.6767752000001</v>
      </c>
      <c r="G14" s="49">
        <f>+Fixed!P61</f>
        <v>2337.3784965</v>
      </c>
      <c r="H14" s="49">
        <f>+Fixed!Q61</f>
        <v>2459.61045375</v>
      </c>
      <c r="I14" s="49">
        <f>+Fixed!R61</f>
        <v>2556.1935830999996</v>
      </c>
      <c r="J14" s="49">
        <f>+Fixed!S61</f>
        <v>2893.0630000000001</v>
      </c>
      <c r="K14" s="49">
        <f>+Fixed!T61</f>
        <v>3157.2575684415278</v>
      </c>
    </row>
    <row r="15" spans="1:11" ht="15.75">
      <c r="A15" s="48" t="s">
        <v>3288</v>
      </c>
      <c r="B15" s="50">
        <f>SUM(B12:B14)</f>
        <v>13874.43021545</v>
      </c>
      <c r="C15" s="50">
        <f t="shared" ref="C15:K15" si="0">SUM(C12:C14)</f>
        <v>14268.6980979</v>
      </c>
      <c r="D15" s="50">
        <f t="shared" si="0"/>
        <v>15841.197955650001</v>
      </c>
      <c r="E15" s="50">
        <f t="shared" si="0"/>
        <v>17179.133851799998</v>
      </c>
      <c r="F15" s="50">
        <f t="shared" si="0"/>
        <v>18257.255205300004</v>
      </c>
      <c r="G15" s="50">
        <f t="shared" si="0"/>
        <v>20019.809081250001</v>
      </c>
      <c r="H15" s="50">
        <f t="shared" si="0"/>
        <v>21325.225114350003</v>
      </c>
      <c r="I15" s="50">
        <f t="shared" si="0"/>
        <v>23613.363445800002</v>
      </c>
      <c r="J15" s="50">
        <f t="shared" si="0"/>
        <v>26337.243999999999</v>
      </c>
      <c r="K15" s="50">
        <f t="shared" si="0"/>
        <v>28555.186534391469</v>
      </c>
    </row>
    <row r="16" spans="1:11" ht="15.75">
      <c r="A16" s="48" t="s">
        <v>150</v>
      </c>
      <c r="B16" s="49">
        <f>+Mobile!G23</f>
        <v>0</v>
      </c>
      <c r="C16" s="49">
        <f>+Mobile!H23</f>
        <v>0</v>
      </c>
      <c r="D16" s="49">
        <f>+Mobile!I23</f>
        <v>0</v>
      </c>
      <c r="E16" s="49">
        <f>+Mobile!J23</f>
        <v>0</v>
      </c>
      <c r="F16" s="49">
        <f>+Mobile!K23</f>
        <v>130.80000000000001</v>
      </c>
      <c r="G16" s="49">
        <f>+Mobile!L23</f>
        <v>361.62000000000006</v>
      </c>
      <c r="H16" s="49">
        <f>+Mobile!M23</f>
        <v>541.69760999999994</v>
      </c>
      <c r="I16" s="49">
        <f>+Mobile!N23</f>
        <v>673.21376399999997</v>
      </c>
      <c r="J16" s="49">
        <f>+Mobile!O23</f>
        <v>681.51990000000001</v>
      </c>
      <c r="K16" s="49">
        <f>+Mobile!P23</f>
        <v>888.20207999999991</v>
      </c>
    </row>
    <row r="17" spans="1:11" ht="15.75">
      <c r="A17" s="48" t="s">
        <v>3289</v>
      </c>
      <c r="B17" s="50">
        <f>+B16+B15</f>
        <v>13874.43021545</v>
      </c>
      <c r="C17" s="50">
        <f t="shared" ref="C17:K17" si="1">+C16+C15</f>
        <v>14268.6980979</v>
      </c>
      <c r="D17" s="50">
        <f t="shared" si="1"/>
        <v>15841.197955650001</v>
      </c>
      <c r="E17" s="50">
        <f t="shared" si="1"/>
        <v>17179.133851799998</v>
      </c>
      <c r="F17" s="50">
        <f t="shared" si="1"/>
        <v>18388.055205300003</v>
      </c>
      <c r="G17" s="50">
        <f t="shared" si="1"/>
        <v>20381.42908125</v>
      </c>
      <c r="H17" s="50">
        <f t="shared" si="1"/>
        <v>21866.922724350003</v>
      </c>
      <c r="I17" s="50">
        <f t="shared" si="1"/>
        <v>24286.577209800002</v>
      </c>
      <c r="J17" s="50">
        <f t="shared" si="1"/>
        <v>27018.763899999998</v>
      </c>
      <c r="K17" s="50">
        <f t="shared" si="1"/>
        <v>29443.388614391468</v>
      </c>
    </row>
    <row r="18" spans="1:11" ht="15.75">
      <c r="A18" s="48" t="s">
        <v>3290</v>
      </c>
      <c r="B18" s="49">
        <f>+Fixed!K79</f>
        <v>3125</v>
      </c>
      <c r="C18" s="49">
        <f>+Fixed!L79</f>
        <v>2815</v>
      </c>
      <c r="D18" s="49">
        <f>+Fixed!M79</f>
        <v>3448</v>
      </c>
      <c r="E18" s="49">
        <f>+Fixed!N79</f>
        <v>4257.2629999999999</v>
      </c>
      <c r="F18" s="49">
        <f>+Fixed!O79</f>
        <v>3905</v>
      </c>
      <c r="G18" s="49">
        <f>+Fixed!P79</f>
        <v>4197.8819999999996</v>
      </c>
      <c r="H18" s="49">
        <f>+Fixed!Q79</f>
        <v>5179.7300000000005</v>
      </c>
      <c r="I18" s="49">
        <f>+Fixed!R79</f>
        <v>5402.9849999999997</v>
      </c>
      <c r="J18" s="49">
        <f>+Fixed!S79</f>
        <v>5659.3059999999996</v>
      </c>
      <c r="K18" s="49">
        <f>+Fixed!T79</f>
        <v>5426.1180000000004</v>
      </c>
    </row>
    <row r="19" spans="1:11" ht="15.75">
      <c r="A19" s="48" t="s">
        <v>209</v>
      </c>
      <c r="B19" s="49">
        <f>+B20-B18-B17</f>
        <v>-42.430215450000105</v>
      </c>
      <c r="C19" s="49">
        <f t="shared" ref="C19:K19" si="2">+C20-C18-C17</f>
        <v>203.30190210000001</v>
      </c>
      <c r="D19" s="49">
        <f t="shared" si="2"/>
        <v>146.80204434999905</v>
      </c>
      <c r="E19" s="49">
        <f t="shared" si="2"/>
        <v>167.60314820000349</v>
      </c>
      <c r="F19" s="49">
        <f t="shared" si="2"/>
        <v>89.944794699997146</v>
      </c>
      <c r="G19" s="49">
        <f t="shared" si="2"/>
        <v>54.688918750001903</v>
      </c>
      <c r="H19" s="49">
        <f t="shared" si="2"/>
        <v>108.90227564999805</v>
      </c>
      <c r="I19" s="49">
        <f t="shared" si="2"/>
        <v>180.97779019999871</v>
      </c>
      <c r="J19" s="49">
        <f t="shared" si="2"/>
        <v>162.77809999999954</v>
      </c>
      <c r="K19" s="49">
        <f t="shared" si="2"/>
        <v>560.20338560852906</v>
      </c>
    </row>
    <row r="20" spans="1:11" ht="15.75">
      <c r="A20" s="48" t="s">
        <v>3291</v>
      </c>
      <c r="B20" s="49">
        <f>+Master!P8</f>
        <v>16957</v>
      </c>
      <c r="C20" s="49">
        <f>+Master!Q8</f>
        <v>17287</v>
      </c>
      <c r="D20" s="49">
        <f>+Master!R8</f>
        <v>19436</v>
      </c>
      <c r="E20" s="49">
        <f>+Master!S8</f>
        <v>21604</v>
      </c>
      <c r="F20" s="49">
        <f>+Master!T8</f>
        <v>22383</v>
      </c>
      <c r="G20" s="49">
        <f>+Master!U8</f>
        <v>24634</v>
      </c>
      <c r="H20" s="49">
        <f>+Master!V8</f>
        <v>27155.555</v>
      </c>
      <c r="I20" s="49">
        <f>+Master!W8</f>
        <v>29870.54</v>
      </c>
      <c r="J20" s="49">
        <f>+Master!X8</f>
        <v>32840.847999999998</v>
      </c>
      <c r="K20" s="49">
        <f>+Master!Y8</f>
        <v>35429.71</v>
      </c>
    </row>
    <row r="21" spans="1:11" ht="15.75">
      <c r="A21" s="48"/>
      <c r="B21" s="49"/>
      <c r="C21" s="49"/>
      <c r="D21" s="49"/>
      <c r="E21" s="49"/>
      <c r="F21" s="49"/>
      <c r="G21" s="49"/>
      <c r="H21" s="49"/>
      <c r="I21" s="49"/>
      <c r="J21" s="49"/>
      <c r="K21" s="49"/>
    </row>
    <row r="22" spans="1:11" ht="15.75">
      <c r="A22" s="48" t="s">
        <v>295</v>
      </c>
      <c r="B22" s="49">
        <f>+Master!P13</f>
        <v>6915</v>
      </c>
      <c r="C22" s="49">
        <f>+Master!Q13</f>
        <v>7715</v>
      </c>
      <c r="D22" s="49">
        <f>+Master!R13</f>
        <v>9347</v>
      </c>
      <c r="E22" s="49">
        <f>+Master!S13</f>
        <v>10161</v>
      </c>
      <c r="F22" s="49">
        <f>+Master!T13</f>
        <v>11037</v>
      </c>
      <c r="G22" s="49">
        <f>+Master!U13</f>
        <v>12116</v>
      </c>
      <c r="H22" s="49">
        <f>+Master!V13</f>
        <v>12769.018</v>
      </c>
      <c r="I22" s="49">
        <f>+Master!W13</f>
        <v>13319.993</v>
      </c>
      <c r="J22" s="49">
        <f>+Master!X13</f>
        <v>14629.852999999999</v>
      </c>
      <c r="K22" s="49">
        <f>+Master!Y13</f>
        <v>15936.034</v>
      </c>
    </row>
    <row r="23" spans="1:11" ht="15.75">
      <c r="A23" s="48" t="s">
        <v>147</v>
      </c>
      <c r="B23" s="49">
        <f>+Master!P45</f>
        <v>4874</v>
      </c>
      <c r="C23" s="49">
        <f>+Master!Q45</f>
        <v>4692</v>
      </c>
      <c r="D23" s="49">
        <f>+Master!R45</f>
        <v>5753.1229999999996</v>
      </c>
      <c r="E23" s="49">
        <f>+Master!S45</f>
        <v>6535</v>
      </c>
      <c r="F23" s="49">
        <f>+Master!T45</f>
        <v>8081</v>
      </c>
      <c r="G23" s="49">
        <f>+Master!U45</f>
        <v>9466.5730000000003</v>
      </c>
      <c r="H23" s="49">
        <f>+Master!V45</f>
        <v>11836</v>
      </c>
      <c r="I23" s="49">
        <f>+Master!W45</f>
        <v>12949</v>
      </c>
      <c r="J23" s="49">
        <f>+Master!X45</f>
        <v>10340</v>
      </c>
      <c r="K23" s="49">
        <f>+Master!Y45</f>
        <v>9187.3919999999998</v>
      </c>
    </row>
    <row r="24" spans="1:11" ht="15.75">
      <c r="A24" s="48" t="s">
        <v>3292</v>
      </c>
      <c r="B24" s="51"/>
      <c r="C24" s="51"/>
      <c r="D24" s="51"/>
      <c r="E24" s="51"/>
      <c r="F24" s="51"/>
      <c r="G24" s="51"/>
      <c r="H24" s="51"/>
      <c r="I24" s="51"/>
      <c r="J24" s="51"/>
      <c r="K24" s="51"/>
    </row>
    <row r="25" spans="1:11" ht="15.75">
      <c r="A25" s="48" t="s">
        <v>3293</v>
      </c>
      <c r="B25" s="51"/>
      <c r="C25" s="51"/>
      <c r="D25" s="51"/>
      <c r="E25" s="51"/>
      <c r="F25" s="51"/>
      <c r="G25" s="51"/>
      <c r="H25" s="51"/>
      <c r="I25" s="51"/>
      <c r="J25" s="51"/>
      <c r="K25" s="5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2795A-7615-471B-9865-AF8804049F7A}">
  <dimension ref="A3"/>
  <sheetViews>
    <sheetView workbookViewId="0"/>
  </sheetViews>
  <sheetFormatPr defaultRowHeight="15"/>
  <sheetData>
    <row r="3" spans="1:1">
      <c r="A3" t="s">
        <v>3294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20EEF-F0FA-421E-A3E0-5452515D30D6}">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1C35-7057-4027-88B3-C013B3122FC3}">
  <dimension ref="B3:T28"/>
  <sheetViews>
    <sheetView showGridLines="0" topLeftCell="B1" zoomScale="72" zoomScaleNormal="72" workbookViewId="0">
      <selection activeCell="B1" sqref="B1"/>
    </sheetView>
  </sheetViews>
  <sheetFormatPr defaultColWidth="8.7109375" defaultRowHeight="15.75"/>
  <cols>
    <col min="1" max="1" width="4.7109375" style="157" customWidth="1"/>
    <col min="2" max="2" width="31" style="157" customWidth="1"/>
    <col min="3" max="4" width="0" style="157" hidden="1" customWidth="1"/>
    <col min="5" max="5" width="9.7109375" style="157" hidden="1" customWidth="1"/>
    <col min="6" max="9" width="9.7109375" style="157" customWidth="1"/>
    <col min="10" max="10" width="16.7109375" style="157" customWidth="1"/>
    <col min="11" max="11" width="3.42578125" style="157" customWidth="1"/>
    <col min="12" max="12" width="27.42578125" style="157" customWidth="1"/>
    <col min="13" max="14" width="0" style="157" hidden="1" customWidth="1"/>
    <col min="15" max="19" width="9.7109375" style="157" customWidth="1"/>
    <col min="20" max="20" width="15.5703125" style="157" customWidth="1"/>
    <col min="21" max="16384" width="8.7109375" style="157"/>
  </cols>
  <sheetData>
    <row r="3" spans="2:20">
      <c r="B3" s="845" t="s">
        <v>11</v>
      </c>
      <c r="C3" s="846">
        <v>2022</v>
      </c>
      <c r="D3" s="846" t="s">
        <v>12</v>
      </c>
      <c r="E3" s="846">
        <v>2024</v>
      </c>
      <c r="F3" s="846" t="s">
        <v>13</v>
      </c>
      <c r="G3" s="846" t="s">
        <v>14</v>
      </c>
      <c r="H3" s="846" t="s">
        <v>15</v>
      </c>
      <c r="I3" s="846" t="s">
        <v>16</v>
      </c>
      <c r="J3" s="846" t="s">
        <v>17</v>
      </c>
      <c r="K3" s="729"/>
      <c r="L3" s="845" t="str">
        <f t="shared" ref="L3:Q3" si="0">B3</f>
        <v>MXN m</v>
      </c>
      <c r="M3" s="846">
        <f t="shared" si="0"/>
        <v>2022</v>
      </c>
      <c r="N3" s="846" t="str">
        <f t="shared" si="0"/>
        <v>2023e</v>
      </c>
      <c r="O3" s="846">
        <f t="shared" si="0"/>
        <v>2024</v>
      </c>
      <c r="P3" s="846" t="str">
        <f t="shared" si="0"/>
        <v>2025e</v>
      </c>
      <c r="Q3" s="846" t="str">
        <f t="shared" si="0"/>
        <v>2026e</v>
      </c>
      <c r="R3" s="846" t="str">
        <f>H3</f>
        <v>2027e</v>
      </c>
      <c r="S3" s="846" t="str">
        <f>I3</f>
        <v>2028e</v>
      </c>
      <c r="T3" s="846" t="str">
        <f>J3</f>
        <v>25-28e CAGR</v>
      </c>
    </row>
    <row r="4" spans="2:20">
      <c r="B4" s="730" t="s">
        <v>18</v>
      </c>
      <c r="C4" s="730"/>
      <c r="D4" s="730"/>
      <c r="E4" s="730"/>
      <c r="F4" s="731">
        <f>Valuation!C4</f>
        <v>59.58</v>
      </c>
      <c r="G4" s="730"/>
      <c r="H4" s="730"/>
      <c r="I4" s="730"/>
      <c r="J4" s="730"/>
      <c r="K4" s="732"/>
      <c r="L4" s="730" t="s">
        <v>19</v>
      </c>
      <c r="M4" s="733">
        <f>Valuation!O41</f>
        <v>5.1323740517869103</v>
      </c>
      <c r="N4" s="733">
        <f>Valuation!P41</f>
        <v>5.4787286141967195</v>
      </c>
      <c r="O4" s="733">
        <f>Valuation!Q41</f>
        <v>5.106426413853919</v>
      </c>
      <c r="P4" s="733">
        <f>Valuation!R41</f>
        <v>4.6548560902919771</v>
      </c>
      <c r="Q4" s="733">
        <f>Valuation!S41</f>
        <v>4.0744668684042509</v>
      </c>
      <c r="R4" s="733">
        <f>Valuation!T41</f>
        <v>3.5045478553664324</v>
      </c>
      <c r="S4" s="733">
        <f>Valuation!U41</f>
        <v>2.9807718182073519</v>
      </c>
      <c r="T4" s="730"/>
    </row>
    <row r="5" spans="2:20">
      <c r="B5" s="732" t="s">
        <v>20</v>
      </c>
      <c r="C5" s="734">
        <f>Valuation!O5</f>
        <v>857.61749999999995</v>
      </c>
      <c r="D5" s="734">
        <f>Valuation!P5</f>
        <v>858.50049999999999</v>
      </c>
      <c r="E5" s="734">
        <f>Valuation!Q5</f>
        <v>858.50049999999999</v>
      </c>
      <c r="F5" s="734">
        <f>Valuation!R5</f>
        <v>858.12400000000002</v>
      </c>
      <c r="G5" s="734">
        <f>Valuation!S5</f>
        <v>858.12400000000002</v>
      </c>
      <c r="H5" s="734">
        <f>Valuation!T5</f>
        <v>858.12400000000002</v>
      </c>
      <c r="I5" s="734">
        <f>Valuation!U5</f>
        <v>858.12400000000002</v>
      </c>
      <c r="J5" s="732"/>
      <c r="K5" s="732"/>
      <c r="L5" s="732" t="s">
        <v>21</v>
      </c>
      <c r="M5" s="735">
        <f>Valuation!O42</f>
        <v>70.240206137502156</v>
      </c>
      <c r="N5" s="735">
        <f>Valuation!P42</f>
        <v>196.70620952416874</v>
      </c>
      <c r="O5" s="735">
        <f>Valuation!Q42</f>
        <v>17.414645161500875</v>
      </c>
      <c r="P5" s="735">
        <f>Valuation!R42</f>
        <v>10.991832863559811</v>
      </c>
      <c r="Q5" s="735">
        <f>Valuation!S42</f>
        <v>9.2835953963641167</v>
      </c>
      <c r="R5" s="735">
        <f>Valuation!T42</f>
        <v>7.3276909703116306</v>
      </c>
      <c r="S5" s="735">
        <f>Valuation!U42</f>
        <v>5.8373448106560639</v>
      </c>
      <c r="T5" s="732"/>
    </row>
    <row r="6" spans="2:20">
      <c r="B6" s="730" t="s">
        <v>22</v>
      </c>
      <c r="C6" s="731">
        <f t="shared" ref="C6:I6" si="1">C5*$F4</f>
        <v>51096.850649999993</v>
      </c>
      <c r="D6" s="731">
        <f t="shared" si="1"/>
        <v>51149.459790000001</v>
      </c>
      <c r="E6" s="731">
        <f t="shared" si="1"/>
        <v>51149.459790000001</v>
      </c>
      <c r="F6" s="731">
        <f t="shared" si="1"/>
        <v>51127.02792</v>
      </c>
      <c r="G6" s="731">
        <f t="shared" si="1"/>
        <v>51127.02792</v>
      </c>
      <c r="H6" s="731">
        <f t="shared" si="1"/>
        <v>51127.02792</v>
      </c>
      <c r="I6" s="731">
        <f t="shared" si="1"/>
        <v>51127.02792</v>
      </c>
      <c r="J6" s="730"/>
      <c r="K6" s="732"/>
      <c r="L6" s="730" t="s">
        <v>23</v>
      </c>
      <c r="M6" s="733">
        <f>Valuation!O43</f>
        <v>96.219460462331725</v>
      </c>
      <c r="N6" s="733">
        <f>Valuation!P43</f>
        <v>285.08146307850546</v>
      </c>
      <c r="O6" s="733">
        <f>Valuation!Q43</f>
        <v>24.878064516429824</v>
      </c>
      <c r="P6" s="733">
        <f>Valuation!R43</f>
        <v>15.702618376514016</v>
      </c>
      <c r="Q6" s="733">
        <f>Valuation!S43</f>
        <v>12.46120187431425</v>
      </c>
      <c r="R6" s="733">
        <f>Valuation!T43</f>
        <v>10.468129957588044</v>
      </c>
      <c r="S6" s="733">
        <f>Valuation!U43</f>
        <v>8.3390640152229487</v>
      </c>
      <c r="T6" s="730"/>
    </row>
    <row r="7" spans="2:20">
      <c r="B7" s="732" t="s">
        <v>24</v>
      </c>
      <c r="C7" s="734">
        <f>Valuation!O11</f>
        <v>12842.623</v>
      </c>
      <c r="D7" s="734">
        <f>Valuation!P11</f>
        <v>20231.263999999999</v>
      </c>
      <c r="E7" s="734">
        <f>Valuation!Q11</f>
        <v>21960.904999999999</v>
      </c>
      <c r="F7" s="734">
        <f>Valuation!R11</f>
        <v>21457.014000000003</v>
      </c>
      <c r="G7" s="734">
        <f>Valuation!S11</f>
        <v>21013.537985576048</v>
      </c>
      <c r="H7" s="734">
        <f>Valuation!T11</f>
        <v>20295.302956888452</v>
      </c>
      <c r="I7" s="734">
        <f>Valuation!U11</f>
        <v>19152.179257487169</v>
      </c>
      <c r="J7" s="732"/>
      <c r="K7" s="732"/>
      <c r="L7" s="732" t="s">
        <v>25</v>
      </c>
      <c r="M7" s="735">
        <f>Valuation!O44</f>
        <v>10.037888526545684</v>
      </c>
      <c r="N7" s="735">
        <f>Valuation!P44</f>
        <v>11.922769750838865</v>
      </c>
      <c r="O7" s="735">
        <f>Valuation!Q44</f>
        <v>12.103610492480028</v>
      </c>
      <c r="P7" s="735">
        <f>Valuation!R44</f>
        <v>11.590366476472854</v>
      </c>
      <c r="Q7" s="735">
        <f>Valuation!S44</f>
        <v>9.2187628738307925</v>
      </c>
      <c r="R7" s="735">
        <f>Valuation!T44</f>
        <v>7.2506545253326147</v>
      </c>
      <c r="S7" s="735">
        <f>Valuation!U44</f>
        <v>5.6755612375681244</v>
      </c>
      <c r="T7" s="732"/>
    </row>
    <row r="8" spans="2:20">
      <c r="B8" s="730" t="s">
        <v>26</v>
      </c>
      <c r="C8" s="731">
        <f>Valuation!O10</f>
        <v>1068</v>
      </c>
      <c r="D8" s="731">
        <f>Valuation!P10</f>
        <v>1068</v>
      </c>
      <c r="E8" s="731">
        <f>Valuation!Q10</f>
        <v>1068</v>
      </c>
      <c r="F8" s="731">
        <f>Valuation!R10</f>
        <v>1068</v>
      </c>
      <c r="G8" s="731">
        <f>Valuation!S10</f>
        <v>1068</v>
      </c>
      <c r="H8" s="731">
        <f>Valuation!T10</f>
        <v>1068</v>
      </c>
      <c r="I8" s="731">
        <f>Valuation!U10</f>
        <v>1068</v>
      </c>
      <c r="J8" s="730"/>
      <c r="K8" s="732"/>
      <c r="L8" s="730" t="s">
        <v>27</v>
      </c>
      <c r="M8" s="733">
        <f>Valuation!O45</f>
        <v>-78.981287706840348</v>
      </c>
      <c r="N8" s="733">
        <f>Valuation!P45</f>
        <v>-47.808125913583282</v>
      </c>
      <c r="O8" s="733">
        <f>Valuation!Q45</f>
        <v>30.640127156112918</v>
      </c>
      <c r="P8" s="733">
        <f>Valuation!R45</f>
        <v>15.362617674363047</v>
      </c>
      <c r="Q8" s="733">
        <f>Valuation!S45</f>
        <v>12.491270306897349</v>
      </c>
      <c r="R8" s="733">
        <f>Valuation!T45</f>
        <v>10.516014286205397</v>
      </c>
      <c r="S8" s="733">
        <f>Valuation!U45</f>
        <v>8.4421986153244131</v>
      </c>
      <c r="T8" s="730"/>
    </row>
    <row r="9" spans="2:20">
      <c r="B9" s="847" t="s">
        <v>28</v>
      </c>
      <c r="C9" s="848">
        <f>Valuation!O14</f>
        <v>0</v>
      </c>
      <c r="D9" s="848">
        <f>Valuation!P14</f>
        <v>0</v>
      </c>
      <c r="E9" s="848">
        <f>Valuation!Q14</f>
        <v>0</v>
      </c>
      <c r="F9" s="848">
        <f>Valuation!R14</f>
        <v>0</v>
      </c>
      <c r="G9" s="848">
        <f>Valuation!S14</f>
        <v>-3175.0588000000002</v>
      </c>
      <c r="H9" s="848">
        <f>Valuation!T14</f>
        <v>-6811.8281248600015</v>
      </c>
      <c r="I9" s="848">
        <f>Valuation!U14</f>
        <v>-10967.973187380003</v>
      </c>
      <c r="J9" s="732"/>
      <c r="K9" s="732"/>
      <c r="L9" s="732" t="s">
        <v>29</v>
      </c>
      <c r="M9" s="736">
        <f>Valuation!O48</f>
        <v>-8.5966027655804647E-2</v>
      </c>
      <c r="N9" s="736">
        <f>Valuation!P48</f>
        <v>-6.5694586888960724E-2</v>
      </c>
      <c r="O9" s="736">
        <f>Anna!AC197</f>
        <v>2.8631492013485652E-4</v>
      </c>
      <c r="P9" s="736">
        <f>Anna!AD197</f>
        <v>5.0965110263668886E-2</v>
      </c>
      <c r="Q9" s="736">
        <f>Anna!AE197</f>
        <v>6.596186566778893E-2</v>
      </c>
      <c r="R9" s="736">
        <f>Anna!AF197</f>
        <v>7.981033291734381E-2</v>
      </c>
      <c r="S9" s="736">
        <f>Anna!AG197</f>
        <v>9.7640648048344783E-2</v>
      </c>
      <c r="T9" s="732"/>
    </row>
    <row r="10" spans="2:20">
      <c r="B10" s="730" t="s">
        <v>30</v>
      </c>
      <c r="C10" s="731">
        <f t="shared" ref="C10:I10" si="2">C6+C7+C8+C9</f>
        <v>65007.473649999993</v>
      </c>
      <c r="D10" s="731">
        <f t="shared" si="2"/>
        <v>72448.723790000004</v>
      </c>
      <c r="E10" s="731">
        <f t="shared" si="2"/>
        <v>74178.364789999992</v>
      </c>
      <c r="F10" s="731">
        <f t="shared" si="2"/>
        <v>73652.041920000003</v>
      </c>
      <c r="G10" s="731">
        <f t="shared" si="2"/>
        <v>70033.507105576049</v>
      </c>
      <c r="H10" s="731">
        <f t="shared" si="2"/>
        <v>65678.502752028449</v>
      </c>
      <c r="I10" s="731">
        <f t="shared" si="2"/>
        <v>60379.233990107168</v>
      </c>
      <c r="J10" s="730"/>
      <c r="K10" s="732"/>
      <c r="L10" s="730"/>
      <c r="M10" s="737"/>
      <c r="N10" s="737"/>
      <c r="O10" s="737"/>
      <c r="P10" s="737"/>
      <c r="Q10" s="737"/>
      <c r="R10" s="737"/>
      <c r="S10" s="737"/>
      <c r="T10" s="730"/>
    </row>
    <row r="11" spans="2:20">
      <c r="B11" s="738" t="s">
        <v>31</v>
      </c>
      <c r="C11" s="732"/>
      <c r="D11" s="732"/>
      <c r="E11" s="732"/>
      <c r="F11" s="732"/>
      <c r="G11" s="732"/>
      <c r="H11" s="732"/>
      <c r="I11" s="732"/>
      <c r="J11" s="732"/>
      <c r="K11" s="732"/>
      <c r="L11" s="732"/>
      <c r="M11" s="732"/>
      <c r="N11" s="732"/>
      <c r="O11" s="732"/>
      <c r="P11" s="732"/>
      <c r="Q11" s="732"/>
      <c r="R11" s="732"/>
      <c r="S11" s="732"/>
      <c r="T11" s="732"/>
    </row>
    <row r="12" spans="2:20">
      <c r="B12" s="730" t="str">
        <f>Valuation!B21</f>
        <v>Adjusted EBITDA</v>
      </c>
      <c r="C12" s="731">
        <f>Valuation!O21</f>
        <v>12769.018</v>
      </c>
      <c r="D12" s="731">
        <f>Valuation!P21</f>
        <v>13319.993</v>
      </c>
      <c r="E12" s="731">
        <f>Valuation!Q21</f>
        <v>14629.852999999999</v>
      </c>
      <c r="F12" s="731">
        <f>Valuation!R21</f>
        <v>15936.034</v>
      </c>
      <c r="G12" s="731">
        <f>Valuation!S21</f>
        <v>17317.949166000006</v>
      </c>
      <c r="H12" s="731">
        <f>Valuation!T21</f>
        <v>18891.568466000008</v>
      </c>
      <c r="I12" s="731">
        <f>Valuation!U21</f>
        <v>20433.344349966705</v>
      </c>
      <c r="J12" s="730"/>
      <c r="K12" s="732"/>
      <c r="L12" s="730"/>
      <c r="M12" s="730"/>
      <c r="N12" s="730"/>
      <c r="O12" s="730"/>
      <c r="P12" s="730"/>
      <c r="Q12" s="730"/>
      <c r="R12" s="730"/>
      <c r="S12" s="730"/>
      <c r="T12" s="730"/>
    </row>
    <row r="13" spans="2:20">
      <c r="B13" s="732" t="str">
        <f>Valuation!B23</f>
        <v xml:space="preserve">Less Capex </v>
      </c>
      <c r="C13" s="734">
        <f>Valuation!O23</f>
        <v>-11836</v>
      </c>
      <c r="D13" s="734">
        <f>Valuation!P23</f>
        <v>-12949</v>
      </c>
      <c r="E13" s="734">
        <f>Valuation!Q23</f>
        <v>-10340</v>
      </c>
      <c r="F13" s="734">
        <f>Valuation!R23</f>
        <v>-9187.3919999999998</v>
      </c>
      <c r="G13" s="734">
        <f>Valuation!S23</f>
        <v>-9717.293698700003</v>
      </c>
      <c r="H13" s="734">
        <f>Valuation!T23</f>
        <v>-9856.4705040000026</v>
      </c>
      <c r="I13" s="734">
        <f>Valuation!U23</f>
        <v>-9999.2961712603028</v>
      </c>
      <c r="J13" s="732"/>
      <c r="K13" s="732"/>
      <c r="L13" s="739" t="s">
        <v>32</v>
      </c>
      <c r="M13" s="732"/>
      <c r="N13" s="732"/>
      <c r="O13" s="732"/>
      <c r="P13" s="732"/>
      <c r="Q13" s="732"/>
      <c r="R13" s="732"/>
      <c r="S13" s="732"/>
      <c r="T13" s="732"/>
    </row>
    <row r="14" spans="2:20">
      <c r="B14" s="730" t="str">
        <f>Valuation!B24</f>
        <v xml:space="preserve">Clean Net Interest </v>
      </c>
      <c r="C14" s="731">
        <f>Valuation!O24</f>
        <v>-1258.9899999999998</v>
      </c>
      <c r="D14" s="731">
        <f>Valuation!P24</f>
        <v>-1906.258</v>
      </c>
      <c r="E14" s="731">
        <f>Valuation!Q24</f>
        <v>-2535.7079999999996</v>
      </c>
      <c r="F14" s="731">
        <f>Valuation!R24</f>
        <v>-2104.5239999999999</v>
      </c>
      <c r="G14" s="731">
        <f>Valuation!S24</f>
        <v>-2049.7963986196419</v>
      </c>
      <c r="H14" s="731">
        <f>Valuation!T24</f>
        <v>-2021.1214665676478</v>
      </c>
      <c r="I14" s="731">
        <f>Valuation!U24</f>
        <v>-1955.6667391230112</v>
      </c>
      <c r="J14" s="730"/>
      <c r="K14" s="732"/>
      <c r="L14" s="730" t="s">
        <v>33</v>
      </c>
      <c r="M14" s="731">
        <f>Fixed!Q5</f>
        <v>11560.218000000001</v>
      </c>
      <c r="N14" s="731">
        <f>Fixed!R5</f>
        <v>15437.906999999999</v>
      </c>
      <c r="O14" s="731">
        <f>Fixed!S5</f>
        <v>17429.384999999998</v>
      </c>
      <c r="P14" s="731">
        <f>Fixed!T5</f>
        <v>19246.286</v>
      </c>
      <c r="Q14" s="731">
        <f>Fixed!U5</f>
        <v>20351.286</v>
      </c>
      <c r="R14" s="731">
        <f>Fixed!V5</f>
        <v>20751.286</v>
      </c>
      <c r="S14" s="731">
        <f>Fixed!W5</f>
        <v>21101.286</v>
      </c>
      <c r="T14" s="737">
        <f>(S14/P14)^(1/3)-1</f>
        <v>3.1147190681648951E-2</v>
      </c>
    </row>
    <row r="15" spans="2:20">
      <c r="B15" s="732" t="str">
        <f>Valuation!B25</f>
        <v>IFRS 16 leases in D&amp;A</v>
      </c>
      <c r="C15" s="734">
        <f>Valuation!O25</f>
        <v>-1626.65</v>
      </c>
      <c r="D15" s="734">
        <f>Valuation!P25</f>
        <v>-505.54</v>
      </c>
      <c r="E15" s="734">
        <f>Valuation!Q25</f>
        <v>-495.41500000000002</v>
      </c>
      <c r="F15" s="734">
        <f>Valuation!R25</f>
        <v>-520.1857500000001</v>
      </c>
      <c r="G15" s="734">
        <f>Valuation!S25</f>
        <v>-546.19503750000013</v>
      </c>
      <c r="H15" s="734">
        <f>Valuation!T25</f>
        <v>-573.5047893750002</v>
      </c>
      <c r="I15" s="734">
        <f>Valuation!U25</f>
        <v>-602.18002884375028</v>
      </c>
      <c r="J15" s="732"/>
      <c r="K15" s="732"/>
      <c r="L15" s="739" t="s">
        <v>34</v>
      </c>
      <c r="M15" s="732"/>
      <c r="N15" s="732"/>
      <c r="O15" s="732"/>
      <c r="P15" s="732"/>
      <c r="Q15" s="732"/>
      <c r="R15" s="732"/>
      <c r="S15" s="732"/>
      <c r="T15" s="736"/>
    </row>
    <row r="16" spans="2:20">
      <c r="B16" s="730" t="s">
        <v>35</v>
      </c>
      <c r="C16" s="731">
        <f>Valuation!O26</f>
        <v>-1614.981</v>
      </c>
      <c r="D16" s="731">
        <f>Valuation!P26</f>
        <v>-1301.4839999999999</v>
      </c>
      <c r="E16" s="731">
        <f>-Master!X257</f>
        <v>-1095</v>
      </c>
      <c r="F16" s="731">
        <f>-Master!Y257</f>
        <v>-1299.261</v>
      </c>
      <c r="G16" s="731">
        <f>-Master!Z257</f>
        <v>-1429.0995535855532</v>
      </c>
      <c r="H16" s="731">
        <f>-Master!AA257</f>
        <v>-2132.9916656806081</v>
      </c>
      <c r="I16" s="731">
        <f>-Master!AB257</f>
        <v>-2632.7421324739876</v>
      </c>
      <c r="J16" s="740"/>
      <c r="K16" s="732"/>
      <c r="L16" s="741" t="s">
        <v>36</v>
      </c>
      <c r="M16" s="731">
        <f>Fixed!Q15</f>
        <v>3675.6149999999998</v>
      </c>
      <c r="N16" s="731">
        <f>Fixed!R15</f>
        <v>3914.09</v>
      </c>
      <c r="O16" s="731">
        <f>Fixed!S15</f>
        <v>3849.1570000000002</v>
      </c>
      <c r="P16" s="731">
        <f>Fixed!T15</f>
        <v>4029.6190000000001</v>
      </c>
      <c r="Q16" s="731">
        <f>Fixed!U15</f>
        <v>4181.6190000000006</v>
      </c>
      <c r="R16" s="731">
        <f>Fixed!V15</f>
        <v>4311.6190000000006</v>
      </c>
      <c r="S16" s="731">
        <f>Fixed!W15</f>
        <v>4451.6190000000006</v>
      </c>
      <c r="T16" s="737">
        <f>(S16/P16)^(1/3)-1</f>
        <v>3.3755898464302492E-2</v>
      </c>
    </row>
    <row r="17" spans="2:20">
      <c r="B17" s="847" t="s">
        <v>37</v>
      </c>
      <c r="C17" s="848">
        <f>Valuation!O27</f>
        <v>-168.411</v>
      </c>
      <c r="D17" s="848">
        <f>Valuation!P27</f>
        <v>-167.255</v>
      </c>
      <c r="E17" s="848">
        <f>Valuation!Q27</f>
        <v>-181.726</v>
      </c>
      <c r="F17" s="848">
        <f>Valuation!R27</f>
        <v>-192.072</v>
      </c>
      <c r="G17" s="848">
        <f>Valuation!S27</f>
        <v>-211.27920000000003</v>
      </c>
      <c r="H17" s="848">
        <f>Valuation!T27</f>
        <v>-232.40712000000005</v>
      </c>
      <c r="I17" s="848">
        <f>Valuation!U27</f>
        <v>-255.64783200000008</v>
      </c>
      <c r="J17" s="847"/>
      <c r="K17" s="732"/>
      <c r="L17" s="742" t="s">
        <v>38</v>
      </c>
      <c r="M17" s="734">
        <f>Fixed!Q25</f>
        <v>4137.8599999999997</v>
      </c>
      <c r="N17" s="734">
        <f>Fixed!R25</f>
        <v>4721.5519999999997</v>
      </c>
      <c r="O17" s="734">
        <f>Fixed!S25</f>
        <v>5311.95</v>
      </c>
      <c r="P17" s="734">
        <f>Fixed!T25</f>
        <v>5805.7190000000001</v>
      </c>
      <c r="Q17" s="734">
        <f>Fixed!U25</f>
        <v>6205.7190000000001</v>
      </c>
      <c r="R17" s="734">
        <f>Fixed!V25</f>
        <v>6405.7190000000001</v>
      </c>
      <c r="S17" s="734">
        <f>Fixed!W25</f>
        <v>6580.7190000000001</v>
      </c>
      <c r="T17" s="736">
        <f>(S17/P17)^(1/3)-1</f>
        <v>4.2651354043339529E-2</v>
      </c>
    </row>
    <row r="18" spans="2:20">
      <c r="B18" s="730" t="s">
        <v>39</v>
      </c>
      <c r="C18" s="731">
        <f>Valuation!O28</f>
        <v>-4437.9750000000013</v>
      </c>
      <c r="D18" s="731">
        <f>Valuation!P28</f>
        <v>-3394.9230000000007</v>
      </c>
      <c r="E18" s="731">
        <f>Valuation!Q28</f>
        <v>14.795999999999026</v>
      </c>
      <c r="F18" s="731">
        <f>Valuation!R28</f>
        <v>2632.5992499999998</v>
      </c>
      <c r="G18" s="731">
        <f>Valuation!S28</f>
        <v>3407.2556144239556</v>
      </c>
      <c r="H18" s="731">
        <f>Valuation!T28</f>
        <v>4122.5972335475972</v>
      </c>
      <c r="I18" s="731">
        <f>Valuation!U28</f>
        <v>5043.6209299212833</v>
      </c>
      <c r="J18" s="740"/>
      <c r="L18" s="741" t="s">
        <v>40</v>
      </c>
      <c r="M18" s="731">
        <f>Fixed!Q34</f>
        <v>3404.125</v>
      </c>
      <c r="N18" s="731">
        <f>Fixed!R34</f>
        <v>4082.0549999999998</v>
      </c>
      <c r="O18" s="731">
        <f>Fixed!S34</f>
        <v>4766.9560000000001</v>
      </c>
      <c r="P18" s="731">
        <f>Fixed!T34</f>
        <v>5138.7510000000002</v>
      </c>
      <c r="Q18" s="731">
        <f>Fixed!U34</f>
        <v>5333.7510000000002</v>
      </c>
      <c r="R18" s="731">
        <f>Fixed!V34</f>
        <v>5483.7510000000002</v>
      </c>
      <c r="S18" s="731">
        <f>Fixed!W34</f>
        <v>5583.7510000000002</v>
      </c>
      <c r="T18" s="737">
        <f>(S18/P18)^(1/3)-1</f>
        <v>2.8070323720681634E-2</v>
      </c>
    </row>
    <row r="19" spans="2:20">
      <c r="B19" s="739" t="s">
        <v>41</v>
      </c>
      <c r="C19" s="732"/>
      <c r="D19" s="732"/>
      <c r="E19" s="732"/>
      <c r="F19" s="732"/>
      <c r="G19" s="732"/>
      <c r="H19" s="732"/>
      <c r="I19" s="732"/>
      <c r="J19" s="732"/>
      <c r="K19" s="736"/>
      <c r="L19" s="739" t="s">
        <v>42</v>
      </c>
      <c r="M19" s="734"/>
      <c r="N19" s="734"/>
      <c r="O19" s="734"/>
      <c r="P19" s="734"/>
      <c r="Q19" s="734"/>
      <c r="R19" s="734"/>
      <c r="S19" s="734"/>
      <c r="T19" s="736"/>
    </row>
    <row r="20" spans="2:20">
      <c r="B20" s="730" t="s">
        <v>43</v>
      </c>
      <c r="C20" s="731">
        <f>Master!V8</f>
        <v>27155.555</v>
      </c>
      <c r="D20" s="731">
        <f>Master!W8</f>
        <v>29870.54</v>
      </c>
      <c r="E20" s="731">
        <f>Master!X8</f>
        <v>32840.847999999998</v>
      </c>
      <c r="F20" s="731">
        <f>Master!Y8</f>
        <v>35429.71</v>
      </c>
      <c r="G20" s="731">
        <f>Master!Z8</f>
        <v>38484.331480000008</v>
      </c>
      <c r="H20" s="731">
        <f>Master!AA8</f>
        <v>41068.627100000012</v>
      </c>
      <c r="I20" s="731">
        <f>Master!AB8</f>
        <v>43475.200744610011</v>
      </c>
      <c r="J20" s="737">
        <f t="shared" ref="J20:J27" si="3">(I20/F20)^(1/3)-1</f>
        <v>7.0593657456262227E-2</v>
      </c>
      <c r="K20" s="736"/>
      <c r="L20" s="741" t="s">
        <v>36</v>
      </c>
      <c r="M20" s="731">
        <f>Fixed!Q16</f>
        <v>135.79499999999962</v>
      </c>
      <c r="N20" s="731">
        <f>Fixed!R16</f>
        <v>238.47500000000036</v>
      </c>
      <c r="O20" s="731">
        <f>Fixed!S16</f>
        <v>-64.932999999999993</v>
      </c>
      <c r="P20" s="731">
        <f>Fixed!T16</f>
        <v>180.46199999999999</v>
      </c>
      <c r="Q20" s="731">
        <f>Fixed!U16</f>
        <v>152</v>
      </c>
      <c r="R20" s="731">
        <f>Fixed!V16</f>
        <v>130</v>
      </c>
      <c r="S20" s="731">
        <f>Fixed!W16</f>
        <v>140</v>
      </c>
      <c r="T20" s="737">
        <f>(S20/P20)^(1/3)-1</f>
        <v>-8.1144068547426285E-2</v>
      </c>
    </row>
    <row r="21" spans="2:20">
      <c r="B21" s="732" t="s">
        <v>44</v>
      </c>
      <c r="C21" s="734">
        <f t="shared" ref="C21:I21" si="4">C12</f>
        <v>12769.018</v>
      </c>
      <c r="D21" s="734">
        <f t="shared" si="4"/>
        <v>13319.993</v>
      </c>
      <c r="E21" s="734">
        <f t="shared" si="4"/>
        <v>14629.852999999999</v>
      </c>
      <c r="F21" s="734">
        <f t="shared" si="4"/>
        <v>15936.034</v>
      </c>
      <c r="G21" s="734">
        <f t="shared" si="4"/>
        <v>17317.949166000006</v>
      </c>
      <c r="H21" s="734">
        <f t="shared" si="4"/>
        <v>18891.568466000008</v>
      </c>
      <c r="I21" s="734">
        <f t="shared" si="4"/>
        <v>20433.344349966705</v>
      </c>
      <c r="J21" s="736">
        <f t="shared" si="3"/>
        <v>8.6391607803540493E-2</v>
      </c>
      <c r="K21" s="736"/>
      <c r="L21" s="742" t="s">
        <v>38</v>
      </c>
      <c r="M21" s="734">
        <f>Fixed!Q26</f>
        <v>303.96699999999964</v>
      </c>
      <c r="N21" s="734">
        <f>Fixed!R26</f>
        <v>583.69200000000001</v>
      </c>
      <c r="O21" s="734">
        <f>Fixed!S26</f>
        <v>590.39800000000014</v>
      </c>
      <c r="P21" s="734">
        <f>Fixed!T26</f>
        <v>493.76900000000023</v>
      </c>
      <c r="Q21" s="734">
        <f>Fixed!U26</f>
        <v>400</v>
      </c>
      <c r="R21" s="734">
        <f>Fixed!V26</f>
        <v>200</v>
      </c>
      <c r="S21" s="734">
        <f>Fixed!W26</f>
        <v>175</v>
      </c>
      <c r="T21" s="736">
        <f>(S21/P21)^(1/3)-1</f>
        <v>-0.29231811945059694</v>
      </c>
    </row>
    <row r="22" spans="2:20">
      <c r="B22" s="730" t="s">
        <v>45</v>
      </c>
      <c r="C22" s="737">
        <f t="shared" ref="C22:I22" si="5">C21/C20</f>
        <v>0.47021753007810002</v>
      </c>
      <c r="D22" s="737">
        <f t="shared" si="5"/>
        <v>0.44592407770331571</v>
      </c>
      <c r="E22" s="737">
        <f t="shared" si="5"/>
        <v>0.44547732141386848</v>
      </c>
      <c r="F22" s="737">
        <f t="shared" si="5"/>
        <v>0.44979295625055921</v>
      </c>
      <c r="G22" s="737">
        <f t="shared" si="5"/>
        <v>0.45000000000000007</v>
      </c>
      <c r="H22" s="737">
        <f t="shared" si="5"/>
        <v>0.46000000000000008</v>
      </c>
      <c r="I22" s="737">
        <f t="shared" si="5"/>
        <v>0.47</v>
      </c>
      <c r="J22" s="737">
        <f t="shared" si="3"/>
        <v>1.4756252512100998E-2</v>
      </c>
      <c r="K22" s="732"/>
      <c r="L22" s="741" t="s">
        <v>40</v>
      </c>
      <c r="M22" s="731">
        <f>Fixed!Q35</f>
        <v>373.00599999999986</v>
      </c>
      <c r="N22" s="731">
        <f>Fixed!R35</f>
        <v>677.92999999999984</v>
      </c>
      <c r="O22" s="731">
        <f>Fixed!S35</f>
        <v>684.90100000000029</v>
      </c>
      <c r="P22" s="731">
        <f>Fixed!T35</f>
        <v>371.79500000000007</v>
      </c>
      <c r="Q22" s="731">
        <f>Fixed!U35</f>
        <v>195</v>
      </c>
      <c r="R22" s="731">
        <f>Fixed!V35</f>
        <v>150</v>
      </c>
      <c r="S22" s="731">
        <f>Fixed!W35</f>
        <v>100</v>
      </c>
      <c r="T22" s="737">
        <f>(S22/P22)^(1/3)-1</f>
        <v>-0.35449617755976348</v>
      </c>
    </row>
    <row r="23" spans="2:20">
      <c r="B23" s="732" t="s">
        <v>46</v>
      </c>
      <c r="C23" s="734">
        <f>Master!V23</f>
        <v>6528.8010000000004</v>
      </c>
      <c r="D23" s="734">
        <f>Master!W23</f>
        <v>6120.7780000000002</v>
      </c>
      <c r="E23" s="734">
        <f>Master!X23</f>
        <v>6172.23</v>
      </c>
      <c r="F23" s="734">
        <f>Master!Y23</f>
        <v>6400.137999999999</v>
      </c>
      <c r="G23" s="734">
        <f>Master!Z23</f>
        <v>7654.1083734649483</v>
      </c>
      <c r="H23" s="734">
        <f>Master!AA23</f>
        <v>9131.0936855030086</v>
      </c>
      <c r="I23" s="734">
        <f>Master!AB23</f>
        <v>10731.473847369636</v>
      </c>
      <c r="J23" s="736">
        <f t="shared" si="3"/>
        <v>0.18801888514670906</v>
      </c>
      <c r="K23" s="736"/>
      <c r="L23" s="739" t="s">
        <v>47</v>
      </c>
      <c r="M23" s="734"/>
      <c r="N23" s="734"/>
      <c r="O23" s="734"/>
      <c r="P23" s="734"/>
      <c r="Q23" s="734"/>
      <c r="R23" s="734"/>
      <c r="S23" s="734"/>
      <c r="T23" s="736"/>
    </row>
    <row r="24" spans="2:20">
      <c r="B24" s="730" t="s">
        <v>48</v>
      </c>
      <c r="C24" s="731">
        <f>Master!V30</f>
        <v>5286.4860000000008</v>
      </c>
      <c r="D24" s="731">
        <f>Master!W30</f>
        <v>4364.5200000000004</v>
      </c>
      <c r="E24" s="731">
        <f>Master!X30</f>
        <v>3722.1219999999998</v>
      </c>
      <c r="F24" s="731">
        <f>Master!Y30</f>
        <v>4342.817</v>
      </c>
      <c r="G24" s="731">
        <f>Master!Z30</f>
        <v>5627.3119748453064</v>
      </c>
      <c r="H24" s="731">
        <f>Master!AA30</f>
        <v>7109.9722189353606</v>
      </c>
      <c r="I24" s="731">
        <f>Master!AB30</f>
        <v>8775.8071082466249</v>
      </c>
      <c r="J24" s="737">
        <f t="shared" si="3"/>
        <v>0.26426615909062545</v>
      </c>
      <c r="K24" s="732"/>
      <c r="L24" s="730" t="s">
        <v>49</v>
      </c>
      <c r="M24" s="731">
        <f>Fixed!Q46</f>
        <v>4397.9939999999997</v>
      </c>
      <c r="N24" s="731">
        <f>Fixed!R46</f>
        <v>4945.826</v>
      </c>
      <c r="O24" s="731">
        <f>Fixed!S46</f>
        <v>5520.1790000000001</v>
      </c>
      <c r="P24" s="731">
        <f>Fixed!T46</f>
        <v>5953.912127236581</v>
      </c>
      <c r="Q24" s="731">
        <f>Fixed!U46</f>
        <v>6250.9300198807159</v>
      </c>
      <c r="R24" s="731">
        <f>Fixed!V46</f>
        <v>6441.7848906560639</v>
      </c>
      <c r="S24" s="731">
        <f>Fixed!W46</f>
        <v>6606.7948310139163</v>
      </c>
      <c r="T24" s="737">
        <f>(S24/P24)^(1/3)-1</f>
        <v>3.5291861209572728E-2</v>
      </c>
    </row>
    <row r="25" spans="2:20">
      <c r="B25" s="732" t="s">
        <v>50</v>
      </c>
      <c r="C25" s="734">
        <f>Master!V35</f>
        <v>3503.094000000001</v>
      </c>
      <c r="D25" s="734">
        <f>Master!W35</f>
        <v>2895.7810000000004</v>
      </c>
      <c r="E25" s="734">
        <f>Master!X35</f>
        <v>2445.3959999999997</v>
      </c>
      <c r="F25" s="734">
        <f>Master!Y35</f>
        <v>2851.4839999999999</v>
      </c>
      <c r="G25" s="734">
        <f>Master!Z35</f>
        <v>3986.9332212597537</v>
      </c>
      <c r="H25" s="734">
        <f>Master!AA35</f>
        <v>4744.5734332547527</v>
      </c>
      <c r="I25" s="734">
        <f>Master!AB35</f>
        <v>5887.4171437726372</v>
      </c>
      <c r="J25" s="736">
        <f t="shared" si="3"/>
        <v>0.27336025342571602</v>
      </c>
      <c r="K25" s="736"/>
      <c r="L25" s="732" t="s">
        <v>51</v>
      </c>
      <c r="M25" s="743">
        <f t="shared" ref="M25:S25" si="6">M24/M14</f>
        <v>0.38044213353069978</v>
      </c>
      <c r="N25" s="743">
        <f t="shared" si="6"/>
        <v>0.32036894638632041</v>
      </c>
      <c r="O25" s="743">
        <f t="shared" si="6"/>
        <v>0.3167167975232632</v>
      </c>
      <c r="P25" s="743">
        <f t="shared" si="6"/>
        <v>0.30935382167949604</v>
      </c>
      <c r="Q25" s="743">
        <f t="shared" si="6"/>
        <v>0.30715159817815524</v>
      </c>
      <c r="R25" s="743">
        <f t="shared" si="6"/>
        <v>0.31042822554014549</v>
      </c>
      <c r="S25" s="743">
        <f t="shared" si="6"/>
        <v>0.31309915571088492</v>
      </c>
      <c r="T25" s="736">
        <f>(S25/P25)^(1/3)-1</f>
        <v>4.0194751684130559E-3</v>
      </c>
    </row>
    <row r="26" spans="2:20">
      <c r="B26" s="730" t="s">
        <v>52</v>
      </c>
      <c r="C26" s="744">
        <f>Master!V38</f>
        <v>4.2892676863520167</v>
      </c>
      <c r="D26" s="744">
        <f>Master!W38</f>
        <v>3.1925011109486836</v>
      </c>
      <c r="E26" s="744">
        <f>Master!X38</f>
        <v>2.7534513957767057</v>
      </c>
      <c r="F26" s="744">
        <f>Master!Y38</f>
        <v>3.2802459784366826</v>
      </c>
      <c r="G26" s="744">
        <f>Master!Z38</f>
        <v>4.6193011980316987</v>
      </c>
      <c r="H26" s="744">
        <f>Master!AA38</f>
        <v>5.5290068023441279</v>
      </c>
      <c r="I26" s="744">
        <f>Master!AB38</f>
        <v>6.8608000053286435</v>
      </c>
      <c r="J26" s="737">
        <f t="shared" si="3"/>
        <v>0.27885934885265273</v>
      </c>
      <c r="K26" s="732"/>
      <c r="L26" s="730" t="s">
        <v>53</v>
      </c>
      <c r="M26" s="731">
        <f>Fixed!Q43</f>
        <v>11217.599999999999</v>
      </c>
      <c r="N26" s="731">
        <f>Fixed!R43</f>
        <v>12717.697</v>
      </c>
      <c r="O26" s="731">
        <f>Fixed!S43</f>
        <v>13928.063</v>
      </c>
      <c r="P26" s="731">
        <f>Fixed!T43</f>
        <v>14974.089</v>
      </c>
      <c r="Q26" s="731">
        <f>Fixed!U43</f>
        <v>15721.089</v>
      </c>
      <c r="R26" s="731">
        <f>Fixed!V43</f>
        <v>16201.089</v>
      </c>
      <c r="S26" s="731">
        <f>Fixed!W43</f>
        <v>16616.089</v>
      </c>
      <c r="T26" s="737">
        <f>(S26/P26)^(1/3)-1</f>
        <v>3.5291861209572728E-2</v>
      </c>
    </row>
    <row r="27" spans="2:20">
      <c r="B27" s="732" t="s">
        <v>54</v>
      </c>
      <c r="C27" s="745">
        <f>Master!V39</f>
        <v>2.96</v>
      </c>
      <c r="D27" s="745">
        <f>Master!W39</f>
        <v>3.08</v>
      </c>
      <c r="E27" s="745">
        <f>Master!X39</f>
        <v>3.34</v>
      </c>
      <c r="F27" s="745">
        <f>Master!Y39</f>
        <v>3.7</v>
      </c>
      <c r="G27" s="745">
        <f>Master!Z39</f>
        <v>4.2380463952295955</v>
      </c>
      <c r="H27" s="745">
        <f>Master!AA39</f>
        <v>4.8432919514196096</v>
      </c>
      <c r="I27" s="745">
        <f>Master!AB39</f>
        <v>5.4766784293322903</v>
      </c>
      <c r="J27" s="736">
        <f t="shared" si="3"/>
        <v>0.13965090349125564</v>
      </c>
      <c r="K27" s="732"/>
      <c r="L27" s="732" t="s">
        <v>55</v>
      </c>
      <c r="M27" s="746">
        <f t="shared" ref="M27:S27" si="7">M26/M24</f>
        <v>2.550617395112408</v>
      </c>
      <c r="N27" s="746">
        <f t="shared" si="7"/>
        <v>2.5714000047717005</v>
      </c>
      <c r="O27" s="746">
        <f t="shared" si="7"/>
        <v>2.5231180003402063</v>
      </c>
      <c r="P27" s="746">
        <f t="shared" si="7"/>
        <v>2.5149999999999997</v>
      </c>
      <c r="Q27" s="746">
        <f t="shared" si="7"/>
        <v>2.5150000000000001</v>
      </c>
      <c r="R27" s="746">
        <f t="shared" si="7"/>
        <v>2.5149999999999997</v>
      </c>
      <c r="S27" s="746">
        <f t="shared" si="7"/>
        <v>2.5150000000000001</v>
      </c>
      <c r="T27" s="732"/>
    </row>
    <row r="28" spans="2:20">
      <c r="B28" s="849" t="s">
        <v>56</v>
      </c>
      <c r="C28" s="850">
        <f t="shared" ref="C28:I28" si="8">C7/C12</f>
        <v>1.0057643430371856</v>
      </c>
      <c r="D28" s="850">
        <f t="shared" si="8"/>
        <v>1.5188644618657081</v>
      </c>
      <c r="E28" s="850">
        <f t="shared" si="8"/>
        <v>1.5011022325378116</v>
      </c>
      <c r="F28" s="850">
        <f t="shared" si="8"/>
        <v>1.3464462989976052</v>
      </c>
      <c r="G28" s="850">
        <f t="shared" si="8"/>
        <v>1.2133964468975067</v>
      </c>
      <c r="H28" s="850">
        <f t="shared" si="8"/>
        <v>1.074304814521611</v>
      </c>
      <c r="I28" s="850">
        <f t="shared" si="8"/>
        <v>0.93730027397685278</v>
      </c>
      <c r="J28" s="849"/>
      <c r="K28" s="732"/>
      <c r="L28" s="849"/>
      <c r="M28" s="851"/>
      <c r="N28" s="851"/>
      <c r="O28" s="851"/>
      <c r="P28" s="851"/>
      <c r="Q28" s="851"/>
      <c r="R28" s="851"/>
      <c r="S28" s="851"/>
      <c r="T28" s="852"/>
    </row>
  </sheetData>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D136"/>
  <sheetViews>
    <sheetView zoomScale="72" zoomScaleNormal="72" workbookViewId="0">
      <selection activeCell="I97" sqref="I97"/>
    </sheetView>
  </sheetViews>
  <sheetFormatPr defaultColWidth="9.28515625" defaultRowHeight="15"/>
  <cols>
    <col min="1" max="1" width="1.140625" style="161" customWidth="1"/>
    <col min="2" max="2" width="37.140625" style="161" customWidth="1"/>
    <col min="3" max="5" width="10.42578125" style="161" customWidth="1"/>
    <col min="6" max="11" width="9.28515625" style="161"/>
    <col min="12" max="12" width="9.7109375" style="161" bestFit="1" customWidth="1"/>
    <col min="13" max="16384" width="9.28515625" style="161"/>
  </cols>
  <sheetData>
    <row r="1" spans="2:28">
      <c r="B1" s="390"/>
      <c r="C1" s="390"/>
      <c r="D1" s="390"/>
      <c r="E1" s="390"/>
      <c r="F1" s="390"/>
      <c r="G1" s="390"/>
      <c r="H1" s="390"/>
      <c r="I1" s="390"/>
      <c r="J1" s="390"/>
      <c r="K1" s="390"/>
      <c r="L1" s="390"/>
      <c r="M1" s="390"/>
      <c r="N1" s="390"/>
      <c r="O1" s="390"/>
      <c r="P1" s="390"/>
      <c r="Q1" s="390"/>
      <c r="R1" s="390"/>
      <c r="S1" s="1024"/>
      <c r="T1" s="1024"/>
      <c r="U1" s="1024"/>
      <c r="V1" s="1024"/>
      <c r="W1" s="1024"/>
      <c r="X1" s="1024"/>
      <c r="Y1" s="1024"/>
      <c r="Z1" s="1024"/>
      <c r="AA1" s="1024"/>
      <c r="AB1" s="1024"/>
    </row>
    <row r="2" spans="2:28">
      <c r="B2" s="1025" t="s">
        <v>11</v>
      </c>
      <c r="C2" s="1026"/>
      <c r="D2" s="1027"/>
      <c r="E2" s="1026">
        <v>2012</v>
      </c>
      <c r="F2" s="1026">
        <f>E2+1</f>
        <v>2013</v>
      </c>
      <c r="G2" s="1026">
        <f t="shared" ref="G2:R2" si="0">F2+1</f>
        <v>2014</v>
      </c>
      <c r="H2" s="1026">
        <f t="shared" si="0"/>
        <v>2015</v>
      </c>
      <c r="I2" s="1026">
        <f t="shared" si="0"/>
        <v>2016</v>
      </c>
      <c r="J2" s="1026">
        <f t="shared" si="0"/>
        <v>2017</v>
      </c>
      <c r="K2" s="1026">
        <f t="shared" si="0"/>
        <v>2018</v>
      </c>
      <c r="L2" s="1026">
        <f t="shared" si="0"/>
        <v>2019</v>
      </c>
      <c r="M2" s="1026">
        <f t="shared" si="0"/>
        <v>2020</v>
      </c>
      <c r="N2" s="1026">
        <f t="shared" si="0"/>
        <v>2021</v>
      </c>
      <c r="O2" s="1026">
        <f t="shared" si="0"/>
        <v>2022</v>
      </c>
      <c r="P2" s="1026">
        <f t="shared" si="0"/>
        <v>2023</v>
      </c>
      <c r="Q2" s="1026">
        <f t="shared" si="0"/>
        <v>2024</v>
      </c>
      <c r="R2" s="1026">
        <f t="shared" si="0"/>
        <v>2025</v>
      </c>
      <c r="S2" s="1028">
        <f t="shared" ref="S2:AB2" si="1">R2+1</f>
        <v>2026</v>
      </c>
      <c r="T2" s="1028">
        <f t="shared" si="1"/>
        <v>2027</v>
      </c>
      <c r="U2" s="1028">
        <f t="shared" si="1"/>
        <v>2028</v>
      </c>
      <c r="V2" s="1028">
        <f t="shared" si="1"/>
        <v>2029</v>
      </c>
      <c r="W2" s="1028">
        <f t="shared" si="1"/>
        <v>2030</v>
      </c>
      <c r="X2" s="1028">
        <f t="shared" si="1"/>
        <v>2031</v>
      </c>
      <c r="Y2" s="1028">
        <f t="shared" si="1"/>
        <v>2032</v>
      </c>
      <c r="Z2" s="1028">
        <f t="shared" si="1"/>
        <v>2033</v>
      </c>
      <c r="AA2" s="1028">
        <f t="shared" si="1"/>
        <v>2034</v>
      </c>
      <c r="AB2" s="1028">
        <f t="shared" si="1"/>
        <v>2035</v>
      </c>
    </row>
    <row r="3" spans="2:28">
      <c r="B3" s="327"/>
      <c r="C3" s="330"/>
      <c r="D3" s="329"/>
      <c r="E3" s="329"/>
      <c r="F3" s="329"/>
      <c r="G3" s="329"/>
      <c r="H3" s="329"/>
      <c r="I3" s="329"/>
      <c r="J3" s="329"/>
      <c r="K3" s="329"/>
      <c r="L3" s="329"/>
      <c r="M3" s="329"/>
      <c r="N3" s="329"/>
      <c r="O3" s="329"/>
      <c r="P3" s="329"/>
      <c r="Q3" s="329"/>
      <c r="R3" s="329"/>
      <c r="S3" s="329"/>
      <c r="T3" s="329"/>
      <c r="U3" s="329"/>
      <c r="V3" s="329"/>
      <c r="W3" s="329"/>
      <c r="X3" s="329"/>
      <c r="Y3" s="329"/>
      <c r="Z3" s="329"/>
      <c r="AA3" s="329"/>
      <c r="AB3" s="329"/>
    </row>
    <row r="4" spans="2:28">
      <c r="B4" s="327" t="s">
        <v>6</v>
      </c>
      <c r="C4" s="328">
        <v>59.58</v>
      </c>
      <c r="D4" s="329"/>
    </row>
    <row r="5" spans="2:28">
      <c r="B5" s="327" t="s">
        <v>1111</v>
      </c>
      <c r="C5" s="330"/>
      <c r="D5" s="329"/>
      <c r="E5" s="329">
        <f>Master!L348/2</f>
        <v>859.12649999999996</v>
      </c>
      <c r="F5" s="329">
        <f>Master!M348/2</f>
        <v>859.25699999999995</v>
      </c>
      <c r="G5" s="329">
        <f>Master!N348/2</f>
        <v>859.25699999999995</v>
      </c>
      <c r="H5" s="329">
        <f>Master!O348/2</f>
        <v>859.25699999999995</v>
      </c>
      <c r="I5" s="329">
        <f>Master!P348/2</f>
        <v>859.25699999999995</v>
      </c>
      <c r="J5" s="329">
        <f>Master!Q348/2</f>
        <v>859.25699999999995</v>
      </c>
      <c r="K5" s="329">
        <f>Master!R348/2</f>
        <v>859.25699999999995</v>
      </c>
      <c r="L5" s="329">
        <f>Master!S348/2</f>
        <v>859.25699999999995</v>
      </c>
      <c r="M5" s="329">
        <f>Master!T348/2</f>
        <v>860.03800000000001</v>
      </c>
      <c r="N5" s="329">
        <f>Master!U348/2</f>
        <v>857.476</v>
      </c>
      <c r="O5" s="329">
        <f>Master!V348/2</f>
        <v>857.61749999999995</v>
      </c>
      <c r="P5" s="329">
        <f>Master!W348/2</f>
        <v>858.50049999999999</v>
      </c>
      <c r="Q5" s="329">
        <f>Master!X348/2</f>
        <v>858.50049999999999</v>
      </c>
      <c r="R5" s="329">
        <f>Master!Y348/2</f>
        <v>858.12400000000002</v>
      </c>
      <c r="S5" s="329">
        <f>Master!Z348/2</f>
        <v>858.12400000000002</v>
      </c>
      <c r="T5" s="329">
        <f>Master!AA348/2</f>
        <v>858.12400000000002</v>
      </c>
      <c r="U5" s="329">
        <f>Master!AB348/2</f>
        <v>858.12400000000002</v>
      </c>
      <c r="V5" s="329">
        <f>Master!AC348/2</f>
        <v>858.12400000000002</v>
      </c>
      <c r="W5" s="329">
        <f>Master!AD348/2</f>
        <v>858.12400000000002</v>
      </c>
      <c r="X5" s="329">
        <f>Master!AE348/2</f>
        <v>858.12400000000002</v>
      </c>
      <c r="Y5" s="329">
        <f>Master!AF348/2</f>
        <v>858.12400000000002</v>
      </c>
      <c r="Z5" s="329">
        <f>Master!AG348/2</f>
        <v>858.12400000000002</v>
      </c>
      <c r="AA5" s="329">
        <f>Master!AH348/2</f>
        <v>858.12400000000002</v>
      </c>
      <c r="AB5" s="329">
        <f>Master!AI348/2</f>
        <v>858.12400000000002</v>
      </c>
    </row>
    <row r="6" spans="2:28">
      <c r="B6" s="327"/>
      <c r="C6" s="330"/>
      <c r="D6" s="329"/>
      <c r="E6" s="329"/>
      <c r="F6" s="329"/>
      <c r="G6" s="329"/>
      <c r="H6" s="329"/>
      <c r="I6" s="329"/>
      <c r="J6" s="329"/>
      <c r="K6" s="329"/>
      <c r="L6" s="329"/>
      <c r="M6" s="329"/>
      <c r="N6" s="329"/>
      <c r="O6" s="329"/>
      <c r="P6" s="329"/>
      <c r="Q6" s="329"/>
      <c r="R6" s="329"/>
      <c r="S6" s="329"/>
      <c r="T6" s="329"/>
      <c r="U6" s="329"/>
      <c r="V6" s="329"/>
      <c r="W6" s="329"/>
      <c r="X6" s="329"/>
      <c r="Y6" s="329"/>
      <c r="Z6" s="329"/>
      <c r="AA6" s="329"/>
      <c r="AB6" s="329"/>
    </row>
    <row r="7" spans="2:28">
      <c r="B7" s="331" t="s">
        <v>57</v>
      </c>
      <c r="C7" s="330"/>
      <c r="D7" s="327"/>
      <c r="E7" s="332"/>
      <c r="F7" s="329"/>
      <c r="G7" s="327"/>
      <c r="H7" s="327"/>
      <c r="I7" s="327"/>
      <c r="J7" s="332"/>
      <c r="K7" s="327"/>
      <c r="L7" s="327"/>
      <c r="M7" s="327"/>
      <c r="N7" s="327"/>
      <c r="O7" s="327"/>
      <c r="P7" s="327"/>
      <c r="Q7" s="327"/>
      <c r="R7" s="327"/>
      <c r="S7" s="327"/>
      <c r="T7" s="327"/>
      <c r="U7" s="327"/>
      <c r="V7" s="327"/>
      <c r="W7" s="327"/>
      <c r="X7" s="327"/>
      <c r="Y7" s="327"/>
      <c r="Z7" s="327"/>
      <c r="AA7" s="327"/>
      <c r="AB7" s="327"/>
    </row>
    <row r="8" spans="2:28">
      <c r="B8" s="327" t="s">
        <v>58</v>
      </c>
      <c r="C8" s="329"/>
      <c r="D8" s="329"/>
      <c r="E8" s="329"/>
      <c r="F8" s="329">
        <f t="shared" ref="F8:AB8" si="2">$C$4*F5</f>
        <v>51194.532059999998</v>
      </c>
      <c r="G8" s="329">
        <f t="shared" si="2"/>
        <v>51194.532059999998</v>
      </c>
      <c r="H8" s="329">
        <f t="shared" si="2"/>
        <v>51194.532059999998</v>
      </c>
      <c r="I8" s="329">
        <f t="shared" si="2"/>
        <v>51194.532059999998</v>
      </c>
      <c r="J8" s="329">
        <f t="shared" si="2"/>
        <v>51194.532059999998</v>
      </c>
      <c r="K8" s="329">
        <f t="shared" si="2"/>
        <v>51194.532059999998</v>
      </c>
      <c r="L8" s="329">
        <f t="shared" si="2"/>
        <v>51194.532059999998</v>
      </c>
      <c r="M8" s="329">
        <f t="shared" si="2"/>
        <v>51241.064039999997</v>
      </c>
      <c r="N8" s="329">
        <f t="shared" si="2"/>
        <v>51088.420079999996</v>
      </c>
      <c r="O8" s="329">
        <f t="shared" si="2"/>
        <v>51096.850649999993</v>
      </c>
      <c r="P8" s="329">
        <f t="shared" si="2"/>
        <v>51149.459790000001</v>
      </c>
      <c r="Q8" s="329">
        <f t="shared" si="2"/>
        <v>51149.459790000001</v>
      </c>
      <c r="R8" s="329">
        <f t="shared" si="2"/>
        <v>51127.02792</v>
      </c>
      <c r="S8" s="329">
        <f t="shared" si="2"/>
        <v>51127.02792</v>
      </c>
      <c r="T8" s="329">
        <f t="shared" si="2"/>
        <v>51127.02792</v>
      </c>
      <c r="U8" s="329">
        <f t="shared" si="2"/>
        <v>51127.02792</v>
      </c>
      <c r="V8" s="329">
        <f t="shared" si="2"/>
        <v>51127.02792</v>
      </c>
      <c r="W8" s="329">
        <f t="shared" si="2"/>
        <v>51127.02792</v>
      </c>
      <c r="X8" s="329">
        <f t="shared" si="2"/>
        <v>51127.02792</v>
      </c>
      <c r="Y8" s="329">
        <f t="shared" si="2"/>
        <v>51127.02792</v>
      </c>
      <c r="Z8" s="329">
        <f t="shared" si="2"/>
        <v>51127.02792</v>
      </c>
      <c r="AA8" s="329">
        <f t="shared" si="2"/>
        <v>51127.02792</v>
      </c>
      <c r="AB8" s="329">
        <f t="shared" si="2"/>
        <v>51127.02792</v>
      </c>
    </row>
    <row r="9" spans="2:28">
      <c r="B9" s="327" t="s">
        <v>3380</v>
      </c>
      <c r="C9" s="329"/>
      <c r="D9" s="329"/>
      <c r="E9" s="329"/>
      <c r="F9" s="329">
        <f>G9</f>
        <v>0</v>
      </c>
      <c r="G9" s="333">
        <v>0</v>
      </c>
      <c r="H9" s="329">
        <f>G9</f>
        <v>0</v>
      </c>
      <c r="I9" s="329">
        <f t="shared" ref="I9:R13" si="3">H9</f>
        <v>0</v>
      </c>
      <c r="J9" s="329">
        <f t="shared" si="3"/>
        <v>0</v>
      </c>
      <c r="K9" s="329">
        <f t="shared" si="3"/>
        <v>0</v>
      </c>
      <c r="L9" s="329">
        <f t="shared" si="3"/>
        <v>0</v>
      </c>
      <c r="M9" s="329">
        <f t="shared" si="3"/>
        <v>0</v>
      </c>
      <c r="N9" s="329">
        <f t="shared" si="3"/>
        <v>0</v>
      </c>
      <c r="O9" s="329">
        <f t="shared" si="3"/>
        <v>0</v>
      </c>
      <c r="P9" s="329">
        <f t="shared" si="3"/>
        <v>0</v>
      </c>
      <c r="Q9" s="329">
        <f t="shared" si="3"/>
        <v>0</v>
      </c>
      <c r="R9" s="329">
        <f t="shared" si="3"/>
        <v>0</v>
      </c>
      <c r="S9" s="329">
        <f t="shared" ref="S9:AB9" si="4">R9</f>
        <v>0</v>
      </c>
      <c r="T9" s="329">
        <f t="shared" si="4"/>
        <v>0</v>
      </c>
      <c r="U9" s="329">
        <f t="shared" si="4"/>
        <v>0</v>
      </c>
      <c r="V9" s="329">
        <f t="shared" si="4"/>
        <v>0</v>
      </c>
      <c r="W9" s="329">
        <f t="shared" si="4"/>
        <v>0</v>
      </c>
      <c r="X9" s="329">
        <f t="shared" si="4"/>
        <v>0</v>
      </c>
      <c r="Y9" s="329">
        <f t="shared" si="4"/>
        <v>0</v>
      </c>
      <c r="Z9" s="329">
        <f t="shared" si="4"/>
        <v>0</v>
      </c>
      <c r="AA9" s="329">
        <f t="shared" si="4"/>
        <v>0</v>
      </c>
      <c r="AB9" s="329">
        <f t="shared" si="4"/>
        <v>0</v>
      </c>
    </row>
    <row r="10" spans="2:28">
      <c r="B10" s="327" t="s">
        <v>60</v>
      </c>
      <c r="C10" s="329"/>
      <c r="D10" s="329"/>
      <c r="E10" s="329"/>
      <c r="F10" s="329">
        <f>G10</f>
        <v>1068</v>
      </c>
      <c r="G10" s="333">
        <f>Valuation!$C$90</f>
        <v>1068</v>
      </c>
      <c r="H10" s="329">
        <f>G10</f>
        <v>1068</v>
      </c>
      <c r="I10" s="329">
        <f t="shared" ref="I10:AB10" si="5">H10</f>
        <v>1068</v>
      </c>
      <c r="J10" s="329">
        <f t="shared" si="5"/>
        <v>1068</v>
      </c>
      <c r="K10" s="329">
        <f t="shared" si="5"/>
        <v>1068</v>
      </c>
      <c r="L10" s="329">
        <f t="shared" si="5"/>
        <v>1068</v>
      </c>
      <c r="M10" s="329">
        <f t="shared" si="5"/>
        <v>1068</v>
      </c>
      <c r="N10" s="329">
        <f t="shared" si="5"/>
        <v>1068</v>
      </c>
      <c r="O10" s="329">
        <f t="shared" si="5"/>
        <v>1068</v>
      </c>
      <c r="P10" s="329">
        <f t="shared" si="5"/>
        <v>1068</v>
      </c>
      <c r="Q10" s="329">
        <f t="shared" si="5"/>
        <v>1068</v>
      </c>
      <c r="R10" s="329">
        <f t="shared" si="5"/>
        <v>1068</v>
      </c>
      <c r="S10" s="329">
        <f t="shared" si="5"/>
        <v>1068</v>
      </c>
      <c r="T10" s="329">
        <f t="shared" si="5"/>
        <v>1068</v>
      </c>
      <c r="U10" s="329">
        <f t="shared" si="5"/>
        <v>1068</v>
      </c>
      <c r="V10" s="329">
        <f t="shared" si="5"/>
        <v>1068</v>
      </c>
      <c r="W10" s="329">
        <f t="shared" si="5"/>
        <v>1068</v>
      </c>
      <c r="X10" s="329">
        <f t="shared" si="5"/>
        <v>1068</v>
      </c>
      <c r="Y10" s="329">
        <f t="shared" si="5"/>
        <v>1068</v>
      </c>
      <c r="Z10" s="329">
        <f t="shared" si="5"/>
        <v>1068</v>
      </c>
      <c r="AA10" s="329">
        <f t="shared" si="5"/>
        <v>1068</v>
      </c>
      <c r="AB10" s="329">
        <f t="shared" si="5"/>
        <v>1068</v>
      </c>
    </row>
    <row r="11" spans="2:28">
      <c r="B11" s="327" t="s">
        <v>62</v>
      </c>
      <c r="C11" s="329"/>
      <c r="D11" s="329"/>
      <c r="E11" s="329"/>
      <c r="F11" s="329">
        <f>Master!M104</f>
        <v>-405.69999999999982</v>
      </c>
      <c r="G11" s="329">
        <f>Master!N104</f>
        <v>-1098</v>
      </c>
      <c r="H11" s="329">
        <f>Master!O104</f>
        <v>401</v>
      </c>
      <c r="I11" s="329">
        <f>Master!P104</f>
        <v>2484</v>
      </c>
      <c r="J11" s="329">
        <f>Master!Q104</f>
        <v>936</v>
      </c>
      <c r="K11" s="329">
        <f>Master!R104</f>
        <v>567.90000000000009</v>
      </c>
      <c r="L11" s="329">
        <f>Master!S104</f>
        <v>4794</v>
      </c>
      <c r="M11" s="329">
        <f>Master!T104</f>
        <v>3622.3360000000002</v>
      </c>
      <c r="N11" s="329">
        <f>Master!U104</f>
        <v>4668.2510000000002</v>
      </c>
      <c r="O11" s="329">
        <f>Master!V104</f>
        <v>12842.623</v>
      </c>
      <c r="P11" s="329">
        <f>Master!W104</f>
        <v>20231.263999999999</v>
      </c>
      <c r="Q11" s="329">
        <f>Master!X104</f>
        <v>21960.904999999999</v>
      </c>
      <c r="R11" s="329">
        <f>Master!Y104</f>
        <v>21457.014000000003</v>
      </c>
      <c r="S11" s="329">
        <f>Master!Z104</f>
        <v>21013.537985576048</v>
      </c>
      <c r="T11" s="329">
        <f>Master!AA104</f>
        <v>20295.302956888452</v>
      </c>
      <c r="U11" s="329">
        <f>Master!AB104</f>
        <v>19152.179257487169</v>
      </c>
      <c r="V11" s="329">
        <f>Master!AC104</f>
        <v>17656.984963966293</v>
      </c>
      <c r="W11" s="329">
        <f>Master!AD104</f>
        <v>15762.431526509212</v>
      </c>
      <c r="X11" s="329">
        <f>Master!AE104</f>
        <v>13771.986066993839</v>
      </c>
      <c r="Y11" s="329">
        <f>Master!AF104</f>
        <v>11626.508028093</v>
      </c>
      <c r="Z11" s="329">
        <f>Master!AG104</f>
        <v>9469.1873868563744</v>
      </c>
      <c r="AA11" s="329">
        <f>Master!AH104</f>
        <v>7301.8044716997174</v>
      </c>
      <c r="AB11" s="329">
        <f>Master!AI104</f>
        <v>4960.0053491310746</v>
      </c>
    </row>
    <row r="12" spans="2:28">
      <c r="B12" s="327" t="s">
        <v>59</v>
      </c>
      <c r="C12" s="330"/>
      <c r="D12" s="329"/>
      <c r="E12" s="329"/>
      <c r="F12" s="329">
        <f>G12</f>
        <v>0</v>
      </c>
      <c r="G12" s="333">
        <v>0</v>
      </c>
      <c r="H12" s="329">
        <f>G12</f>
        <v>0</v>
      </c>
      <c r="I12" s="329">
        <f t="shared" si="3"/>
        <v>0</v>
      </c>
      <c r="J12" s="329">
        <f t="shared" si="3"/>
        <v>0</v>
      </c>
      <c r="K12" s="329">
        <f t="shared" si="3"/>
        <v>0</v>
      </c>
      <c r="L12" s="329">
        <f t="shared" si="3"/>
        <v>0</v>
      </c>
      <c r="M12" s="329">
        <f t="shared" si="3"/>
        <v>0</v>
      </c>
      <c r="N12" s="329">
        <f t="shared" si="3"/>
        <v>0</v>
      </c>
      <c r="O12" s="329">
        <f t="shared" si="3"/>
        <v>0</v>
      </c>
      <c r="P12" s="329">
        <f t="shared" si="3"/>
        <v>0</v>
      </c>
      <c r="Q12" s="329">
        <f t="shared" si="3"/>
        <v>0</v>
      </c>
      <c r="R12" s="329">
        <f t="shared" si="3"/>
        <v>0</v>
      </c>
      <c r="S12" s="329">
        <f t="shared" ref="S12:AB12" si="6">R12</f>
        <v>0</v>
      </c>
      <c r="T12" s="329">
        <f t="shared" si="6"/>
        <v>0</v>
      </c>
      <c r="U12" s="329">
        <f t="shared" si="6"/>
        <v>0</v>
      </c>
      <c r="V12" s="329">
        <f t="shared" si="6"/>
        <v>0</v>
      </c>
      <c r="W12" s="329">
        <f t="shared" si="6"/>
        <v>0</v>
      </c>
      <c r="X12" s="329">
        <f t="shared" si="6"/>
        <v>0</v>
      </c>
      <c r="Y12" s="329">
        <f t="shared" si="6"/>
        <v>0</v>
      </c>
      <c r="Z12" s="329">
        <f t="shared" si="6"/>
        <v>0</v>
      </c>
      <c r="AA12" s="329">
        <f t="shared" si="6"/>
        <v>0</v>
      </c>
      <c r="AB12" s="329">
        <f t="shared" si="6"/>
        <v>0</v>
      </c>
    </row>
    <row r="13" spans="2:28">
      <c r="B13" s="327" t="s">
        <v>61</v>
      </c>
      <c r="C13" s="329"/>
      <c r="D13" s="329"/>
      <c r="E13" s="329"/>
      <c r="F13" s="329">
        <f>G13</f>
        <v>527.90300000000002</v>
      </c>
      <c r="G13" s="349">
        <f>C92</f>
        <v>527.90300000000002</v>
      </c>
      <c r="H13" s="329">
        <f>G13</f>
        <v>527.90300000000002</v>
      </c>
      <c r="I13" s="329">
        <f t="shared" si="3"/>
        <v>527.90300000000002</v>
      </c>
      <c r="J13" s="329">
        <f t="shared" si="3"/>
        <v>527.90300000000002</v>
      </c>
      <c r="K13" s="329">
        <f t="shared" si="3"/>
        <v>527.90300000000002</v>
      </c>
      <c r="L13" s="329">
        <f t="shared" si="3"/>
        <v>527.90300000000002</v>
      </c>
      <c r="M13" s="329">
        <f t="shared" si="3"/>
        <v>527.90300000000002</v>
      </c>
      <c r="N13" s="329">
        <f t="shared" si="3"/>
        <v>527.90300000000002</v>
      </c>
      <c r="O13" s="329">
        <f t="shared" si="3"/>
        <v>527.90300000000002</v>
      </c>
      <c r="P13" s="329">
        <f t="shared" si="3"/>
        <v>527.90300000000002</v>
      </c>
      <c r="Q13" s="329">
        <f t="shared" si="3"/>
        <v>527.90300000000002</v>
      </c>
      <c r="R13" s="329">
        <f t="shared" si="3"/>
        <v>527.90300000000002</v>
      </c>
      <c r="S13" s="329">
        <f t="shared" ref="S13:AB13" si="7">R13</f>
        <v>527.90300000000002</v>
      </c>
      <c r="T13" s="329">
        <f t="shared" si="7"/>
        <v>527.90300000000002</v>
      </c>
      <c r="U13" s="329">
        <f t="shared" si="7"/>
        <v>527.90300000000002</v>
      </c>
      <c r="V13" s="329">
        <f t="shared" si="7"/>
        <v>527.90300000000002</v>
      </c>
      <c r="W13" s="329">
        <f t="shared" si="7"/>
        <v>527.90300000000002</v>
      </c>
      <c r="X13" s="329">
        <f t="shared" si="7"/>
        <v>527.90300000000002</v>
      </c>
      <c r="Y13" s="329">
        <f t="shared" si="7"/>
        <v>527.90300000000002</v>
      </c>
      <c r="Z13" s="329">
        <f t="shared" si="7"/>
        <v>527.90300000000002</v>
      </c>
      <c r="AA13" s="329">
        <f t="shared" si="7"/>
        <v>527.90300000000002</v>
      </c>
      <c r="AB13" s="329">
        <f t="shared" si="7"/>
        <v>527.90300000000002</v>
      </c>
    </row>
    <row r="14" spans="2:28">
      <c r="B14" s="853" t="s">
        <v>63</v>
      </c>
      <c r="C14" s="854"/>
      <c r="D14" s="854"/>
      <c r="E14" s="854"/>
      <c r="F14" s="854">
        <v>0</v>
      </c>
      <c r="G14" s="854">
        <v>0</v>
      </c>
      <c r="H14" s="854">
        <v>0</v>
      </c>
      <c r="I14" s="854">
        <v>0</v>
      </c>
      <c r="J14" s="854">
        <v>0</v>
      </c>
      <c r="K14" s="854">
        <v>0</v>
      </c>
      <c r="L14" s="854">
        <v>0</v>
      </c>
      <c r="M14" s="854">
        <v>0</v>
      </c>
      <c r="N14" s="854">
        <v>0</v>
      </c>
      <c r="O14" s="854">
        <v>0</v>
      </c>
      <c r="P14" s="854">
        <v>0</v>
      </c>
      <c r="Q14" s="854">
        <v>0</v>
      </c>
      <c r="R14" s="854">
        <v>0</v>
      </c>
      <c r="S14" s="854">
        <f>Master!Z98+R14</f>
        <v>-3175.0588000000002</v>
      </c>
      <c r="T14" s="854">
        <f>Master!AA98+S14</f>
        <v>-6811.8281248600015</v>
      </c>
      <c r="U14" s="854">
        <f>Master!AB98+T14</f>
        <v>-10967.973187380003</v>
      </c>
      <c r="V14" s="854">
        <f>Master!AC98+U14</f>
        <v>-15667.642387872345</v>
      </c>
      <c r="W14" s="854">
        <f>Master!AD98+V14</f>
        <v>-20871.623917002162</v>
      </c>
      <c r="X14" s="854">
        <f>Master!AE98+W14</f>
        <v>-26564.435870263675</v>
      </c>
      <c r="Y14" s="854">
        <f>Master!AF98+X14</f>
        <v>-32665.765623577972</v>
      </c>
      <c r="Z14" s="854">
        <f>Master!AG98+Y14</f>
        <v>-39195.489256855755</v>
      </c>
      <c r="AA14" s="854">
        <f>Master!AH98+Z14</f>
        <v>-46174.388924209954</v>
      </c>
      <c r="AB14" s="854">
        <f>Master!AI98+AA14</f>
        <v>-53624.199527363678</v>
      </c>
    </row>
    <row r="15" spans="2:28">
      <c r="B15" s="1029" t="s">
        <v>64</v>
      </c>
      <c r="C15" s="330"/>
      <c r="D15" s="330"/>
      <c r="E15" s="330"/>
      <c r="F15" s="330">
        <f t="shared" ref="F15:AB15" si="8">SUM(F8:F14)</f>
        <v>52384.735059999999</v>
      </c>
      <c r="G15" s="330">
        <f t="shared" si="8"/>
        <v>51692.435059999996</v>
      </c>
      <c r="H15" s="330">
        <f t="shared" si="8"/>
        <v>53191.435059999996</v>
      </c>
      <c r="I15" s="330">
        <f t="shared" si="8"/>
        <v>55274.435059999996</v>
      </c>
      <c r="J15" s="330">
        <f t="shared" si="8"/>
        <v>53726.435059999996</v>
      </c>
      <c r="K15" s="330">
        <f t="shared" si="8"/>
        <v>53358.335059999998</v>
      </c>
      <c r="L15" s="330">
        <f t="shared" si="8"/>
        <v>57584.435059999996</v>
      </c>
      <c r="M15" s="330">
        <f t="shared" si="8"/>
        <v>56459.303039999999</v>
      </c>
      <c r="N15" s="330">
        <f t="shared" si="8"/>
        <v>57352.574079999999</v>
      </c>
      <c r="O15" s="330">
        <f t="shared" si="8"/>
        <v>65535.376649999991</v>
      </c>
      <c r="P15" s="330">
        <f t="shared" si="8"/>
        <v>72976.626790000009</v>
      </c>
      <c r="Q15" s="330">
        <f t="shared" si="8"/>
        <v>74706.267789999998</v>
      </c>
      <c r="R15" s="330">
        <f t="shared" si="8"/>
        <v>74179.944920000009</v>
      </c>
      <c r="S15" s="330">
        <f t="shared" si="8"/>
        <v>70561.410105576055</v>
      </c>
      <c r="T15" s="330">
        <f t="shared" si="8"/>
        <v>66206.405752028455</v>
      </c>
      <c r="U15" s="330">
        <f t="shared" si="8"/>
        <v>60907.136990107174</v>
      </c>
      <c r="V15" s="330">
        <f t="shared" si="8"/>
        <v>54712.273496093956</v>
      </c>
      <c r="W15" s="330">
        <f t="shared" si="8"/>
        <v>47613.738529507056</v>
      </c>
      <c r="X15" s="330">
        <f t="shared" si="8"/>
        <v>39930.481116730174</v>
      </c>
      <c r="Y15" s="330">
        <f t="shared" si="8"/>
        <v>31683.673324515024</v>
      </c>
      <c r="Z15" s="330">
        <f t="shared" si="8"/>
        <v>22996.629050000622</v>
      </c>
      <c r="AA15" s="330">
        <f t="shared" si="8"/>
        <v>13850.346467489762</v>
      </c>
      <c r="AB15" s="330">
        <f t="shared" si="8"/>
        <v>4058.7367417673959</v>
      </c>
    </row>
    <row r="16" spans="2:28">
      <c r="B16" s="327"/>
      <c r="C16" s="329" t="s">
        <v>65</v>
      </c>
      <c r="D16" s="329"/>
      <c r="E16" s="327"/>
      <c r="F16" s="327"/>
      <c r="G16" s="327"/>
      <c r="H16" s="327"/>
      <c r="I16" s="327"/>
      <c r="J16" s="332"/>
      <c r="K16" s="327"/>
      <c r="L16" s="334"/>
      <c r="M16" s="327"/>
      <c r="N16" s="327"/>
      <c r="O16" s="327"/>
      <c r="P16" s="327"/>
      <c r="Q16" s="327"/>
      <c r="R16" s="327"/>
      <c r="S16" s="327"/>
      <c r="T16" s="327"/>
      <c r="U16" s="327"/>
      <c r="V16" s="327"/>
      <c r="W16" s="840"/>
      <c r="X16" s="327"/>
      <c r="Y16" s="327"/>
      <c r="Z16" s="327"/>
      <c r="AA16" s="327"/>
      <c r="AB16" s="327"/>
    </row>
    <row r="17" spans="2:30">
      <c r="B17" s="327" t="s">
        <v>66</v>
      </c>
      <c r="C17" s="329"/>
      <c r="D17" s="329"/>
      <c r="E17" s="334"/>
      <c r="F17" s="827">
        <v>12.76</v>
      </c>
      <c r="G17" s="827">
        <v>13.31</v>
      </c>
      <c r="H17" s="827">
        <v>16.5</v>
      </c>
      <c r="I17" s="827">
        <v>18.600000000000001</v>
      </c>
      <c r="J17" s="827">
        <v>19</v>
      </c>
      <c r="K17" s="827">
        <v>19.5</v>
      </c>
      <c r="L17" s="827">
        <v>20</v>
      </c>
      <c r="M17" s="827">
        <v>21.5</v>
      </c>
      <c r="N17" s="827">
        <v>20.285521077724361</v>
      </c>
      <c r="O17" s="827">
        <v>20.11</v>
      </c>
      <c r="P17" s="827">
        <v>17.739999999999998</v>
      </c>
      <c r="Q17" s="827">
        <v>18.3</v>
      </c>
      <c r="R17" s="827">
        <v>19.2</v>
      </c>
      <c r="S17" s="335">
        <v>17.364999999999998</v>
      </c>
      <c r="T17" s="335">
        <v>17.712299999999999</v>
      </c>
      <c r="U17" s="335">
        <v>18.066545999999999</v>
      </c>
      <c r="V17" s="335">
        <v>18.427876919999999</v>
      </c>
      <c r="W17" s="335">
        <v>18.7964344584</v>
      </c>
      <c r="X17" s="335">
        <v>19.172363147567999</v>
      </c>
      <c r="Y17" s="335">
        <v>19.55581041051936</v>
      </c>
      <c r="Z17" s="335">
        <v>19.946926618729748</v>
      </c>
      <c r="AA17" s="335">
        <v>20.345865151104341</v>
      </c>
      <c r="AB17" s="335">
        <v>20.752782454126429</v>
      </c>
    </row>
    <row r="18" spans="2:30">
      <c r="B18" s="327" t="s">
        <v>67</v>
      </c>
      <c r="C18" s="329"/>
      <c r="D18" s="329"/>
      <c r="E18" s="337"/>
      <c r="F18" s="337">
        <f t="shared" ref="F18:AB18" si="9">F8/F17</f>
        <v>4012.1106630094041</v>
      </c>
      <c r="G18" s="337">
        <f t="shared" si="9"/>
        <v>3846.3209661908336</v>
      </c>
      <c r="H18" s="337">
        <f t="shared" si="9"/>
        <v>3102.6989127272727</v>
      </c>
      <c r="I18" s="337">
        <f t="shared" si="9"/>
        <v>2752.394196774193</v>
      </c>
      <c r="J18" s="337">
        <f t="shared" si="9"/>
        <v>2694.4490557894737</v>
      </c>
      <c r="K18" s="337">
        <f t="shared" si="9"/>
        <v>2625.3606184615383</v>
      </c>
      <c r="L18" s="337">
        <f t="shared" si="9"/>
        <v>2559.7266030000001</v>
      </c>
      <c r="M18" s="337">
        <f t="shared" si="9"/>
        <v>2383.3053041860462</v>
      </c>
      <c r="N18" s="337">
        <f t="shared" si="9"/>
        <v>2518.4672301122432</v>
      </c>
      <c r="O18" s="337">
        <f t="shared" si="9"/>
        <v>2540.8677598209842</v>
      </c>
      <c r="P18" s="337">
        <f t="shared" si="9"/>
        <v>2883.284091882751</v>
      </c>
      <c r="Q18" s="337">
        <f t="shared" si="9"/>
        <v>2795.0524475409834</v>
      </c>
      <c r="R18" s="337">
        <f t="shared" si="9"/>
        <v>2662.8660374999999</v>
      </c>
      <c r="S18" s="337">
        <f t="shared" si="9"/>
        <v>2944.2572945580191</v>
      </c>
      <c r="T18" s="337">
        <f t="shared" si="9"/>
        <v>2886.5267593706071</v>
      </c>
      <c r="U18" s="337">
        <f t="shared" si="9"/>
        <v>2829.9281954613793</v>
      </c>
      <c r="V18" s="337">
        <f t="shared" si="9"/>
        <v>2774.4394073150779</v>
      </c>
      <c r="W18" s="337">
        <f t="shared" si="9"/>
        <v>2720.0386346226251</v>
      </c>
      <c r="X18" s="337">
        <f t="shared" si="9"/>
        <v>2666.7045437476718</v>
      </c>
      <c r="Y18" s="337">
        <f t="shared" si="9"/>
        <v>2614.4162193604625</v>
      </c>
      <c r="Z18" s="337">
        <f t="shared" si="9"/>
        <v>2563.1531562357477</v>
      </c>
      <c r="AA18" s="337">
        <f t="shared" si="9"/>
        <v>2512.8952512115175</v>
      </c>
      <c r="AB18" s="337">
        <f t="shared" si="9"/>
        <v>2463.622795305409</v>
      </c>
    </row>
    <row r="19" spans="2:30">
      <c r="B19" s="327"/>
      <c r="C19" s="329"/>
      <c r="D19" s="329"/>
      <c r="E19" s="337"/>
      <c r="F19" s="337"/>
      <c r="G19" s="337"/>
      <c r="H19" s="337"/>
      <c r="I19" s="336"/>
      <c r="J19" s="336"/>
      <c r="K19" s="336"/>
      <c r="L19" s="337"/>
      <c r="M19" s="337"/>
      <c r="N19" s="337"/>
      <c r="O19" s="337"/>
      <c r="P19" s="337"/>
      <c r="Q19" s="337"/>
      <c r="R19" s="337"/>
      <c r="S19" s="337"/>
      <c r="T19" s="337"/>
      <c r="U19" s="337"/>
      <c r="V19" s="337"/>
      <c r="W19" s="337"/>
      <c r="X19" s="337"/>
      <c r="Y19" s="337"/>
      <c r="Z19" s="337"/>
      <c r="AA19" s="337"/>
      <c r="AB19" s="337"/>
    </row>
    <row r="20" spans="2:30">
      <c r="B20" s="331" t="s">
        <v>31</v>
      </c>
      <c r="C20" s="329"/>
      <c r="D20" s="329"/>
      <c r="E20" s="327"/>
      <c r="F20" s="327"/>
      <c r="G20" s="332"/>
      <c r="H20" s="327"/>
      <c r="I20" s="336"/>
      <c r="J20" s="332"/>
      <c r="K20" s="327"/>
      <c r="L20" s="327"/>
      <c r="M20" s="327"/>
      <c r="N20" s="327"/>
      <c r="O20" s="327"/>
      <c r="P20" s="327"/>
      <c r="Q20" s="327"/>
      <c r="R20" s="327"/>
      <c r="S20" s="327"/>
      <c r="T20" s="340"/>
      <c r="U20" s="327"/>
      <c r="V20" s="327"/>
      <c r="W20" s="327"/>
      <c r="X20" s="327"/>
      <c r="Y20" s="327"/>
      <c r="Z20" s="327"/>
      <c r="AA20" s="327"/>
      <c r="AB20" s="327"/>
      <c r="AD20" s="161" t="s">
        <v>3379</v>
      </c>
    </row>
    <row r="21" spans="2:30">
      <c r="B21" s="327" t="s">
        <v>68</v>
      </c>
      <c r="C21" s="329"/>
      <c r="D21" s="329"/>
      <c r="E21" s="329"/>
      <c r="F21" s="329">
        <f>Master!M13</f>
        <v>4356</v>
      </c>
      <c r="G21" s="329">
        <f>Master!N13</f>
        <v>4847</v>
      </c>
      <c r="H21" s="329">
        <f>Master!O13</f>
        <v>5843</v>
      </c>
      <c r="I21" s="329">
        <f>Master!P13</f>
        <v>6915</v>
      </c>
      <c r="J21" s="329">
        <f>Master!Q13</f>
        <v>7715</v>
      </c>
      <c r="K21" s="329">
        <f>Master!R13</f>
        <v>9347</v>
      </c>
      <c r="L21" s="329">
        <f>Master!S13</f>
        <v>10161</v>
      </c>
      <c r="M21" s="329">
        <f>Master!T13</f>
        <v>11037</v>
      </c>
      <c r="N21" s="329">
        <f>Master!U13</f>
        <v>12116</v>
      </c>
      <c r="O21" s="329">
        <f>Master!V13</f>
        <v>12769.018</v>
      </c>
      <c r="P21" s="329">
        <f>Master!W13</f>
        <v>13319.993</v>
      </c>
      <c r="Q21" s="329">
        <f>Master!X13</f>
        <v>14629.852999999999</v>
      </c>
      <c r="R21" s="329">
        <f>Master!Y13</f>
        <v>15936.034</v>
      </c>
      <c r="S21" s="329">
        <f>Master!Z13</f>
        <v>17317.949166000006</v>
      </c>
      <c r="T21" s="329">
        <f>Master!AA13</f>
        <v>18891.568466000008</v>
      </c>
      <c r="U21" s="329">
        <f>Master!AB13</f>
        <v>20433.344349966705</v>
      </c>
      <c r="V21" s="329">
        <f>Master!AC13</f>
        <v>21683.256371374238</v>
      </c>
      <c r="W21" s="329">
        <f>Master!AD13</f>
        <v>22771.247813046059</v>
      </c>
      <c r="X21" s="329">
        <f>Master!AE13</f>
        <v>23466.652897362677</v>
      </c>
      <c r="Y21" s="329">
        <f>Master!AF13</f>
        <v>24184.161604732537</v>
      </c>
      <c r="Z21" s="329">
        <f>Master!AG13</f>
        <v>24924.641669122124</v>
      </c>
      <c r="AA21" s="329">
        <f>Master!AH13</f>
        <v>25689.002079840422</v>
      </c>
      <c r="AB21" s="329">
        <f>Master!AI13</f>
        <v>26478.195240894362</v>
      </c>
      <c r="AD21" s="338">
        <f>(U21/R21)^(1/3)-1</f>
        <v>8.6391607803540493E-2</v>
      </c>
    </row>
    <row r="22" spans="2:30">
      <c r="B22" s="327" t="s">
        <v>3378</v>
      </c>
      <c r="C22" s="329"/>
      <c r="D22" s="329"/>
      <c r="E22" s="329"/>
      <c r="F22" s="329">
        <f>Master!M96</f>
        <v>-295.30000000000018</v>
      </c>
      <c r="G22" s="329">
        <f>Master!N96</f>
        <v>-318.69999999999982</v>
      </c>
      <c r="H22" s="329">
        <f>Master!O96</f>
        <v>-677</v>
      </c>
      <c r="I22" s="329">
        <f>Master!P96</f>
        <v>-11</v>
      </c>
      <c r="J22" s="329">
        <f>Master!Q96</f>
        <v>1276</v>
      </c>
      <c r="K22" s="329">
        <f>Master!R96</f>
        <v>594.40000000000009</v>
      </c>
      <c r="L22" s="329">
        <f>Master!S96</f>
        <v>-2224.4</v>
      </c>
      <c r="M22" s="329">
        <f>Master!T96</f>
        <v>1152.1639999999998</v>
      </c>
      <c r="N22" s="329">
        <f>Master!U96</f>
        <v>1058.8350000000009</v>
      </c>
      <c r="O22" s="329">
        <f>Master!V96</f>
        <v>-701.96100000000115</v>
      </c>
      <c r="P22" s="329">
        <f>Master!W96</f>
        <v>114.62099999999919</v>
      </c>
      <c r="Q22" s="329">
        <f>Master!X96</f>
        <v>32.791999999999462</v>
      </c>
      <c r="R22" s="329">
        <f>Master!Y96</f>
        <v>0</v>
      </c>
      <c r="S22" s="329">
        <f>Master!Z96</f>
        <v>42.970336829149915</v>
      </c>
      <c r="T22" s="329">
        <f>Master!AA96</f>
        <v>47.524313170849723</v>
      </c>
      <c r="U22" s="329">
        <f>Master!AB96</f>
        <v>55.809483655631652</v>
      </c>
      <c r="V22" s="329">
        <f>Master!AC96</f>
        <v>58.310488371413385</v>
      </c>
      <c r="W22" s="329">
        <f>Master!AD96</f>
        <v>61.937913090490269</v>
      </c>
      <c r="X22" s="329">
        <f>Master!AE96</f>
        <v>64.499337537716656</v>
      </c>
      <c r="Y22" s="329">
        <f>Master!AF96</f>
        <v>64.763606853486522</v>
      </c>
      <c r="Z22" s="329">
        <f>Master!AG96</f>
        <v>58.46703734159712</v>
      </c>
      <c r="AA22" s="329">
        <f>Master!AH96</f>
        <v>60.683837595658474</v>
      </c>
      <c r="AB22" s="329">
        <f>Master!AI96</f>
        <v>62.99139004448125</v>
      </c>
      <c r="AD22" s="338" t="e">
        <f t="shared" ref="AD22:AD28" si="10">(U22/R22)^(1/3)-1</f>
        <v>#DIV/0!</v>
      </c>
    </row>
    <row r="23" spans="2:30">
      <c r="B23" s="327" t="s">
        <v>69</v>
      </c>
      <c r="C23" s="329"/>
      <c r="D23" s="329"/>
      <c r="E23" s="329"/>
      <c r="F23" s="329">
        <f>-Master!M45</f>
        <v>-2000</v>
      </c>
      <c r="G23" s="329">
        <f>-Master!N45</f>
        <v>-2336</v>
      </c>
      <c r="H23" s="329">
        <f>-Master!O45</f>
        <v>-3765</v>
      </c>
      <c r="I23" s="329">
        <f>-Master!P45</f>
        <v>-4874</v>
      </c>
      <c r="J23" s="329">
        <f>-Master!Q45</f>
        <v>-4692</v>
      </c>
      <c r="K23" s="329">
        <f>-Master!R45</f>
        <v>-5753.1229999999996</v>
      </c>
      <c r="L23" s="329">
        <f>-Master!S45</f>
        <v>-6535</v>
      </c>
      <c r="M23" s="329">
        <f>-Master!T45</f>
        <v>-8081</v>
      </c>
      <c r="N23" s="329">
        <f>-Master!U45</f>
        <v>-9466.5730000000003</v>
      </c>
      <c r="O23" s="329">
        <f>-Master!V45</f>
        <v>-11836</v>
      </c>
      <c r="P23" s="329">
        <f>-Master!W45</f>
        <v>-12949</v>
      </c>
      <c r="Q23" s="329">
        <f>-Master!X45</f>
        <v>-10340</v>
      </c>
      <c r="R23" s="329">
        <f>-Master!Y45</f>
        <v>-9187.3919999999998</v>
      </c>
      <c r="S23" s="329">
        <f>-Master!Z45</f>
        <v>-9717.293698700003</v>
      </c>
      <c r="T23" s="329">
        <f>-Master!AA45</f>
        <v>-9856.4705040000026</v>
      </c>
      <c r="U23" s="329">
        <f>-Master!AB45</f>
        <v>-9999.2961712603028</v>
      </c>
      <c r="V23" s="329">
        <f>-Master!AC45</f>
        <v>-10042.771372004911</v>
      </c>
      <c r="W23" s="329">
        <f>-Master!AD45</f>
        <v>-9962.4209182076502</v>
      </c>
      <c r="X23" s="329">
        <f>-Master!AE45</f>
        <v>-9918.8945236275231</v>
      </c>
      <c r="Y23" s="329">
        <f>-Master!AF45</f>
        <v>-9871.0863692785861</v>
      </c>
      <c r="Z23" s="329">
        <f>-Master!AG45</f>
        <v>-9944.6802619224636</v>
      </c>
      <c r="AA23" s="329">
        <f>-Master!AH45</f>
        <v>-10018.710811137766</v>
      </c>
      <c r="AB23" s="329">
        <f>-Master!AI45</f>
        <v>-9962.0932589503536</v>
      </c>
      <c r="AD23" s="338">
        <f t="shared" si="10"/>
        <v>2.8629704750885443E-2</v>
      </c>
    </row>
    <row r="24" spans="2:30">
      <c r="B24" s="327" t="s">
        <v>70</v>
      </c>
      <c r="C24" s="329"/>
      <c r="D24" s="329"/>
      <c r="E24" s="329"/>
      <c r="F24" s="329">
        <f>-Master!M176</f>
        <v>-34</v>
      </c>
      <c r="G24" s="329">
        <f>-Master!N176</f>
        <v>36.900000000000006</v>
      </c>
      <c r="H24" s="329">
        <f>-Master!O176</f>
        <v>80.733000000000004</v>
      </c>
      <c r="I24" s="329">
        <f>-Master!P176</f>
        <v>213</v>
      </c>
      <c r="J24" s="329">
        <f>-Master!Q176</f>
        <v>-2.5</v>
      </c>
      <c r="K24" s="329">
        <f>-Master!R176</f>
        <v>-29.299999999999997</v>
      </c>
      <c r="L24" s="329">
        <f>-Master!S176</f>
        <v>-413</v>
      </c>
      <c r="M24" s="329">
        <f>-Master!T176</f>
        <v>-545</v>
      </c>
      <c r="N24" s="329">
        <f>-Master!U176</f>
        <v>-697</v>
      </c>
      <c r="O24" s="329">
        <f>-Master!V176</f>
        <v>-1258.9899999999998</v>
      </c>
      <c r="P24" s="329">
        <f>-Master!W176</f>
        <v>-1906.258</v>
      </c>
      <c r="Q24" s="329">
        <f>-Master!X176</f>
        <v>-2535.7079999999996</v>
      </c>
      <c r="R24" s="329">
        <f>-Master!Y176</f>
        <v>-2104.5239999999999</v>
      </c>
      <c r="S24" s="329">
        <f>-Master!Z176</f>
        <v>-2049.7963986196419</v>
      </c>
      <c r="T24" s="329">
        <f>-Master!AA176</f>
        <v>-2021.1214665676478</v>
      </c>
      <c r="U24" s="329">
        <f>-Master!AB176</f>
        <v>-1955.6667391230112</v>
      </c>
      <c r="V24" s="329">
        <f>-Master!AC176</f>
        <v>-1856.3554404004174</v>
      </c>
      <c r="W24" s="329">
        <f>-Master!AD176</f>
        <v>-1757.7900475162949</v>
      </c>
      <c r="X24" s="329">
        <f>-Master!AE176</f>
        <v>-1654.702478980947</v>
      </c>
      <c r="Y24" s="329">
        <f>-Master!AF176</f>
        <v>-1598.033506574478</v>
      </c>
      <c r="Z24" s="329">
        <f>-Master!AG176</f>
        <v>-1549.623823456421</v>
      </c>
      <c r="AA24" s="329">
        <f>-Master!AH176</f>
        <v>-1511.5308952506296</v>
      </c>
      <c r="AB24" s="329">
        <f>-Master!AI176</f>
        <v>-1420.3220044511982</v>
      </c>
      <c r="AD24" s="338">
        <f t="shared" si="10"/>
        <v>-2.4156166135189672E-2</v>
      </c>
    </row>
    <row r="25" spans="2:30">
      <c r="B25" s="327" t="s">
        <v>71</v>
      </c>
      <c r="C25" s="329"/>
      <c r="D25" s="329"/>
      <c r="E25" s="329"/>
      <c r="F25" s="329"/>
      <c r="G25" s="329"/>
      <c r="H25" s="329"/>
      <c r="I25" s="329"/>
      <c r="J25" s="329"/>
      <c r="K25" s="329"/>
      <c r="L25" s="329">
        <f>-Master!S141</f>
        <v>-409.11500000000001</v>
      </c>
      <c r="M25" s="329">
        <f>-Master!T141</f>
        <v>-1735.2650000000001</v>
      </c>
      <c r="N25" s="329">
        <f>-Master!U141</f>
        <v>-1557.3579999999999</v>
      </c>
      <c r="O25" s="329">
        <f>-Master!V141</f>
        <v>-1626.65</v>
      </c>
      <c r="P25" s="329">
        <f>-Master!W141</f>
        <v>-505.54</v>
      </c>
      <c r="Q25" s="329">
        <f>-Master!X141</f>
        <v>-495.41500000000002</v>
      </c>
      <c r="R25" s="329">
        <f>-Master!Y141</f>
        <v>-520.1857500000001</v>
      </c>
      <c r="S25" s="329">
        <f>-Master!Z141</f>
        <v>-546.19503750000013</v>
      </c>
      <c r="T25" s="329">
        <f>-Master!AA141</f>
        <v>-573.5047893750002</v>
      </c>
      <c r="U25" s="329">
        <f>-Master!AB141</f>
        <v>-602.18002884375028</v>
      </c>
      <c r="V25" s="329">
        <f>-Master!AC141</f>
        <v>-632.28903028593777</v>
      </c>
      <c r="W25" s="329">
        <f>-Master!AD141</f>
        <v>-663.90348180023466</v>
      </c>
      <c r="X25" s="329">
        <f>-Master!AE141</f>
        <v>-697.09865589024639</v>
      </c>
      <c r="Y25" s="329">
        <f>-Master!AF141</f>
        <v>-731.95358868475876</v>
      </c>
      <c r="Z25" s="329">
        <f>-Master!AG141</f>
        <v>-768.55126811899675</v>
      </c>
      <c r="AA25" s="329">
        <f>-Master!AH141</f>
        <v>-806.9788315249466</v>
      </c>
      <c r="AB25" s="329">
        <f>-Master!AI141</f>
        <v>-847.327773101194</v>
      </c>
      <c r="AD25" s="338">
        <f t="shared" si="10"/>
        <v>5.0000000000000044E-2</v>
      </c>
    </row>
    <row r="26" spans="2:30">
      <c r="B26" s="327" t="s">
        <v>72</v>
      </c>
      <c r="C26" s="329"/>
      <c r="D26" s="329"/>
      <c r="E26" s="329"/>
      <c r="F26" s="329">
        <f>-Master!M257</f>
        <v>-872</v>
      </c>
      <c r="G26" s="329">
        <f>-Master!N257</f>
        <v>-785.5</v>
      </c>
      <c r="H26" s="329">
        <f>-Master!O257</f>
        <v>-959</v>
      </c>
      <c r="I26" s="329">
        <f>-Master!P257</f>
        <v>-845</v>
      </c>
      <c r="J26" s="329">
        <f>-Master!Q257</f>
        <v>-1013</v>
      </c>
      <c r="K26" s="329">
        <f>-Master!R257</f>
        <v>-1347</v>
      </c>
      <c r="L26" s="329">
        <f>-Master!S257</f>
        <v>-1267</v>
      </c>
      <c r="M26" s="329">
        <f>-Master!T257</f>
        <v>-1430</v>
      </c>
      <c r="N26" s="329">
        <f>-Master!U257</f>
        <v>-1645.319</v>
      </c>
      <c r="O26" s="329">
        <f>-Master!V257</f>
        <v>-1614.981</v>
      </c>
      <c r="P26" s="329">
        <f>-Master!W257</f>
        <v>-1301.4839999999999</v>
      </c>
      <c r="Q26" s="329">
        <f>-Master!X257</f>
        <v>-1095</v>
      </c>
      <c r="R26" s="329">
        <f>-Master!Y257</f>
        <v>-1299.261</v>
      </c>
      <c r="S26" s="329">
        <f>-Master!Z259</f>
        <v>-1429.0995535855532</v>
      </c>
      <c r="T26" s="329">
        <f>-Master!AA259</f>
        <v>-2132.9916656806081</v>
      </c>
      <c r="U26" s="329">
        <f>-Master!AB259</f>
        <v>-2632.7421324739876</v>
      </c>
      <c r="V26" s="329">
        <f>-Master!AC259</f>
        <v>-3015.2875230411705</v>
      </c>
      <c r="W26" s="329">
        <f>-Master!AD259</f>
        <v>-3350.5363120254701</v>
      </c>
      <c r="X26" s="329">
        <f>-Master!AE259</f>
        <v>-3577.199163624789</v>
      </c>
      <c r="Y26" s="329">
        <f>-Master!AF259</f>
        <v>-3801.0439548330651</v>
      </c>
      <c r="Z26" s="329">
        <f>-Master!AG259</f>
        <v>-4033.2090784514276</v>
      </c>
      <c r="AA26" s="329">
        <f>-Master!AH259</f>
        <v>-4266.1827970118857</v>
      </c>
      <c r="AB26" s="329">
        <f>-Master!AI259</f>
        <v>-4519.8338687137311</v>
      </c>
      <c r="AD26" s="338">
        <f t="shared" si="10"/>
        <v>0.26542761320990671</v>
      </c>
    </row>
    <row r="27" spans="2:30">
      <c r="B27" s="853" t="s">
        <v>73</v>
      </c>
      <c r="C27" s="854"/>
      <c r="D27" s="854"/>
      <c r="E27" s="854"/>
      <c r="F27" s="854">
        <f>Master!M33</f>
        <v>-131</v>
      </c>
      <c r="G27" s="854">
        <f>Master!N33</f>
        <v>-64.7</v>
      </c>
      <c r="H27" s="854">
        <f>Master!O33</f>
        <v>-161</v>
      </c>
      <c r="I27" s="854">
        <f>Master!P33</f>
        <v>-273</v>
      </c>
      <c r="J27" s="854">
        <f>Master!Q33</f>
        <v>-173</v>
      </c>
      <c r="K27" s="854">
        <f>Master!R33</f>
        <v>-174</v>
      </c>
      <c r="L27" s="854">
        <f>Master!S33</f>
        <v>-156</v>
      </c>
      <c r="M27" s="854">
        <f>Master!T33</f>
        <v>-171.60000000000002</v>
      </c>
      <c r="N27" s="854">
        <f>Master!U33</f>
        <v>-160.75700000000001</v>
      </c>
      <c r="O27" s="854">
        <f>Master!V33</f>
        <v>-168.411</v>
      </c>
      <c r="P27" s="854">
        <f>Master!W33</f>
        <v>-167.255</v>
      </c>
      <c r="Q27" s="854">
        <f>Master!X33</f>
        <v>-181.726</v>
      </c>
      <c r="R27" s="854">
        <f>Master!Y33</f>
        <v>-192.072</v>
      </c>
      <c r="S27" s="854">
        <f>Master!Z33</f>
        <v>-211.27920000000003</v>
      </c>
      <c r="T27" s="854">
        <f>Master!AA33</f>
        <v>-232.40712000000005</v>
      </c>
      <c r="U27" s="854">
        <f>Master!AB33</f>
        <v>-255.64783200000008</v>
      </c>
      <c r="V27" s="854">
        <f>Master!AC33</f>
        <v>-281.21261520000013</v>
      </c>
      <c r="W27" s="854">
        <f>Master!AD33</f>
        <v>-309.33387672000015</v>
      </c>
      <c r="X27" s="854">
        <f>Master!AE33</f>
        <v>-340.26726439200019</v>
      </c>
      <c r="Y27" s="854">
        <f>Master!AF33</f>
        <v>-374.29399083120023</v>
      </c>
      <c r="Z27" s="854">
        <f>Master!AG33</f>
        <v>-411.72338991432031</v>
      </c>
      <c r="AA27" s="854">
        <f>Master!AH33</f>
        <v>-452.89572890575238</v>
      </c>
      <c r="AB27" s="854">
        <f>Master!AI33</f>
        <v>-498.18530179632768</v>
      </c>
      <c r="AD27" s="338">
        <f t="shared" si="10"/>
        <v>0.10000000000000009</v>
      </c>
    </row>
    <row r="28" spans="2:30">
      <c r="B28" s="1029" t="s">
        <v>31</v>
      </c>
      <c r="C28" s="330"/>
      <c r="D28" s="330"/>
      <c r="E28" s="330"/>
      <c r="F28" s="330">
        <f>SUM(F21:F27)</f>
        <v>1023.6999999999998</v>
      </c>
      <c r="G28" s="330">
        <f>SUM(G21:G27)</f>
        <v>1379.0000000000002</v>
      </c>
      <c r="H28" s="330">
        <f>SUM(H21:H27)</f>
        <v>361.73299999999995</v>
      </c>
      <c r="I28" s="330">
        <f t="shared" ref="I28:O28" si="11">SUM(I21:I27)</f>
        <v>1125</v>
      </c>
      <c r="J28" s="330">
        <f t="shared" si="11"/>
        <v>3110.5</v>
      </c>
      <c r="K28" s="330">
        <f t="shared" si="11"/>
        <v>2637.9769999999999</v>
      </c>
      <c r="L28" s="330">
        <f t="shared" si="11"/>
        <v>-843.51499999999965</v>
      </c>
      <c r="M28" s="330">
        <f t="shared" si="11"/>
        <v>226.29900000000055</v>
      </c>
      <c r="N28" s="330">
        <f t="shared" si="11"/>
        <v>-352.17199999999929</v>
      </c>
      <c r="O28" s="330">
        <f t="shared" si="11"/>
        <v>-4437.9750000000013</v>
      </c>
      <c r="P28" s="330">
        <f t="shared" ref="P28:AB28" si="12">SUM(P21:P27)</f>
        <v>-3394.9230000000007</v>
      </c>
      <c r="Q28" s="330">
        <f t="shared" si="12"/>
        <v>14.795999999999026</v>
      </c>
      <c r="R28" s="330">
        <f t="shared" si="12"/>
        <v>2632.5992499999998</v>
      </c>
      <c r="S28" s="330">
        <f t="shared" si="12"/>
        <v>3407.2556144239556</v>
      </c>
      <c r="T28" s="330">
        <f t="shared" si="12"/>
        <v>4122.5972335475972</v>
      </c>
      <c r="U28" s="330">
        <f t="shared" si="12"/>
        <v>5043.6209299212833</v>
      </c>
      <c r="V28" s="330">
        <f t="shared" si="12"/>
        <v>5913.6508788132178</v>
      </c>
      <c r="W28" s="330">
        <f t="shared" si="12"/>
        <v>6789.2010898668977</v>
      </c>
      <c r="X28" s="330">
        <f t="shared" si="12"/>
        <v>7342.9901483848871</v>
      </c>
      <c r="Y28" s="330">
        <f t="shared" si="12"/>
        <v>7872.5138013839332</v>
      </c>
      <c r="Z28" s="330">
        <f t="shared" si="12"/>
        <v>8275.3208846000907</v>
      </c>
      <c r="AA28" s="330">
        <f t="shared" si="12"/>
        <v>8693.3868536050995</v>
      </c>
      <c r="AB28" s="330">
        <f t="shared" si="12"/>
        <v>9293.424423926037</v>
      </c>
      <c r="AD28" s="338">
        <f t="shared" si="10"/>
        <v>0.24199322944291946</v>
      </c>
    </row>
    <row r="29" spans="2:30">
      <c r="B29" s="327" t="s">
        <v>74</v>
      </c>
      <c r="C29" s="329"/>
      <c r="D29" s="329"/>
      <c r="E29" s="329"/>
      <c r="F29" s="329"/>
      <c r="G29" s="329"/>
      <c r="H29" s="329"/>
      <c r="I29" s="329"/>
      <c r="J29" s="329"/>
      <c r="K29" s="329"/>
      <c r="L29" s="329"/>
      <c r="M29" s="329"/>
      <c r="N29" s="329"/>
      <c r="O29" s="329"/>
      <c r="P29" s="329">
        <f>P28-(P23*0.72)-0.2*Master!W8*0.72</f>
        <v>1626.9992399999983</v>
      </c>
      <c r="Q29" s="329">
        <f>Q28-(Q23*0.72)-0.2*Master!X8*0.72</f>
        <v>2730.5138879999986</v>
      </c>
      <c r="R29" s="329">
        <f>R28-(R23*0.72)-0.2*Master!Y8*0.72</f>
        <v>4145.6432499999992</v>
      </c>
      <c r="S29" s="329">
        <f>S28-(S23*0.72)-0.2*Master!Z8*0.72</f>
        <v>4861.9633443679568</v>
      </c>
      <c r="T29" s="329">
        <f>T28-(T23*0.72)-0.2*Master!AA8*0.72</f>
        <v>5305.3736940275976</v>
      </c>
      <c r="U29" s="329">
        <f>U28-(U23*0.72)-0.2*Master!AB8*0.72</f>
        <v>5982.6852660048598</v>
      </c>
      <c r="V29" s="329">
        <f>V28-(V23*0.72)-0.2*Master!AC8*0.72</f>
        <v>6570.9959140717201</v>
      </c>
      <c r="W29" s="329">
        <f>W28-(W23*0.72)-0.2*Master!AD8*0.72</f>
        <v>7130.7698070625866</v>
      </c>
      <c r="X29" s="329">
        <f>X28-(X23*0.72)-0.2*Master!AE8*0.72</f>
        <v>7517.1756131900538</v>
      </c>
      <c r="Y29" s="329">
        <f>Y28-(Y23*0.72)-0.2*Master!AF8*0.72</f>
        <v>7872.5138013839332</v>
      </c>
      <c r="Z29" s="329">
        <f>Z28-(Z23*0.72)-0.2*Master!AG8*0.72</f>
        <v>8184.6858239851008</v>
      </c>
      <c r="AA29" s="329">
        <f>AA28-(AA23*0.72)-0.2*Master!AH8*0.72</f>
        <v>8508.4260386302485</v>
      </c>
      <c r="AB29" s="329">
        <f>AB28-(AB23*0.72)-0.2*Master!AI8*0.72</f>
        <v>8915.9135214816051</v>
      </c>
      <c r="AC29" s="338"/>
    </row>
    <row r="30" spans="2:30">
      <c r="B30" s="327"/>
      <c r="C30" s="329"/>
      <c r="D30" s="329"/>
      <c r="E30" s="329"/>
      <c r="F30" s="329"/>
      <c r="G30" s="327"/>
      <c r="H30" s="327"/>
      <c r="I30" s="334"/>
      <c r="J30" s="334"/>
      <c r="K30" s="327"/>
      <c r="L30" s="327"/>
      <c r="M30" s="332"/>
      <c r="N30" s="327"/>
      <c r="O30" s="327"/>
      <c r="P30" s="327"/>
      <c r="Q30" s="327"/>
      <c r="R30" s="327"/>
      <c r="S30" s="327"/>
      <c r="T30" s="327"/>
      <c r="U30" s="327"/>
      <c r="V30" s="327"/>
      <c r="W30" s="327"/>
      <c r="X30" s="327"/>
      <c r="Y30" s="327"/>
      <c r="Z30" s="327"/>
      <c r="AA30" s="327"/>
      <c r="AB30" s="327"/>
    </row>
    <row r="31" spans="2:30">
      <c r="B31" s="327" t="s">
        <v>75</v>
      </c>
      <c r="C31" s="329"/>
      <c r="D31" s="329"/>
      <c r="E31" s="329"/>
      <c r="F31" s="329">
        <f>Master!M23*(1-Master!M267)+Master!M20+Master!M21-Master!M45</f>
        <v>1559.12</v>
      </c>
      <c r="G31" s="329">
        <f>Master!N23*(1-Master!N267)+Master!N20+Master!N21-Master!N45</f>
        <v>1638.7439999999997</v>
      </c>
      <c r="H31" s="329">
        <f>Master!O23*(1-Master!O267)+Master!O20+Master!O21-Master!O45</f>
        <v>988.51999999999953</v>
      </c>
      <c r="I31" s="329">
        <f>Master!P23*(1-Master!P267)+Master!P20+Master!P21-Master!P45</f>
        <v>981.70000000000073</v>
      </c>
      <c r="J31" s="329">
        <f>Master!Q23*(1-Master!Q267)+Master!Q20+Master!Q21-Master!Q45</f>
        <v>1820.0999999999995</v>
      </c>
      <c r="K31" s="329">
        <f>Master!R23*(1-Master!R267)+Master!R20+Master!R21-Master!R45</f>
        <v>2260.7430000000004</v>
      </c>
      <c r="L31" s="329">
        <f>Master!S23*(1-Master!S267)+Master!S20+Master!S21-Master!S45</f>
        <v>2295.880000000001</v>
      </c>
      <c r="M31" s="329">
        <f>Master!T23*(1-Master!T267)+Master!T20+Master!T21-Master!T45</f>
        <v>1563.619999999999</v>
      </c>
      <c r="N31" s="329">
        <f>Master!U23*(1-Master!U267)+Master!U20+Master!U21-Master!U45</f>
        <v>1149.4669999999987</v>
      </c>
      <c r="O31" s="329">
        <f>Master!V23*(1-Master!V267)+Master!V20+Master!V21-Master!V45</f>
        <v>-829.75826999999845</v>
      </c>
      <c r="P31" s="329">
        <f>Master!W23*(1-Master!W267)+Master!W20+Master!W21-Master!W45</f>
        <v>-1526.4481799999994</v>
      </c>
      <c r="Q31" s="329">
        <f>Master!X23*(1-Master!X267)+Master!X20+Master!X21-Master!X45</f>
        <v>2438.1839999999993</v>
      </c>
      <c r="R31" s="329">
        <f>Master!Y23*(1-Master!Y267)+Master!Y20+Master!Y21-Master!Y45</f>
        <v>4828.6005999999998</v>
      </c>
      <c r="S31" s="329">
        <f>Master!Z23*(1-Master!Z267)+Master!Z20+Master!Z21-Master!Z45</f>
        <v>5648.8578320664401</v>
      </c>
      <c r="T31" s="329">
        <f>Master!AA23*(1-Master!AA267)+Master!AA20+Master!AA21-Master!AA45</f>
        <v>6295.7698563491012</v>
      </c>
      <c r="U31" s="329">
        <f>Master!AB23*(1-Master!AB267)+Master!AB20+Master!AB21-Master!AB45</f>
        <v>7214.6060244955115</v>
      </c>
      <c r="V31" s="329">
        <f>Master!AC23*(1-Master!AC267)+Master!AC20+Master!AC21-Master!AC45</f>
        <v>8068.2908442080334</v>
      </c>
      <c r="W31" s="329">
        <f>Master!AD23*(1-Master!AD267)+Master!AD20+Master!AD21-Master!AD45</f>
        <v>8930.9535685580504</v>
      </c>
      <c r="X31" s="329">
        <f>Master!AE23*(1-Master!AE267)+Master!AE20+Master!AE21-Master!AE45</f>
        <v>9474.1484664160798</v>
      </c>
      <c r="Y31" s="329">
        <f>Master!AF23*(1-Master!AF267)+Master!AF20+Master!AF21-Master!AF45</f>
        <v>10032.621228648542</v>
      </c>
      <c r="Z31" s="329">
        <f>Master!AG23*(1-Master!AG267)+Master!AG20+Master!AG21-Master!AG45</f>
        <v>10481.865181711304</v>
      </c>
      <c r="AA31" s="329">
        <f>Master!AH23*(1-Master!AH267)+Master!AH20+Master!AH21-Master!AH45</f>
        <v>10950.649203115581</v>
      </c>
      <c r="AB31" s="329">
        <f>Master!AI23*(1-Master!AI267)+Master!AI20+Master!AI21-Master!AI45</f>
        <v>11570.171511894914</v>
      </c>
    </row>
    <row r="32" spans="2:30">
      <c r="B32" s="327"/>
      <c r="C32" s="329"/>
      <c r="D32" s="329"/>
      <c r="E32" s="329"/>
      <c r="F32" s="329"/>
      <c r="G32" s="327"/>
      <c r="H32" s="327"/>
      <c r="I32" s="334"/>
      <c r="J32" s="334"/>
      <c r="K32" s="327"/>
      <c r="L32" s="327"/>
      <c r="M32" s="327"/>
      <c r="N32" s="327"/>
      <c r="O32" s="327"/>
      <c r="P32" s="327"/>
      <c r="Q32" s="327"/>
      <c r="R32" s="327"/>
      <c r="S32" s="327"/>
      <c r="T32" s="327"/>
      <c r="U32" s="327"/>
      <c r="V32" s="327"/>
      <c r="W32" s="327"/>
      <c r="X32" s="327"/>
      <c r="Y32" s="327"/>
      <c r="Z32" s="327"/>
      <c r="AA32" s="327"/>
      <c r="AB32" s="327"/>
    </row>
    <row r="33" spans="2:30">
      <c r="B33" s="327" t="s">
        <v>76</v>
      </c>
      <c r="C33" s="329"/>
      <c r="D33" s="329"/>
      <c r="E33" s="329"/>
      <c r="F33" s="329">
        <f t="shared" ref="F33:AB33" si="13">F8</f>
        <v>51194.532059999998</v>
      </c>
      <c r="G33" s="329">
        <f t="shared" si="13"/>
        <v>51194.532059999998</v>
      </c>
      <c r="H33" s="329">
        <f t="shared" si="13"/>
        <v>51194.532059999998</v>
      </c>
      <c r="I33" s="329">
        <f t="shared" si="13"/>
        <v>51194.532059999998</v>
      </c>
      <c r="J33" s="329">
        <f t="shared" si="13"/>
        <v>51194.532059999998</v>
      </c>
      <c r="K33" s="329">
        <f t="shared" si="13"/>
        <v>51194.532059999998</v>
      </c>
      <c r="L33" s="329">
        <f t="shared" si="13"/>
        <v>51194.532059999998</v>
      </c>
      <c r="M33" s="329">
        <f t="shared" si="13"/>
        <v>51241.064039999997</v>
      </c>
      <c r="N33" s="329">
        <f t="shared" si="13"/>
        <v>51088.420079999996</v>
      </c>
      <c r="O33" s="329">
        <f t="shared" si="13"/>
        <v>51096.850649999993</v>
      </c>
      <c r="P33" s="329">
        <f t="shared" si="13"/>
        <v>51149.459790000001</v>
      </c>
      <c r="Q33" s="329">
        <f t="shared" si="13"/>
        <v>51149.459790000001</v>
      </c>
      <c r="R33" s="329">
        <f t="shared" si="13"/>
        <v>51127.02792</v>
      </c>
      <c r="S33" s="329">
        <f t="shared" si="13"/>
        <v>51127.02792</v>
      </c>
      <c r="T33" s="329">
        <f t="shared" si="13"/>
        <v>51127.02792</v>
      </c>
      <c r="U33" s="329">
        <f t="shared" si="13"/>
        <v>51127.02792</v>
      </c>
      <c r="V33" s="329">
        <f t="shared" si="13"/>
        <v>51127.02792</v>
      </c>
      <c r="W33" s="329">
        <f t="shared" si="13"/>
        <v>51127.02792</v>
      </c>
      <c r="X33" s="329">
        <f t="shared" si="13"/>
        <v>51127.02792</v>
      </c>
      <c r="Y33" s="329">
        <f t="shared" si="13"/>
        <v>51127.02792</v>
      </c>
      <c r="Z33" s="329">
        <f t="shared" si="13"/>
        <v>51127.02792</v>
      </c>
      <c r="AA33" s="329">
        <f t="shared" si="13"/>
        <v>51127.02792</v>
      </c>
      <c r="AB33" s="329">
        <f t="shared" si="13"/>
        <v>51127.02792</v>
      </c>
    </row>
    <row r="34" spans="2:30">
      <c r="B34" s="327" t="s">
        <v>77</v>
      </c>
      <c r="C34" s="329"/>
      <c r="D34" s="329"/>
      <c r="E34" s="329"/>
      <c r="F34" s="329"/>
      <c r="G34" s="329"/>
      <c r="H34" s="329"/>
      <c r="I34" s="329"/>
      <c r="J34" s="329"/>
      <c r="K34" s="329"/>
      <c r="L34" s="329"/>
      <c r="M34" s="329"/>
      <c r="N34" s="329"/>
      <c r="O34" s="329"/>
      <c r="P34" s="329"/>
      <c r="Q34" s="329"/>
      <c r="R34" s="329"/>
      <c r="S34" s="329"/>
      <c r="T34" s="329"/>
      <c r="U34" s="329"/>
      <c r="V34" s="329"/>
      <c r="W34" s="329"/>
      <c r="X34" s="329"/>
      <c r="Y34" s="329"/>
      <c r="Z34" s="329"/>
      <c r="AA34" s="329"/>
      <c r="AB34" s="329"/>
    </row>
    <row r="35" spans="2:30">
      <c r="B35" s="853" t="s">
        <v>61</v>
      </c>
      <c r="C35" s="854"/>
      <c r="D35" s="854"/>
      <c r="E35" s="854"/>
      <c r="F35" s="854">
        <f t="shared" ref="F35:AB35" si="14">F12+F13</f>
        <v>527.90300000000002</v>
      </c>
      <c r="G35" s="854">
        <f t="shared" si="14"/>
        <v>527.90300000000002</v>
      </c>
      <c r="H35" s="854">
        <f t="shared" si="14"/>
        <v>527.90300000000002</v>
      </c>
      <c r="I35" s="854">
        <f t="shared" si="14"/>
        <v>527.90300000000002</v>
      </c>
      <c r="J35" s="854">
        <f t="shared" si="14"/>
        <v>527.90300000000002</v>
      </c>
      <c r="K35" s="854">
        <f t="shared" si="14"/>
        <v>527.90300000000002</v>
      </c>
      <c r="L35" s="854">
        <f t="shared" si="14"/>
        <v>527.90300000000002</v>
      </c>
      <c r="M35" s="854">
        <f t="shared" si="14"/>
        <v>527.90300000000002</v>
      </c>
      <c r="N35" s="854">
        <f t="shared" si="14"/>
        <v>527.90300000000002</v>
      </c>
      <c r="O35" s="854">
        <f t="shared" si="14"/>
        <v>527.90300000000002</v>
      </c>
      <c r="P35" s="854">
        <f t="shared" si="14"/>
        <v>527.90300000000002</v>
      </c>
      <c r="Q35" s="854">
        <f t="shared" si="14"/>
        <v>527.90300000000002</v>
      </c>
      <c r="R35" s="854">
        <f t="shared" si="14"/>
        <v>527.90300000000002</v>
      </c>
      <c r="S35" s="854">
        <f t="shared" si="14"/>
        <v>527.90300000000002</v>
      </c>
      <c r="T35" s="854">
        <f t="shared" si="14"/>
        <v>527.90300000000002</v>
      </c>
      <c r="U35" s="854">
        <f t="shared" si="14"/>
        <v>527.90300000000002</v>
      </c>
      <c r="V35" s="854">
        <f t="shared" si="14"/>
        <v>527.90300000000002</v>
      </c>
      <c r="W35" s="854">
        <f t="shared" si="14"/>
        <v>527.90300000000002</v>
      </c>
      <c r="X35" s="854">
        <f t="shared" si="14"/>
        <v>527.90300000000002</v>
      </c>
      <c r="Y35" s="854">
        <f t="shared" si="14"/>
        <v>527.90300000000002</v>
      </c>
      <c r="Z35" s="854">
        <f t="shared" si="14"/>
        <v>527.90300000000002</v>
      </c>
      <c r="AA35" s="854">
        <f t="shared" si="14"/>
        <v>527.90300000000002</v>
      </c>
      <c r="AB35" s="854">
        <f t="shared" si="14"/>
        <v>527.90300000000002</v>
      </c>
    </row>
    <row r="36" spans="2:30">
      <c r="B36" s="327" t="s">
        <v>78</v>
      </c>
      <c r="C36" s="329"/>
      <c r="D36" s="329"/>
      <c r="E36" s="329"/>
      <c r="F36" s="329">
        <f>SUM(F33:F35)</f>
        <v>51722.435059999996</v>
      </c>
      <c r="G36" s="329">
        <f>SUM(G33:G35)</f>
        <v>51722.435059999996</v>
      </c>
      <c r="H36" s="329">
        <f>SUM(H33:H35)</f>
        <v>51722.435059999996</v>
      </c>
      <c r="I36" s="329">
        <f t="shared" ref="I36:O36" si="15">SUM(I33:I35)</f>
        <v>51722.435059999996</v>
      </c>
      <c r="J36" s="329">
        <f t="shared" si="15"/>
        <v>51722.435059999996</v>
      </c>
      <c r="K36" s="329">
        <f t="shared" si="15"/>
        <v>51722.435059999996</v>
      </c>
      <c r="L36" s="329">
        <f t="shared" si="15"/>
        <v>51722.435059999996</v>
      </c>
      <c r="M36" s="329">
        <f t="shared" si="15"/>
        <v>51768.967039999996</v>
      </c>
      <c r="N36" s="329">
        <f t="shared" si="15"/>
        <v>51616.323079999995</v>
      </c>
      <c r="O36" s="329">
        <f t="shared" si="15"/>
        <v>51624.753649999991</v>
      </c>
      <c r="P36" s="329">
        <f t="shared" ref="P36:AB36" si="16">SUM(P33:P35)</f>
        <v>51677.362789999999</v>
      </c>
      <c r="Q36" s="329">
        <f t="shared" si="16"/>
        <v>51677.362789999999</v>
      </c>
      <c r="R36" s="329">
        <f t="shared" si="16"/>
        <v>51654.930919999999</v>
      </c>
      <c r="S36" s="329">
        <f t="shared" si="16"/>
        <v>51654.930919999999</v>
      </c>
      <c r="T36" s="329">
        <f t="shared" si="16"/>
        <v>51654.930919999999</v>
      </c>
      <c r="U36" s="329">
        <f t="shared" si="16"/>
        <v>51654.930919999999</v>
      </c>
      <c r="V36" s="329">
        <f t="shared" si="16"/>
        <v>51654.930919999999</v>
      </c>
      <c r="W36" s="329">
        <f t="shared" si="16"/>
        <v>51654.930919999999</v>
      </c>
      <c r="X36" s="329">
        <f t="shared" si="16"/>
        <v>51654.930919999999</v>
      </c>
      <c r="Y36" s="329">
        <f t="shared" si="16"/>
        <v>51654.930919999999</v>
      </c>
      <c r="Z36" s="329">
        <f t="shared" si="16"/>
        <v>51654.930919999999</v>
      </c>
      <c r="AA36" s="329">
        <f t="shared" si="16"/>
        <v>51654.930919999999</v>
      </c>
      <c r="AB36" s="329">
        <f t="shared" si="16"/>
        <v>51654.930919999999</v>
      </c>
    </row>
    <row r="37" spans="2:30">
      <c r="B37" s="327"/>
      <c r="C37" s="329"/>
      <c r="D37" s="329"/>
      <c r="E37" s="329"/>
      <c r="F37" s="329"/>
      <c r="G37" s="327"/>
      <c r="H37" s="327"/>
      <c r="I37" s="327"/>
      <c r="J37" s="327"/>
      <c r="K37" s="327"/>
      <c r="L37" s="327"/>
      <c r="M37" s="327"/>
      <c r="N37" s="327"/>
      <c r="O37" s="327"/>
      <c r="P37" s="327"/>
      <c r="Q37" s="327"/>
      <c r="R37" s="327"/>
      <c r="S37" s="327"/>
      <c r="T37" s="327"/>
      <c r="U37" s="327"/>
      <c r="V37" s="327"/>
      <c r="W37" s="327"/>
      <c r="X37" s="327"/>
      <c r="Y37" s="327"/>
      <c r="Z37" s="327"/>
      <c r="AA37" s="327"/>
      <c r="AB37" s="327"/>
    </row>
    <row r="38" spans="2:30">
      <c r="B38" s="327" t="s">
        <v>79</v>
      </c>
      <c r="C38" s="329"/>
      <c r="D38" s="339"/>
      <c r="E38" s="339">
        <f>Master!L38</f>
        <v>1.7466112382751551</v>
      </c>
      <c r="F38" s="339">
        <f>Master!M38</f>
        <v>2.1991092304165112</v>
      </c>
      <c r="G38" s="339">
        <f>Master!N38</f>
        <v>2.5699086536391325</v>
      </c>
      <c r="H38" s="339">
        <f>Master!O38</f>
        <v>3.1406759095357968</v>
      </c>
      <c r="I38" s="339">
        <f>Master!P38</f>
        <v>4.246505992968344</v>
      </c>
      <c r="J38" s="339">
        <f>Master!Q38</f>
        <v>4.4831464858592938</v>
      </c>
      <c r="K38" s="339">
        <f>Master!R38</f>
        <v>5.2716614470408736</v>
      </c>
      <c r="L38" s="339">
        <f>Master!S38</f>
        <v>4.931865553612016</v>
      </c>
      <c r="M38" s="339">
        <f>Master!T38</f>
        <v>5.0461956332162066</v>
      </c>
      <c r="N38" s="339">
        <f>Master!U38</f>
        <v>5.3804689577317619</v>
      </c>
      <c r="O38" s="339">
        <f>Master!V38</f>
        <v>4.2892676863520167</v>
      </c>
      <c r="P38" s="339">
        <f>Master!W38</f>
        <v>3.1925011109486836</v>
      </c>
      <c r="Q38" s="339">
        <f>Master!X38</f>
        <v>2.7534513957767057</v>
      </c>
      <c r="R38" s="339">
        <f>Master!Y38</f>
        <v>3.2802459784366826</v>
      </c>
      <c r="S38" s="339">
        <f>Master!Z38</f>
        <v>4.6193011980316987</v>
      </c>
      <c r="T38" s="339">
        <f>Master!AA38</f>
        <v>5.5290068023441279</v>
      </c>
      <c r="U38" s="339">
        <f>Master!AB38</f>
        <v>6.8608000053286435</v>
      </c>
      <c r="V38" s="339">
        <f>Master!AC38</f>
        <v>7.8711914267589114</v>
      </c>
      <c r="W38" s="339">
        <f>Master!AD38</f>
        <v>8.7499990498724696</v>
      </c>
      <c r="X38" s="339">
        <f>Master!AE38</f>
        <v>9.3302725294547635</v>
      </c>
      <c r="Y38" s="339">
        <f>Master!AF38</f>
        <v>9.899278624587998</v>
      </c>
      <c r="Z38" s="339">
        <f>Master!AG38</f>
        <v>10.48694337081705</v>
      </c>
      <c r="AA38" s="339">
        <f>Master!AH38</f>
        <v>11.072445004982166</v>
      </c>
      <c r="AB38" s="339">
        <f>Master!AI38</f>
        <v>11.709372684137</v>
      </c>
      <c r="AD38" s="339"/>
    </row>
    <row r="39" spans="2:30">
      <c r="B39" s="327" t="s">
        <v>80</v>
      </c>
      <c r="C39" s="329"/>
      <c r="D39" s="339"/>
      <c r="E39" s="339">
        <f>Master!L39</f>
        <v>0.620529</v>
      </c>
      <c r="F39" s="339">
        <f>Master!M39</f>
        <v>1.8254410000000001</v>
      </c>
      <c r="G39" s="339">
        <f>Master!N39</f>
        <v>1.1399999999999999</v>
      </c>
      <c r="H39" s="339">
        <f>Master!O39</f>
        <v>1.36</v>
      </c>
      <c r="I39" s="339">
        <f>Master!P39</f>
        <v>1.62</v>
      </c>
      <c r="J39" s="339">
        <f>Master!Q39</f>
        <v>1.78</v>
      </c>
      <c r="K39" s="339">
        <f>Master!R39</f>
        <v>2.1800000000000002</v>
      </c>
      <c r="L39" s="339">
        <f>Master!S39</f>
        <v>1.78</v>
      </c>
      <c r="M39" s="339">
        <f>Master!T39</f>
        <v>2.56</v>
      </c>
      <c r="N39" s="339">
        <f>Master!U39</f>
        <v>2.82</v>
      </c>
      <c r="O39" s="339">
        <f>Master!V39</f>
        <v>2.96</v>
      </c>
      <c r="P39" s="339">
        <f>Master!W39</f>
        <v>3.08</v>
      </c>
      <c r="Q39" s="339">
        <f>Master!X39</f>
        <v>3.34</v>
      </c>
      <c r="R39" s="339">
        <f>Master!Y39</f>
        <v>3.7</v>
      </c>
      <c r="S39" s="339">
        <f>Master!Z39</f>
        <v>4.2380463952295955</v>
      </c>
      <c r="T39" s="339">
        <f>Master!AA39</f>
        <v>4.8432919514196096</v>
      </c>
      <c r="U39" s="339">
        <f>Master!AB39</f>
        <v>5.4766784293322903</v>
      </c>
      <c r="V39" s="339">
        <f>Master!AC39</f>
        <v>6.0643701016750695</v>
      </c>
      <c r="W39" s="339">
        <f>Master!AD39</f>
        <v>6.6340202036786229</v>
      </c>
      <c r="X39" s="339">
        <f>Master!AE39</f>
        <v>7.1100793746757995</v>
      </c>
      <c r="Y39" s="339">
        <f>Master!AF39</f>
        <v>7.6093007925169154</v>
      </c>
      <c r="Z39" s="339">
        <f>Master!AG39</f>
        <v>8.1327403351429339</v>
      </c>
      <c r="AA39" s="339">
        <f>Master!AH39</f>
        <v>8.6815082705456579</v>
      </c>
      <c r="AB39" s="339">
        <f>Master!AI39</f>
        <v>9.256772415488097</v>
      </c>
    </row>
    <row r="40" spans="2:30">
      <c r="B40" s="327"/>
      <c r="C40" s="329"/>
      <c r="D40" s="329"/>
      <c r="E40" s="340"/>
      <c r="F40" s="327"/>
      <c r="G40" s="340"/>
      <c r="H40" s="340" t="s">
        <v>65</v>
      </c>
      <c r="I40" s="340"/>
      <c r="J40" s="340"/>
      <c r="K40" s="340"/>
      <c r="L40" s="339"/>
      <c r="M40" s="340"/>
      <c r="N40" s="340"/>
      <c r="O40" s="340"/>
      <c r="P40" s="340"/>
      <c r="Q40" s="340"/>
      <c r="R40" s="340"/>
      <c r="S40" s="340"/>
      <c r="T40" s="340"/>
      <c r="U40" s="340"/>
      <c r="V40" s="340"/>
      <c r="W40" s="340"/>
      <c r="X40" s="340"/>
      <c r="Y40" s="340"/>
      <c r="Z40" s="340"/>
      <c r="AA40" s="340"/>
      <c r="AB40" s="340"/>
    </row>
    <row r="41" spans="2:30">
      <c r="B41" s="327" t="s">
        <v>19</v>
      </c>
      <c r="C41" s="329"/>
      <c r="D41" s="339"/>
      <c r="E41" s="339"/>
      <c r="F41" s="339">
        <f t="shared" ref="F41:O41" si="17">F15/F21</f>
        <v>12.025880408631773</v>
      </c>
      <c r="G41" s="339">
        <f t="shared" si="17"/>
        <v>10.664830835568392</v>
      </c>
      <c r="H41" s="339">
        <f t="shared" si="17"/>
        <v>9.1034460140338869</v>
      </c>
      <c r="I41" s="339">
        <f t="shared" si="17"/>
        <v>7.9934107100506138</v>
      </c>
      <c r="J41" s="339">
        <f t="shared" si="17"/>
        <v>6.963893073233959</v>
      </c>
      <c r="K41" s="339">
        <f>K15/K21</f>
        <v>5.7086054413180696</v>
      </c>
      <c r="L41" s="339">
        <f t="shared" si="17"/>
        <v>5.6672015608699926</v>
      </c>
      <c r="M41" s="339">
        <f t="shared" si="17"/>
        <v>5.1154573742864908</v>
      </c>
      <c r="N41" s="339">
        <f t="shared" si="17"/>
        <v>4.7336228194123473</v>
      </c>
      <c r="O41" s="339">
        <f t="shared" si="17"/>
        <v>5.1323740517869103</v>
      </c>
      <c r="P41" s="339">
        <f t="shared" ref="P41:AB41" si="18">P15/P21</f>
        <v>5.4787286141967195</v>
      </c>
      <c r="Q41" s="339">
        <f t="shared" si="18"/>
        <v>5.106426413853919</v>
      </c>
      <c r="R41" s="339">
        <f t="shared" si="18"/>
        <v>4.6548560902919771</v>
      </c>
      <c r="S41" s="339">
        <f t="shared" si="18"/>
        <v>4.0744668684042509</v>
      </c>
      <c r="T41" s="339">
        <f t="shared" si="18"/>
        <v>3.5045478553664324</v>
      </c>
      <c r="U41" s="339">
        <f t="shared" si="18"/>
        <v>2.9807718182073519</v>
      </c>
      <c r="V41" s="339">
        <f t="shared" si="18"/>
        <v>2.5232498550505498</v>
      </c>
      <c r="W41" s="339">
        <f t="shared" si="18"/>
        <v>2.0909586914349192</v>
      </c>
      <c r="X41" s="339">
        <f t="shared" si="18"/>
        <v>1.7015840005550089</v>
      </c>
      <c r="Y41" s="339">
        <f t="shared" si="18"/>
        <v>1.3101001325725068</v>
      </c>
      <c r="Z41" s="339">
        <f t="shared" si="18"/>
        <v>0.92264632548318559</v>
      </c>
      <c r="AA41" s="339">
        <f t="shared" si="18"/>
        <v>0.53915471003674731</v>
      </c>
      <c r="AB41" s="339">
        <f t="shared" si="18"/>
        <v>0.15328600400600048</v>
      </c>
      <c r="AD41" s="428">
        <f>((Q41*4)+(R41*8))/12</f>
        <v>4.8053795314792911</v>
      </c>
    </row>
    <row r="42" spans="2:30">
      <c r="B42" s="327" t="s">
        <v>21</v>
      </c>
      <c r="C42" s="341"/>
      <c r="D42" s="339"/>
      <c r="E42" s="339"/>
      <c r="F42" s="339">
        <f>F15/Master!M53</f>
        <v>22.234607410865873</v>
      </c>
      <c r="G42" s="339">
        <f>G15/Master!N53</f>
        <v>20.586393890880125</v>
      </c>
      <c r="H42" s="339">
        <f>H15/Master!O53</f>
        <v>25.597418219441771</v>
      </c>
      <c r="I42" s="339">
        <f>I15/Master!P53</f>
        <v>27.082035796178342</v>
      </c>
      <c r="J42" s="339">
        <f>J15/Master!Q53</f>
        <v>17.7725554283824</v>
      </c>
      <c r="K42" s="339">
        <f>K15/Master!R53</f>
        <v>14.847012031853064</v>
      </c>
      <c r="L42" s="339">
        <f>L15/Master!S53</f>
        <v>15.880980435741863</v>
      </c>
      <c r="M42" s="339">
        <f>M15/Master!T53</f>
        <v>19.099899539918809</v>
      </c>
      <c r="N42" s="339">
        <f>N15/Master!U53</f>
        <v>21.647161473027943</v>
      </c>
      <c r="O42" s="339">
        <f>O15/Master!V53</f>
        <v>70.240206137502156</v>
      </c>
      <c r="P42" s="339">
        <f>P15/Master!W53</f>
        <v>196.70620952416874</v>
      </c>
      <c r="Q42" s="339">
        <f>Q15/Master!X53</f>
        <v>17.414645161500875</v>
      </c>
      <c r="R42" s="339">
        <f>R15/Master!Y53</f>
        <v>10.991832863559811</v>
      </c>
      <c r="S42" s="339">
        <f>S15/Master!Z53</f>
        <v>9.2835953963641167</v>
      </c>
      <c r="T42" s="339">
        <f>T15/Master!AA53</f>
        <v>7.3276909703116306</v>
      </c>
      <c r="U42" s="339">
        <f>U15/Master!AB53</f>
        <v>5.8373448106560639</v>
      </c>
      <c r="V42" s="339">
        <f>V15/Master!AC53</f>
        <v>4.7001712986235731</v>
      </c>
      <c r="W42" s="339">
        <f>W15/Master!AD53</f>
        <v>3.7172598958843008</v>
      </c>
      <c r="X42" s="339">
        <f>X15/Master!AE53</f>
        <v>2.947386572389926</v>
      </c>
      <c r="Y42" s="339">
        <f>Y15/Master!AF53</f>
        <v>2.213617465381132</v>
      </c>
      <c r="Z42" s="339">
        <f>Z15/Master!AG53</f>
        <v>1.5351594323165609</v>
      </c>
      <c r="AA42" s="339">
        <f>AA15/Master!AH53</f>
        <v>0.88386018038811043</v>
      </c>
      <c r="AB42" s="339">
        <f>AB15/Master!AI53</f>
        <v>0.24574422864454043</v>
      </c>
    </row>
    <row r="43" spans="2:30">
      <c r="B43" s="327" t="s">
        <v>23</v>
      </c>
      <c r="C43" s="342"/>
      <c r="D43" s="339"/>
      <c r="E43" s="339"/>
      <c r="F43" s="339">
        <f>F42/(1-Master!M267)</f>
        <v>30.881399181758159</v>
      </c>
      <c r="G43" s="339">
        <f>G42/(1-Master!N267)</f>
        <v>28.592213737333509</v>
      </c>
      <c r="H43" s="339">
        <f>H42/(1-Master!O267)</f>
        <v>35.551969749224682</v>
      </c>
      <c r="I43" s="339">
        <f>I42/(1-Master!P267)</f>
        <v>34.720558713049158</v>
      </c>
      <c r="J43" s="339">
        <f>J42/(1-Master!Q267)</f>
        <v>23.081240816081039</v>
      </c>
      <c r="K43" s="339">
        <f>K42/(1-Master!R267)</f>
        <v>19.03463081006803</v>
      </c>
      <c r="L43" s="339">
        <f>L42/(1-Master!S267)</f>
        <v>20.360231327874182</v>
      </c>
      <c r="M43" s="339">
        <f>M42/(1-Master!T267)</f>
        <v>24.487050692203599</v>
      </c>
      <c r="N43" s="339">
        <f>N42/(1-Master!U267)</f>
        <v>27.752771119266594</v>
      </c>
      <c r="O43" s="339">
        <f>O42/(1-Master!V267)</f>
        <v>96.219460462331725</v>
      </c>
      <c r="P43" s="339">
        <f>P42/(1-Master!W267)</f>
        <v>285.08146307850546</v>
      </c>
      <c r="Q43" s="339">
        <f>Q42/(1-Master!X267)</f>
        <v>24.878064516429824</v>
      </c>
      <c r="R43" s="339">
        <f>R42/(1-Master!Y267)</f>
        <v>15.702618376514016</v>
      </c>
      <c r="S43" s="339">
        <f>S42/(1-Master!Z267)</f>
        <v>12.46120187431425</v>
      </c>
      <c r="T43" s="339">
        <f>T42/(1-Master!AA267)</f>
        <v>10.468129957588044</v>
      </c>
      <c r="U43" s="339">
        <f>U42/(1-Master!AB267)</f>
        <v>8.3390640152229487</v>
      </c>
      <c r="V43" s="339">
        <f>V42/(1-Master!AC267)</f>
        <v>6.7145304266051049</v>
      </c>
      <c r="W43" s="339">
        <f>W42/(1-Master!AD267)</f>
        <v>5.3103712798347162</v>
      </c>
      <c r="X43" s="339">
        <f>X42/(1-Master!AE267)</f>
        <v>4.2105522462713232</v>
      </c>
      <c r="Y43" s="339">
        <f>Y42/(1-Master!AF267)</f>
        <v>3.1623106648301889</v>
      </c>
      <c r="Z43" s="339">
        <f>Z42/(1-Master!AG267)</f>
        <v>2.1930849033093729</v>
      </c>
      <c r="AA43" s="339">
        <f>AA42/(1-Master!AH267)</f>
        <v>1.2626574005544435</v>
      </c>
      <c r="AB43" s="339">
        <f>AB42/(1-Master!AI267)</f>
        <v>0.3510631837779149</v>
      </c>
    </row>
    <row r="44" spans="2:30">
      <c r="B44" s="327" t="s">
        <v>25</v>
      </c>
      <c r="C44" s="342"/>
      <c r="D44" s="339"/>
      <c r="E44" s="339"/>
      <c r="F44" s="339">
        <f>F15/Master!M23</f>
        <v>18.406442396345749</v>
      </c>
      <c r="G44" s="339">
        <f>G15/Master!N23</f>
        <v>16.593616801489471</v>
      </c>
      <c r="H44" s="339">
        <f>H15/Master!O23</f>
        <v>13.670376525314827</v>
      </c>
      <c r="I44" s="339">
        <f>I15/Master!P23</f>
        <v>11.479633449636552</v>
      </c>
      <c r="J44" s="339">
        <f>J15/Master!Q23</f>
        <v>10.272740929254303</v>
      </c>
      <c r="K44" s="339">
        <f>K15/Master!R23</f>
        <v>8.8054416984339152</v>
      </c>
      <c r="L44" s="339">
        <f>L15/Master!S23</f>
        <v>9.5243855540853453</v>
      </c>
      <c r="M44" s="339">
        <f>M15/Master!T23</f>
        <v>8.9207304534681615</v>
      </c>
      <c r="N44" s="339">
        <f>N15/Master!U23</f>
        <v>8.4119351833382225</v>
      </c>
      <c r="O44" s="339">
        <f>O15/Master!V23</f>
        <v>10.037888526545684</v>
      </c>
      <c r="P44" s="339">
        <f>P15/Master!W23</f>
        <v>11.922769750838865</v>
      </c>
      <c r="Q44" s="339">
        <f>Q15/Master!X23</f>
        <v>12.103610492480028</v>
      </c>
      <c r="R44" s="339">
        <f>R15/Master!Y23</f>
        <v>11.590366476472854</v>
      </c>
      <c r="S44" s="339">
        <f>S15/Master!Z23</f>
        <v>9.2187628738307925</v>
      </c>
      <c r="T44" s="339">
        <f>T15/Master!AA23</f>
        <v>7.2506545253326147</v>
      </c>
      <c r="U44" s="339">
        <f>U15/Master!AB23</f>
        <v>5.6755612375681244</v>
      </c>
      <c r="V44" s="339">
        <f>V15/Master!AC23</f>
        <v>4.5948460066519141</v>
      </c>
      <c r="W44" s="339">
        <f>W15/Master!AD23</f>
        <v>3.6834935948135761</v>
      </c>
      <c r="X44" s="339">
        <f>X15/Master!AE23</f>
        <v>2.9406704636828556</v>
      </c>
      <c r="Y44" s="339">
        <f>Y15/Master!AF23</f>
        <v>2.2205826723619819</v>
      </c>
      <c r="Z44" s="339">
        <f>Z15/Master!AG23</f>
        <v>1.5337574763090289</v>
      </c>
      <c r="AA44" s="339">
        <f>AA15/Master!AH23</f>
        <v>0.88038539416867334</v>
      </c>
      <c r="AB44" s="339">
        <f>AB15/Master!AI23</f>
        <v>0.2461864415409247</v>
      </c>
    </row>
    <row r="45" spans="2:30">
      <c r="B45" s="327" t="s">
        <v>27</v>
      </c>
      <c r="C45" s="342"/>
      <c r="D45" s="339"/>
      <c r="E45" s="339"/>
      <c r="F45" s="339">
        <f>F15/F31</f>
        <v>33.598911603981733</v>
      </c>
      <c r="G45" s="339">
        <f t="shared" ref="G45:O45" si="19">G15/G31</f>
        <v>31.543935514027819</v>
      </c>
      <c r="H45" s="339">
        <f t="shared" si="19"/>
        <v>53.809164265771074</v>
      </c>
      <c r="I45" s="339">
        <f t="shared" si="19"/>
        <v>56.304813140470564</v>
      </c>
      <c r="J45" s="339">
        <f t="shared" si="19"/>
        <v>29.518397373770679</v>
      </c>
      <c r="K45" s="339">
        <f t="shared" si="19"/>
        <v>23.602123310787643</v>
      </c>
      <c r="L45" s="339">
        <f t="shared" si="19"/>
        <v>25.081639745979743</v>
      </c>
      <c r="M45" s="339">
        <f t="shared" si="19"/>
        <v>36.108071679819929</v>
      </c>
      <c r="N45" s="339">
        <f t="shared" si="19"/>
        <v>49.89492876263526</v>
      </c>
      <c r="O45" s="339">
        <f t="shared" si="19"/>
        <v>-78.981287706840348</v>
      </c>
      <c r="P45" s="339">
        <f t="shared" ref="P45:AB45" si="20">P15/P31</f>
        <v>-47.808125913583282</v>
      </c>
      <c r="Q45" s="339">
        <f t="shared" si="20"/>
        <v>30.640127156112918</v>
      </c>
      <c r="R45" s="339">
        <f t="shared" si="20"/>
        <v>15.362617674363047</v>
      </c>
      <c r="S45" s="339">
        <f t="shared" si="20"/>
        <v>12.491270306897349</v>
      </c>
      <c r="T45" s="339">
        <f t="shared" si="20"/>
        <v>10.516014286205397</v>
      </c>
      <c r="U45" s="339">
        <f t="shared" si="20"/>
        <v>8.4421986153244131</v>
      </c>
      <c r="V45" s="339">
        <f t="shared" si="20"/>
        <v>6.7811478976827093</v>
      </c>
      <c r="W45" s="339">
        <f t="shared" si="20"/>
        <v>5.3313163218241373</v>
      </c>
      <c r="X45" s="339">
        <f t="shared" si="20"/>
        <v>4.2146775784943173</v>
      </c>
      <c r="Y45" s="339">
        <f t="shared" si="20"/>
        <v>3.1580653353124761</v>
      </c>
      <c r="Z45" s="339">
        <f t="shared" si="20"/>
        <v>2.1939443649900214</v>
      </c>
      <c r="AA45" s="339">
        <f t="shared" si="20"/>
        <v>1.2647968362961699</v>
      </c>
      <c r="AB45" s="339">
        <f t="shared" si="20"/>
        <v>0.3507931353994832</v>
      </c>
    </row>
    <row r="46" spans="2:30">
      <c r="B46" s="327"/>
      <c r="C46" s="342"/>
      <c r="D46" s="342"/>
      <c r="E46" s="342"/>
      <c r="F46" s="342"/>
      <c r="G46" s="339"/>
      <c r="H46" s="327"/>
      <c r="I46" s="340"/>
      <c r="J46" s="340"/>
      <c r="K46" s="340"/>
      <c r="L46" s="327"/>
      <c r="M46" s="327"/>
      <c r="N46" s="327"/>
      <c r="O46" s="327"/>
      <c r="P46" s="327"/>
      <c r="Q46" s="327"/>
      <c r="R46" s="327"/>
      <c r="S46" s="327"/>
      <c r="T46" s="327"/>
      <c r="U46" s="327"/>
      <c r="V46" s="327"/>
      <c r="W46" s="327"/>
      <c r="X46" s="327"/>
      <c r="Y46" s="327"/>
      <c r="Z46" s="327"/>
      <c r="AA46" s="327"/>
      <c r="AB46" s="327"/>
    </row>
    <row r="47" spans="2:30">
      <c r="B47" s="327" t="s">
        <v>81</v>
      </c>
      <c r="C47" s="330"/>
      <c r="D47" s="339"/>
      <c r="E47" s="339"/>
      <c r="F47" s="339">
        <f t="shared" ref="F47:AB47" si="21">1/F48</f>
        <v>50.524992732245778</v>
      </c>
      <c r="G47" s="339">
        <f>1/G48</f>
        <v>37.507204539521382</v>
      </c>
      <c r="H47" s="339">
        <f t="shared" si="21"/>
        <v>142.98511625978279</v>
      </c>
      <c r="I47" s="339">
        <f t="shared" si="21"/>
        <v>45.975497831111113</v>
      </c>
      <c r="J47" s="339">
        <f t="shared" si="21"/>
        <v>16.628334692171673</v>
      </c>
      <c r="K47" s="339">
        <f t="shared" si="21"/>
        <v>19.606855958183107</v>
      </c>
      <c r="L47" s="339">
        <f t="shared" si="21"/>
        <v>-61.31774190144813</v>
      </c>
      <c r="M47" s="339">
        <f t="shared" si="21"/>
        <v>228.76356961365218</v>
      </c>
      <c r="N47" s="339">
        <f t="shared" si="21"/>
        <v>-146.56566416410192</v>
      </c>
      <c r="O47" s="339">
        <f t="shared" si="21"/>
        <v>-11.632502132166129</v>
      </c>
      <c r="P47" s="339">
        <f t="shared" si="21"/>
        <v>-15.221954309420269</v>
      </c>
      <c r="Q47" s="339">
        <f t="shared" si="21"/>
        <v>3492.6576635579481</v>
      </c>
      <c r="R47" s="339">
        <f>1/R48</f>
        <v>19.621266290340245</v>
      </c>
      <c r="S47" s="339">
        <f t="shared" si="21"/>
        <v>15.160274650756719</v>
      </c>
      <c r="T47" s="339">
        <f t="shared" si="21"/>
        <v>12.529705909580123</v>
      </c>
      <c r="U47" s="339">
        <f t="shared" si="21"/>
        <v>10.24163624461884</v>
      </c>
      <c r="V47" s="339">
        <f t="shared" si="21"/>
        <v>8.7348631122381004</v>
      </c>
      <c r="W47" s="339">
        <f t="shared" si="21"/>
        <v>7.6083960743329078</v>
      </c>
      <c r="X47" s="339">
        <f t="shared" si="21"/>
        <v>7.034590796960507</v>
      </c>
      <c r="Y47" s="339">
        <f t="shared" si="21"/>
        <v>6.5614278009800913</v>
      </c>
      <c r="Z47" s="339">
        <f t="shared" si="21"/>
        <v>6.2420456729511162</v>
      </c>
      <c r="AA47" s="339">
        <f t="shared" si="21"/>
        <v>5.9418649819522278</v>
      </c>
      <c r="AB47" s="339">
        <f t="shared" si="21"/>
        <v>5.5582235959237734</v>
      </c>
    </row>
    <row r="48" spans="2:30">
      <c r="B48" s="327" t="s">
        <v>82</v>
      </c>
      <c r="C48" s="330"/>
      <c r="D48" s="343"/>
      <c r="E48" s="344"/>
      <c r="F48" s="343">
        <f t="shared" ref="F48:O48" si="22">F28/F36</f>
        <v>1.979218493507641E-2</v>
      </c>
      <c r="G48" s="343">
        <f>G28/G36</f>
        <v>2.6661544422653491E-2</v>
      </c>
      <c r="H48" s="344">
        <f t="shared" si="22"/>
        <v>6.9937349156198054E-3</v>
      </c>
      <c r="I48" s="343">
        <f t="shared" si="22"/>
        <v>2.1750716080844938E-2</v>
      </c>
      <c r="J48" s="343">
        <f t="shared" si="22"/>
        <v>6.0138313217305055E-2</v>
      </c>
      <c r="K48" s="343">
        <f t="shared" si="22"/>
        <v>5.100256778204363E-2</v>
      </c>
      <c r="L48" s="343">
        <f t="shared" si="22"/>
        <v>-1.6308493577719033E-2</v>
      </c>
      <c r="M48" s="343">
        <f t="shared" si="22"/>
        <v>4.3713253893041277E-3</v>
      </c>
      <c r="N48" s="343">
        <f>N28/N36</f>
        <v>-6.8228804181609155E-3</v>
      </c>
      <c r="O48" s="343">
        <f t="shared" si="22"/>
        <v>-8.5966027655804647E-2</v>
      </c>
      <c r="P48" s="343">
        <f t="shared" ref="P48:AB48" si="23">P28/P36</f>
        <v>-6.5694586888960724E-2</v>
      </c>
      <c r="Q48" s="343">
        <f t="shared" si="23"/>
        <v>2.8631492013485982E-4</v>
      </c>
      <c r="R48" s="343">
        <f t="shared" si="23"/>
        <v>5.0965110263668893E-2</v>
      </c>
      <c r="S48" s="343">
        <f t="shared" si="23"/>
        <v>6.5961865667788902E-2</v>
      </c>
      <c r="T48" s="343">
        <f t="shared" si="23"/>
        <v>7.9810332917343824E-2</v>
      </c>
      <c r="U48" s="343">
        <f t="shared" si="23"/>
        <v>9.7640648048344797E-2</v>
      </c>
      <c r="V48" s="343">
        <f t="shared" si="23"/>
        <v>0.11448376318558859</v>
      </c>
      <c r="W48" s="343">
        <f t="shared" si="23"/>
        <v>0.13143374638099115</v>
      </c>
      <c r="X48" s="343">
        <f t="shared" si="23"/>
        <v>0.14215467947788493</v>
      </c>
      <c r="Y48" s="343">
        <f t="shared" si="23"/>
        <v>0.15240585286187686</v>
      </c>
      <c r="Z48" s="343">
        <f t="shared" si="23"/>
        <v>0.16020389026202361</v>
      </c>
      <c r="AA48" s="343">
        <f t="shared" si="23"/>
        <v>0.16829732803377254</v>
      </c>
      <c r="AB48" s="343">
        <f t="shared" si="23"/>
        <v>0.17991359698688059</v>
      </c>
    </row>
    <row r="49" spans="2:28">
      <c r="B49" s="327" t="s">
        <v>83</v>
      </c>
      <c r="C49" s="330"/>
      <c r="D49" s="343"/>
      <c r="E49" s="344"/>
      <c r="F49" s="343"/>
      <c r="G49" s="343"/>
      <c r="H49" s="344"/>
      <c r="I49" s="343"/>
      <c r="J49" s="343"/>
      <c r="K49" s="343"/>
      <c r="L49" s="343"/>
      <c r="M49" s="343"/>
      <c r="N49" s="343"/>
      <c r="O49" s="343"/>
      <c r="P49" s="343">
        <f t="shared" ref="P49:AB49" si="24">P29/P8</f>
        <v>3.1808727730064622E-2</v>
      </c>
      <c r="Q49" s="343">
        <f t="shared" si="24"/>
        <v>5.3383044497643528E-2</v>
      </c>
      <c r="R49" s="343">
        <f t="shared" si="24"/>
        <v>8.1085160210892987E-2</v>
      </c>
      <c r="S49" s="343">
        <f t="shared" si="24"/>
        <v>9.5095755457868927E-2</v>
      </c>
      <c r="T49" s="343">
        <f t="shared" si="24"/>
        <v>0.10376847452054275</v>
      </c>
      <c r="U49" s="343">
        <f t="shared" si="24"/>
        <v>0.11701609714857956</v>
      </c>
      <c r="V49" s="343">
        <f t="shared" si="24"/>
        <v>0.12852293945882312</v>
      </c>
      <c r="W49" s="343">
        <f t="shared" si="24"/>
        <v>0.13947162777035108</v>
      </c>
      <c r="X49" s="343">
        <f t="shared" si="24"/>
        <v>0.14702938776242586</v>
      </c>
      <c r="Y49" s="343">
        <f t="shared" si="24"/>
        <v>0.1539794922893287</v>
      </c>
      <c r="Z49" s="343">
        <f t="shared" si="24"/>
        <v>0.1600853043285036</v>
      </c>
      <c r="AA49" s="343">
        <f t="shared" si="24"/>
        <v>0.16641738009773693</v>
      </c>
      <c r="AB49" s="343">
        <f t="shared" si="24"/>
        <v>0.17438747926894174</v>
      </c>
    </row>
    <row r="50" spans="2:28">
      <c r="B50" s="327" t="s">
        <v>84</v>
      </c>
      <c r="C50" s="330"/>
      <c r="D50" s="343"/>
      <c r="E50" s="343"/>
      <c r="F50" s="343">
        <f>F39/$C$4</f>
        <v>3.0638486069150723E-2</v>
      </c>
      <c r="G50" s="343">
        <f t="shared" ref="G50:O50" si="25">G39/$C$4</f>
        <v>1.9133937562940583E-2</v>
      </c>
      <c r="H50" s="343">
        <f t="shared" si="25"/>
        <v>2.2826451829472981E-2</v>
      </c>
      <c r="I50" s="343">
        <f t="shared" si="25"/>
        <v>2.719033232628399E-2</v>
      </c>
      <c r="J50" s="343">
        <f t="shared" si="25"/>
        <v>2.9875797247398458E-2</v>
      </c>
      <c r="K50" s="343">
        <f t="shared" si="25"/>
        <v>3.6589459550184632E-2</v>
      </c>
      <c r="L50" s="343">
        <f t="shared" si="25"/>
        <v>2.9875797247398458E-2</v>
      </c>
      <c r="M50" s="343">
        <f t="shared" si="25"/>
        <v>4.2967438737831487E-2</v>
      </c>
      <c r="N50" s="343">
        <f t="shared" si="25"/>
        <v>4.7331319234642497E-2</v>
      </c>
      <c r="O50" s="343">
        <f t="shared" si="25"/>
        <v>4.968110104061766E-2</v>
      </c>
      <c r="P50" s="343">
        <f t="shared" ref="P50:AB50" si="26">P39/$C$4</f>
        <v>5.1695199731453513E-2</v>
      </c>
      <c r="Q50" s="343">
        <f t="shared" si="26"/>
        <v>5.6059080228264516E-2</v>
      </c>
      <c r="R50" s="343">
        <f t="shared" si="26"/>
        <v>6.2101376300772074E-2</v>
      </c>
      <c r="S50" s="343">
        <f t="shared" si="26"/>
        <v>7.1132030802779384E-2</v>
      </c>
      <c r="T50" s="343">
        <f t="shared" si="26"/>
        <v>8.1290566489083754E-2</v>
      </c>
      <c r="U50" s="343">
        <f t="shared" si="26"/>
        <v>9.192142378872592E-2</v>
      </c>
      <c r="V50" s="343">
        <f t="shared" si="26"/>
        <v>0.10178533235439861</v>
      </c>
      <c r="W50" s="343">
        <f t="shared" si="26"/>
        <v>0.11134642839339751</v>
      </c>
      <c r="X50" s="343">
        <f t="shared" si="26"/>
        <v>0.11933667966894596</v>
      </c>
      <c r="Y50" s="343">
        <f t="shared" si="26"/>
        <v>0.12771568970320435</v>
      </c>
      <c r="Z50" s="343">
        <f t="shared" si="26"/>
        <v>0.13650118051599419</v>
      </c>
      <c r="AA50" s="343">
        <f t="shared" si="26"/>
        <v>0.14571178701822185</v>
      </c>
      <c r="AB50" s="343">
        <f t="shared" si="26"/>
        <v>0.15536711002833328</v>
      </c>
    </row>
    <row r="51" spans="2:28">
      <c r="B51" s="327" t="s">
        <v>85</v>
      </c>
      <c r="C51" s="330"/>
      <c r="D51" s="343"/>
      <c r="E51" s="343"/>
      <c r="F51" s="343"/>
      <c r="G51" s="343"/>
      <c r="H51" s="343"/>
      <c r="I51" s="343"/>
      <c r="J51" s="343"/>
      <c r="K51" s="343"/>
      <c r="L51" s="343"/>
      <c r="M51" s="343"/>
      <c r="N51" s="343"/>
      <c r="O51" s="343"/>
      <c r="P51" s="343"/>
      <c r="Q51" s="343"/>
      <c r="R51" s="343"/>
      <c r="S51" s="343"/>
      <c r="T51" s="343"/>
      <c r="U51" s="343"/>
      <c r="V51" s="343"/>
      <c r="W51" s="343"/>
      <c r="X51" s="343"/>
      <c r="Y51" s="343"/>
      <c r="Z51" s="343"/>
      <c r="AA51" s="343"/>
      <c r="AB51" s="343"/>
    </row>
    <row r="52" spans="2:28">
      <c r="B52" s="327" t="s">
        <v>86</v>
      </c>
      <c r="C52" s="345"/>
      <c r="D52" s="339"/>
      <c r="E52" s="339"/>
      <c r="F52" s="339">
        <f>$C$4/F38</f>
        <v>27.092787923370022</v>
      </c>
      <c r="G52" s="339">
        <f t="shared" ref="G52:O52" si="27">$C$4/G38</f>
        <v>23.183703403477562</v>
      </c>
      <c r="H52" s="339">
        <f t="shared" si="27"/>
        <v>18.970438757816989</v>
      </c>
      <c r="I52" s="339">
        <f t="shared" si="27"/>
        <v>14.030358157661063</v>
      </c>
      <c r="J52" s="339">
        <f t="shared" si="27"/>
        <v>13.289773195662193</v>
      </c>
      <c r="K52" s="339">
        <f t="shared" si="27"/>
        <v>11.301939739215209</v>
      </c>
      <c r="L52" s="339">
        <f t="shared" si="27"/>
        <v>12.080621288705773</v>
      </c>
      <c r="M52" s="339">
        <f t="shared" si="27"/>
        <v>11.806914422385667</v>
      </c>
      <c r="N52" s="339">
        <f t="shared" si="27"/>
        <v>11.073384210196627</v>
      </c>
      <c r="O52" s="339">
        <f t="shared" si="27"/>
        <v>13.890483028041611</v>
      </c>
      <c r="P52" s="339">
        <f t="shared" ref="P52:AB52" si="28">$C$4/P38</f>
        <v>18.662483717130236</v>
      </c>
      <c r="Q52" s="339">
        <f t="shared" si="28"/>
        <v>21.638297335258901</v>
      </c>
      <c r="R52" s="339">
        <f t="shared" si="28"/>
        <v>18.163272020348597</v>
      </c>
      <c r="S52" s="339">
        <f t="shared" si="28"/>
        <v>12.898054802182472</v>
      </c>
      <c r="T52" s="339">
        <f t="shared" si="28"/>
        <v>10.775895586661228</v>
      </c>
      <c r="U52" s="339">
        <f t="shared" si="28"/>
        <v>8.6841184634044755</v>
      </c>
      <c r="V52" s="339">
        <f t="shared" si="28"/>
        <v>7.5693750500657071</v>
      </c>
      <c r="W52" s="339">
        <f t="shared" si="28"/>
        <v>6.8091435965205473</v>
      </c>
      <c r="X52" s="339">
        <f t="shared" si="28"/>
        <v>6.3856655646350875</v>
      </c>
      <c r="Y52" s="339">
        <f t="shared" si="28"/>
        <v>6.0186203721970379</v>
      </c>
      <c r="Z52" s="339">
        <f t="shared" si="28"/>
        <v>5.681350408146435</v>
      </c>
      <c r="AA52" s="339">
        <f t="shared" si="28"/>
        <v>5.3809253487546185</v>
      </c>
      <c r="AB52" s="339">
        <f t="shared" si="28"/>
        <v>5.0882315908105493</v>
      </c>
    </row>
    <row r="53" spans="2:28">
      <c r="B53" s="327" t="s">
        <v>87</v>
      </c>
      <c r="C53" s="345"/>
      <c r="D53" s="339"/>
      <c r="E53" s="339"/>
      <c r="F53" s="332">
        <f>(Master!M23+Master!M32)/(Master!M86+Master!M81)</f>
        <v>0.13639849920192368</v>
      </c>
      <c r="G53" s="332">
        <f>(Master!N23+Master!N32)/(Master!N86+Master!N81)</f>
        <v>0.14490887603408595</v>
      </c>
      <c r="H53" s="332">
        <f>(Master!O23+Master!O32)/(Master!O86+Master!O81)</f>
        <v>0.14846321332725707</v>
      </c>
      <c r="I53" s="332">
        <f>(Master!P23+Master!P32)/(Master!P86+Master!P81)</f>
        <v>0.16353600263634865</v>
      </c>
      <c r="J53" s="332">
        <f>(Master!Q23+Master!Q32)/(Master!Q86+Master!Q81)</f>
        <v>0.16352567085466105</v>
      </c>
      <c r="K53" s="332">
        <f>(Master!R23+Master!R32)/(Master!R86+Master!R81)</f>
        <v>0.16676869941859024</v>
      </c>
      <c r="L53" s="332">
        <f>(Master!S23+Master!S32)/(Master!S86+Master!S81)</f>
        <v>0.13877515463019427</v>
      </c>
      <c r="M53" s="332">
        <f>(Master!T23+Master!T32)/(Master!T86+Master!T81)</f>
        <v>0.13556616348255443</v>
      </c>
      <c r="N53" s="332">
        <f>(Master!U23+Master!U32)/(Master!U86+Master!U81)</f>
        <v>0.13245867657964921</v>
      </c>
      <c r="O53" s="332">
        <f>(Master!V23+Master!V32)/(Master!V86+Master!V81)</f>
        <v>0.10335240669437683</v>
      </c>
      <c r="P53" s="332">
        <f>(Master!W23+Master!W32)/(Master!W86+Master!W81)</f>
        <v>8.7250325901455525E-2</v>
      </c>
      <c r="Q53" s="332">
        <f>(Master!X23+Master!X32)/(Master!X86+Master!X81)</f>
        <v>8.9538666439382422E-2</v>
      </c>
      <c r="R53" s="332">
        <f>(Master!Y23+Master!Y32)/(Master!Y86+Master!Y81)</f>
        <v>9.1032346334015246E-2</v>
      </c>
      <c r="S53" s="332">
        <f>(Master!Z23+Master!Z32)/(Master!Z86+Master!Z81)</f>
        <v>0.1118056019681076</v>
      </c>
      <c r="T53" s="332">
        <f>(Master!AA23+Master!AA32)/(Master!AA86+Master!AA81)</f>
        <v>0.12654877280583865</v>
      </c>
      <c r="U53" s="332">
        <f>(Master!AB23+Master!AB32)/(Master!AB86+Master!AB81)</f>
        <v>0.14704703173851541</v>
      </c>
      <c r="V53" s="332">
        <f>(Master!AC23+Master!AC32)/(Master!AC86+Master!AC81)</f>
        <v>0.16233172186139236</v>
      </c>
      <c r="W53" s="332">
        <f>(Master!AD23+Master!AD32)/(Master!AD86+Master!AD81)</f>
        <v>0.17641665143984547</v>
      </c>
      <c r="X53" s="332">
        <f>(Master!AE23+Master!AE32)/(Master!AE86+Master!AE81)</f>
        <v>0.18644833369002137</v>
      </c>
      <c r="Y53" s="332">
        <f>(Master!AF23+Master!AF32)/(Master!AF86+Master!AF81)</f>
        <v>0.19795923392272868</v>
      </c>
      <c r="Z53" s="332">
        <f>(Master!AG23+Master!AG32)/(Master!AG86+Master!AG81)</f>
        <v>0.21031161052602315</v>
      </c>
      <c r="AA53" s="332">
        <f>(Master!AH23+Master!AH32)/(Master!AH86+Master!AH81)</f>
        <v>0.22334027675005202</v>
      </c>
      <c r="AB53" s="332">
        <f>(Master!AI23+Master!AI32)/(Master!AI86+Master!AI81)</f>
        <v>0.23743729124162941</v>
      </c>
    </row>
    <row r="54" spans="2:28">
      <c r="B54" s="327" t="s">
        <v>88</v>
      </c>
      <c r="C54" s="345"/>
      <c r="D54" s="339"/>
      <c r="E54" s="339"/>
      <c r="F54" s="332">
        <f>Master!M23/(Master!M70-Master!M75)</f>
        <v>0.13996950769684749</v>
      </c>
      <c r="G54" s="332">
        <f>Master!N23/(Master!N70-Master!N75)</f>
        <v>0.13576222435282836</v>
      </c>
      <c r="H54" s="332">
        <f>Master!O23/(Master!O70-Master!O75)</f>
        <v>0.15873857702349869</v>
      </c>
      <c r="I54" s="332">
        <f>Master!P23/(Master!P70-Master!P75)</f>
        <v>0.17325129533678757</v>
      </c>
      <c r="J54" s="332">
        <f>Master!Q23/(Master!Q70-Master!Q75)</f>
        <v>0.15934919716035462</v>
      </c>
      <c r="K54" s="332">
        <f>Master!R23/(Master!R70-Master!R75)</f>
        <v>0.19201787185499714</v>
      </c>
      <c r="L54" s="332">
        <f>Master!S23/(Master!S70-Master!S75)</f>
        <v>0.14893826673892693</v>
      </c>
      <c r="M54" s="332">
        <f>Master!T23/(Master!T70-Master!T75)</f>
        <v>0.14537060431357238</v>
      </c>
      <c r="N54" s="332">
        <f>Master!U23/(Master!U70-Master!U75)</f>
        <v>0.16040382804747275</v>
      </c>
      <c r="O54" s="332">
        <f>Master!V23/(Master!V70-Master!V75)</f>
        <v>0.12753778429349219</v>
      </c>
      <c r="P54" s="332">
        <f>Master!W23/(Master!W70-Master!W75)</f>
        <v>0.10736293320348513</v>
      </c>
      <c r="Q54" s="332">
        <f>Master!X23/(Master!X70-Master!X75)</f>
        <v>9.3198771120637361E-2</v>
      </c>
      <c r="R54" s="332">
        <f>Master!Y23/(Master!Y70-Master!Y75)</f>
        <v>9.5990487307848996E-2</v>
      </c>
      <c r="S54" s="332">
        <f>Master!Z23/(Master!Z70-Master!Z75)</f>
        <v>0.11706473158651425</v>
      </c>
      <c r="T54" s="332">
        <f>Master!AA23/(Master!AA70-Master!AA75)</f>
        <v>0.13779158146868306</v>
      </c>
      <c r="U54" s="332">
        <f>Master!AB23/(Master!AB70-Master!AB75)</f>
        <v>0.15834747377190506</v>
      </c>
      <c r="V54" s="332">
        <f>Master!AC23/(Master!AC70-Master!AC75)</f>
        <v>0.17108875939824764</v>
      </c>
      <c r="W54" s="332">
        <f>Master!AD23/(Master!AD70-Master!AD75)</f>
        <v>0.18035363622748474</v>
      </c>
      <c r="X54" s="332">
        <f>Master!AE23/(Master!AE70-Master!AE75)</f>
        <v>0.1841045535954528</v>
      </c>
      <c r="Y54" s="332">
        <f>Master!AF23/(Master!AF70-Master!AF75)</f>
        <v>0.18793567510029369</v>
      </c>
      <c r="Z54" s="332">
        <f>Master!AG23/(Master!AG70-Master!AG75)</f>
        <v>0.19182044912538479</v>
      </c>
      <c r="AA54" s="332">
        <f>Master!AH23/(Master!AH70-Master!AH75)</f>
        <v>0.19550759315888597</v>
      </c>
      <c r="AB54" s="332">
        <f>Master!AI23/(Master!AI70-Master!AI75)</f>
        <v>0.19898032256264991</v>
      </c>
    </row>
    <row r="55" spans="2:28">
      <c r="B55" s="327" t="s">
        <v>89</v>
      </c>
      <c r="C55" s="345"/>
      <c r="D55" s="339"/>
      <c r="E55" s="339"/>
      <c r="F55" s="339">
        <f>F15/(Master!M86+Master!M81)</f>
        <v>3.619655138436876</v>
      </c>
      <c r="G55" s="339">
        <f>G15/(Master!N86+Master!N81)</f>
        <v>3.2153035429495551</v>
      </c>
      <c r="H55" s="339">
        <f>H15/(Master!O86+Master!O81)</f>
        <v>2.6933735915742569</v>
      </c>
      <c r="I55" s="339">
        <f>I15/(Master!P86+Master!P81)</f>
        <v>2.2769169162959302</v>
      </c>
      <c r="J55" s="339">
        <f>J15/(Master!Q86+Master!Q81)</f>
        <v>2.0833889816969133</v>
      </c>
      <c r="K55" s="339">
        <f>K15/(Master!R86+Master!R81)</f>
        <v>1.8881957563811753</v>
      </c>
      <c r="L55" s="339">
        <f>L15/(Master!S86+Master!S81)</f>
        <v>1.6721675831228038</v>
      </c>
      <c r="M55" s="339">
        <f>M15/(Master!T86+Master!T81)</f>
        <v>1.562353767305924</v>
      </c>
      <c r="N55" s="339">
        <f>N15/(Master!U86+Master!U81)</f>
        <v>1.4686477014672066</v>
      </c>
      <c r="O55" s="339">
        <f>O15/(Master!V86+Master!V81)</f>
        <v>1.3784059856486328</v>
      </c>
      <c r="P55" s="339">
        <f>P15/(Master!W86+Master!W81)</f>
        <v>1.321196521859092</v>
      </c>
      <c r="Q55" s="339">
        <f>Q15/(Master!X86+Master!X81)</f>
        <v>1.317470272684119</v>
      </c>
      <c r="R55" s="339">
        <f>R15/(Master!Y86+Master!Y81)</f>
        <v>1.3238457694619215</v>
      </c>
      <c r="S55" s="339">
        <f>S15/(Master!Z86+Master!Z81)</f>
        <v>1.2673332939511062</v>
      </c>
      <c r="T55" s="339">
        <f>T15/(Master!AA86+Master!AA81)</f>
        <v>1.1972302455826795</v>
      </c>
      <c r="U55" s="339">
        <f>U15/(Master!AB86+Master!AB81)</f>
        <v>1.1058785525162684</v>
      </c>
      <c r="V55" s="339">
        <f>V15/(Master!AC86+Master!AC81)</f>
        <v>0.9988204304015954</v>
      </c>
      <c r="W55" s="339">
        <f>W15/(Master!AD86+Master!AD81)</f>
        <v>0.87720471618103291</v>
      </c>
      <c r="X55" s="339">
        <f>X15/(Master!AE86+Master!AE81)</f>
        <v>0.744385469683291</v>
      </c>
      <c r="Y55" s="339">
        <f>Y15/(Master!AF86+Master!AF81)</f>
        <v>0.59921602800624774</v>
      </c>
      <c r="Z55" s="339">
        <f>Z15/(Master!AG86+Master!AG81)</f>
        <v>0.44126475606625792</v>
      </c>
      <c r="AA55" s="339">
        <f>AA15/(Master!AH86+Master!AH81)</f>
        <v>0.26978472877483073</v>
      </c>
      <c r="AB55" s="339">
        <f>AB15/(Master!AI86+Master!AI81)</f>
        <v>8.0532095562925538E-2</v>
      </c>
    </row>
    <row r="56" spans="2:28">
      <c r="B56" s="327" t="s">
        <v>65</v>
      </c>
      <c r="C56" s="345"/>
      <c r="D56" s="339"/>
      <c r="E56" s="339"/>
      <c r="F56" s="339"/>
      <c r="G56" s="339"/>
      <c r="H56" s="339"/>
      <c r="I56" s="339"/>
      <c r="J56" s="339"/>
      <c r="K56" s="339"/>
      <c r="L56" s="339"/>
      <c r="M56" s="339"/>
      <c r="N56" s="339"/>
      <c r="O56" s="339"/>
      <c r="P56" s="339"/>
      <c r="Q56" s="339"/>
      <c r="R56" s="339"/>
      <c r="S56" s="339"/>
      <c r="T56" s="339"/>
      <c r="U56" s="339"/>
      <c r="V56" s="339"/>
      <c r="W56" s="339"/>
      <c r="X56" s="339"/>
      <c r="Y56" s="339"/>
      <c r="Z56" s="339"/>
      <c r="AA56" s="339"/>
      <c r="AB56" s="339"/>
    </row>
    <row r="57" spans="2:28">
      <c r="B57" s="327" t="s">
        <v>90</v>
      </c>
      <c r="C57" s="345"/>
      <c r="D57" s="339"/>
      <c r="E57" s="339"/>
      <c r="F57" s="339"/>
      <c r="G57" s="339"/>
      <c r="H57" s="339"/>
      <c r="I57" s="339"/>
      <c r="J57" s="428">
        <f t="shared" ref="J57:AB57" si="29">J11/J21</f>
        <v>0.12132209980557355</v>
      </c>
      <c r="K57" s="428">
        <f t="shared" si="29"/>
        <v>6.0757462287364943E-2</v>
      </c>
      <c r="L57" s="428">
        <f t="shared" si="29"/>
        <v>0.47180395630351346</v>
      </c>
      <c r="M57" s="428">
        <f t="shared" si="29"/>
        <v>0.32819932952795144</v>
      </c>
      <c r="N57" s="428">
        <f t="shared" si="29"/>
        <v>0.38529638494552659</v>
      </c>
      <c r="O57" s="428">
        <f t="shared" si="29"/>
        <v>1.0057643430371856</v>
      </c>
      <c r="P57" s="428">
        <f t="shared" si="29"/>
        <v>1.5188644618657081</v>
      </c>
      <c r="Q57" s="428">
        <f t="shared" si="29"/>
        <v>1.5011022325378116</v>
      </c>
      <c r="R57" s="428">
        <f t="shared" si="29"/>
        <v>1.3464462989976052</v>
      </c>
      <c r="S57" s="428">
        <f t="shared" si="29"/>
        <v>1.2133964468975067</v>
      </c>
      <c r="T57" s="428">
        <f t="shared" si="29"/>
        <v>1.074304814521611</v>
      </c>
      <c r="U57" s="428">
        <f t="shared" si="29"/>
        <v>0.93730027397685278</v>
      </c>
      <c r="V57" s="428">
        <f t="shared" si="29"/>
        <v>0.81431426449749766</v>
      </c>
      <c r="W57" s="428">
        <f t="shared" si="29"/>
        <v>0.69220763200682534</v>
      </c>
      <c r="X57" s="428">
        <f t="shared" si="29"/>
        <v>0.58687475061863714</v>
      </c>
      <c r="Y57" s="428">
        <f t="shared" si="29"/>
        <v>0.48074885613639956</v>
      </c>
      <c r="Z57" s="428">
        <f t="shared" si="29"/>
        <v>0.3799126788886707</v>
      </c>
      <c r="AA57" s="428">
        <f t="shared" si="29"/>
        <v>0.28423854103035967</v>
      </c>
      <c r="AB57" s="428">
        <f t="shared" si="29"/>
        <v>0.18732414743549339</v>
      </c>
    </row>
    <row r="58" spans="2:28">
      <c r="B58" s="327"/>
      <c r="J58" s="307"/>
    </row>
    <row r="61" spans="2:28">
      <c r="B61" s="1023" t="s">
        <v>91</v>
      </c>
      <c r="C61" s="1023"/>
      <c r="D61" s="1023"/>
      <c r="E61" s="1023"/>
      <c r="F61" s="1023"/>
      <c r="G61" s="1023">
        <f>Master!N3</f>
        <v>2014</v>
      </c>
      <c r="H61" s="1023">
        <f>Master!O3</f>
        <v>2015</v>
      </c>
      <c r="I61" s="1023">
        <f>Master!P3</f>
        <v>2016</v>
      </c>
      <c r="J61" s="1023">
        <f>Master!Q3</f>
        <v>2017</v>
      </c>
      <c r="K61" s="1023">
        <f>Master!R3</f>
        <v>2018</v>
      </c>
      <c r="L61" s="1023">
        <f>Master!S3</f>
        <v>2019</v>
      </c>
      <c r="M61" s="1023">
        <f>Master!T3</f>
        <v>2020</v>
      </c>
      <c r="N61" s="1023">
        <f>Master!U3</f>
        <v>2021</v>
      </c>
      <c r="O61" s="1023">
        <f>Master!V3</f>
        <v>2022</v>
      </c>
      <c r="P61" s="1023">
        <f>Master!W3</f>
        <v>2023</v>
      </c>
      <c r="Q61" s="1023">
        <f>Master!X3</f>
        <v>2024</v>
      </c>
      <c r="R61" s="1023">
        <f>Master!Y3</f>
        <v>2025</v>
      </c>
      <c r="S61" s="1023">
        <f>Master!Z3</f>
        <v>2026</v>
      </c>
      <c r="T61" s="1023">
        <f>Master!AA3</f>
        <v>2027</v>
      </c>
      <c r="U61" s="1023">
        <f>Master!AB3</f>
        <v>2028</v>
      </c>
      <c r="V61" s="1023">
        <f>Master!AC3</f>
        <v>2029</v>
      </c>
      <c r="W61" s="1023">
        <f>Master!AD3</f>
        <v>2030</v>
      </c>
      <c r="X61" s="1023">
        <f>Master!AE3</f>
        <v>2031</v>
      </c>
      <c r="Y61" s="1023">
        <f>Master!AF3</f>
        <v>2032</v>
      </c>
      <c r="Z61" s="1023">
        <f>Master!AG3</f>
        <v>2033</v>
      </c>
      <c r="AA61" s="1023">
        <f>Master!AH3</f>
        <v>2034</v>
      </c>
      <c r="AB61" s="1023">
        <f>Master!AI3</f>
        <v>2035</v>
      </c>
    </row>
    <row r="62" spans="2:28">
      <c r="B62" s="161" t="s">
        <v>92</v>
      </c>
      <c r="G62" s="307">
        <f>Master!N51</f>
        <v>2511</v>
      </c>
      <c r="H62" s="307">
        <f>Master!O51</f>
        <v>2078</v>
      </c>
      <c r="I62" s="307">
        <f>Master!P51</f>
        <v>2041</v>
      </c>
      <c r="J62" s="307">
        <f>Master!Q51</f>
        <v>3023</v>
      </c>
      <c r="K62" s="307">
        <f>Master!R51</f>
        <v>3594</v>
      </c>
      <c r="L62" s="307">
        <f>Master!S51</f>
        <v>3626</v>
      </c>
      <c r="M62" s="307">
        <f>Master!T51</f>
        <v>2956</v>
      </c>
      <c r="N62" s="307">
        <f>Master!U51</f>
        <v>2649.4269999999997</v>
      </c>
      <c r="O62" s="307">
        <f>Master!V51</f>
        <v>933.01800000000003</v>
      </c>
      <c r="P62" s="307">
        <f>Master!W51</f>
        <v>370.99300000000039</v>
      </c>
      <c r="Q62" s="307">
        <f>Master!X51</f>
        <v>4289.8529999999992</v>
      </c>
      <c r="R62" s="307">
        <f>Master!Y51</f>
        <v>6748.6419999999998</v>
      </c>
      <c r="S62" s="307">
        <f>Master!Z51</f>
        <v>7600.6554673000028</v>
      </c>
      <c r="T62" s="307">
        <f>Master!AA51</f>
        <v>9035.0979620000053</v>
      </c>
      <c r="U62" s="307">
        <f>Master!AB51</f>
        <v>10434.048178706402</v>
      </c>
      <c r="V62" s="307">
        <f>Master!AC51</f>
        <v>11640.484999369328</v>
      </c>
      <c r="W62" s="307">
        <f>Master!AD51</f>
        <v>12808.826894838408</v>
      </c>
      <c r="X62" s="307">
        <f>Master!AE51</f>
        <v>13547.758373735154</v>
      </c>
      <c r="Y62" s="307">
        <f>Master!AF51</f>
        <v>14313.075235453951</v>
      </c>
      <c r="Z62" s="307">
        <f>Master!AG51</f>
        <v>14979.96140719966</v>
      </c>
      <c r="AA62" s="307">
        <f>Master!AH51</f>
        <v>15670.291268702656</v>
      </c>
      <c r="AB62" s="307">
        <f>Master!AI51</f>
        <v>16516.101981944008</v>
      </c>
    </row>
    <row r="63" spans="2:28">
      <c r="B63" s="161" t="s">
        <v>93</v>
      </c>
      <c r="G63" s="307">
        <f>G62*(1-0.28)</f>
        <v>1807.9199999999998</v>
      </c>
      <c r="H63" s="307">
        <f t="shared" ref="H63:R63" si="30">H62*(1-0.28)</f>
        <v>1496.1599999999999</v>
      </c>
      <c r="I63" s="307">
        <f t="shared" si="30"/>
        <v>1469.52</v>
      </c>
      <c r="J63" s="307">
        <f t="shared" si="30"/>
        <v>2176.56</v>
      </c>
      <c r="K63" s="307">
        <f t="shared" si="30"/>
        <v>2587.6799999999998</v>
      </c>
      <c r="L63" s="307">
        <f t="shared" si="30"/>
        <v>2610.7199999999998</v>
      </c>
      <c r="M63" s="307">
        <f t="shared" si="30"/>
        <v>2128.3199999999997</v>
      </c>
      <c r="N63" s="307">
        <f t="shared" si="30"/>
        <v>1907.5874399999998</v>
      </c>
      <c r="O63" s="307">
        <f t="shared" si="30"/>
        <v>671.77296000000001</v>
      </c>
      <c r="P63" s="307">
        <f t="shared" si="30"/>
        <v>267.11496000000028</v>
      </c>
      <c r="Q63" s="307">
        <f t="shared" si="30"/>
        <v>3088.6941599999991</v>
      </c>
      <c r="R63" s="307">
        <f t="shared" si="30"/>
        <v>4859.0222399999993</v>
      </c>
      <c r="S63" s="307">
        <f t="shared" ref="S63:AB63" si="31">S62*(1-0.28)</f>
        <v>5472.4719364560015</v>
      </c>
      <c r="T63" s="307">
        <f t="shared" si="31"/>
        <v>6505.2705326400037</v>
      </c>
      <c r="U63" s="307">
        <f t="shared" si="31"/>
        <v>7512.5146886686089</v>
      </c>
      <c r="V63" s="307">
        <f t="shared" si="31"/>
        <v>8381.1491995459164</v>
      </c>
      <c r="W63" s="307">
        <f t="shared" si="31"/>
        <v>9222.3553642836541</v>
      </c>
      <c r="X63" s="307">
        <f t="shared" si="31"/>
        <v>9754.3860290893099</v>
      </c>
      <c r="Y63" s="307">
        <f t="shared" si="31"/>
        <v>10305.414169526844</v>
      </c>
      <c r="Z63" s="307">
        <f t="shared" si="31"/>
        <v>10785.572213183756</v>
      </c>
      <c r="AA63" s="307">
        <f t="shared" si="31"/>
        <v>11282.609713465912</v>
      </c>
      <c r="AB63" s="307">
        <f t="shared" si="31"/>
        <v>11891.593426999685</v>
      </c>
    </row>
    <row r="65" spans="2:28">
      <c r="B65" s="161" t="s">
        <v>94</v>
      </c>
      <c r="C65" s="307">
        <f>NPV(C115,T63:AB63)</f>
        <v>48759.723564900713</v>
      </c>
    </row>
    <row r="66" spans="2:28">
      <c r="C66" s="307"/>
    </row>
    <row r="67" spans="2:28">
      <c r="B67" s="161" t="s">
        <v>95</v>
      </c>
      <c r="C67" s="292">
        <v>0</v>
      </c>
    </row>
    <row r="68" spans="2:28">
      <c r="B68" s="161" t="s">
        <v>96</v>
      </c>
      <c r="C68" s="266">
        <f>1/(C115-C67)</f>
        <v>8.5616438356164384</v>
      </c>
    </row>
    <row r="69" spans="2:28">
      <c r="B69" s="161" t="s">
        <v>97</v>
      </c>
      <c r="C69" s="307">
        <f>C68*AB63</f>
        <v>101811.58755992881</v>
      </c>
    </row>
    <row r="70" spans="2:28">
      <c r="B70" s="161" t="s">
        <v>98</v>
      </c>
      <c r="C70" s="307">
        <f>C69/(1+C115)^10</f>
        <v>33732.082723949068</v>
      </c>
    </row>
    <row r="71" spans="2:28">
      <c r="B71" s="703" t="s">
        <v>99</v>
      </c>
      <c r="C71" s="814">
        <f>C70+C65</f>
        <v>82491.806288849781</v>
      </c>
      <c r="D71" s="264">
        <f>C71/C89</f>
        <v>1</v>
      </c>
    </row>
    <row r="75" spans="2:28">
      <c r="B75" s="1023" t="s">
        <v>100</v>
      </c>
      <c r="C75" s="1023"/>
      <c r="D75" s="1023"/>
      <c r="E75" s="1023"/>
      <c r="F75" s="1023"/>
      <c r="G75" s="1023">
        <f t="shared" ref="G75:AB75" si="32">G61</f>
        <v>2014</v>
      </c>
      <c r="H75" s="1023">
        <f t="shared" si="32"/>
        <v>2015</v>
      </c>
      <c r="I75" s="1023">
        <f t="shared" si="32"/>
        <v>2016</v>
      </c>
      <c r="J75" s="1023">
        <f t="shared" si="32"/>
        <v>2017</v>
      </c>
      <c r="K75" s="1023">
        <f t="shared" si="32"/>
        <v>2018</v>
      </c>
      <c r="L75" s="1023">
        <f t="shared" si="32"/>
        <v>2019</v>
      </c>
      <c r="M75" s="1023">
        <f t="shared" si="32"/>
        <v>2020</v>
      </c>
      <c r="N75" s="1023">
        <f t="shared" si="32"/>
        <v>2021</v>
      </c>
      <c r="O75" s="1023">
        <f t="shared" si="32"/>
        <v>2022</v>
      </c>
      <c r="P75" s="1023">
        <f t="shared" si="32"/>
        <v>2023</v>
      </c>
      <c r="Q75" s="1023">
        <f t="shared" si="32"/>
        <v>2024</v>
      </c>
      <c r="R75" s="1023">
        <f t="shared" si="32"/>
        <v>2025</v>
      </c>
      <c r="S75" s="1023">
        <f t="shared" si="32"/>
        <v>2026</v>
      </c>
      <c r="T75" s="1023">
        <f t="shared" si="32"/>
        <v>2027</v>
      </c>
      <c r="U75" s="1023">
        <f t="shared" si="32"/>
        <v>2028</v>
      </c>
      <c r="V75" s="1023">
        <f t="shared" si="32"/>
        <v>2029</v>
      </c>
      <c r="W75" s="1023">
        <f t="shared" si="32"/>
        <v>2030</v>
      </c>
      <c r="X75" s="1023">
        <f t="shared" si="32"/>
        <v>2031</v>
      </c>
      <c r="Y75" s="1023">
        <f t="shared" si="32"/>
        <v>2032</v>
      </c>
      <c r="Z75" s="1023">
        <f t="shared" si="32"/>
        <v>2033</v>
      </c>
      <c r="AA75" s="1023">
        <f t="shared" si="32"/>
        <v>2034</v>
      </c>
      <c r="AB75" s="1023">
        <f t="shared" si="32"/>
        <v>2035</v>
      </c>
    </row>
    <row r="76" spans="2:28">
      <c r="B76" s="161" t="s">
        <v>92</v>
      </c>
      <c r="G76" s="307">
        <f>Master!N52</f>
        <v>0</v>
      </c>
      <c r="H76" s="307">
        <f>Master!O52</f>
        <v>0</v>
      </c>
      <c r="I76" s="307">
        <f>Master!P52</f>
        <v>0</v>
      </c>
      <c r="J76" s="307">
        <f>Master!Q52</f>
        <v>0</v>
      </c>
      <c r="K76" s="307">
        <f>Master!R52</f>
        <v>0</v>
      </c>
      <c r="L76" s="307">
        <f>Master!S52</f>
        <v>0</v>
      </c>
      <c r="M76" s="307">
        <f>Master!T52</f>
        <v>0</v>
      </c>
      <c r="N76" s="307">
        <f>Master!U52</f>
        <v>0</v>
      </c>
      <c r="O76" s="307">
        <f>Master!V52</f>
        <v>0</v>
      </c>
      <c r="P76" s="307">
        <f>Master!W52</f>
        <v>0</v>
      </c>
      <c r="Q76" s="307">
        <f>Master!X52</f>
        <v>0</v>
      </c>
      <c r="R76" s="307">
        <f>Master!Y52</f>
        <v>0</v>
      </c>
      <c r="S76" s="307">
        <f>Master!Z52</f>
        <v>0</v>
      </c>
      <c r="T76" s="307">
        <f>Master!AA52</f>
        <v>0</v>
      </c>
      <c r="U76" s="307">
        <f>Master!AB52</f>
        <v>0</v>
      </c>
      <c r="V76" s="307">
        <f>Master!AC52</f>
        <v>0</v>
      </c>
      <c r="W76" s="307">
        <f>Master!AD52</f>
        <v>0</v>
      </c>
      <c r="X76" s="307">
        <f>Master!AE52</f>
        <v>0</v>
      </c>
      <c r="Y76" s="307">
        <f>Master!AF52</f>
        <v>0</v>
      </c>
      <c r="Z76" s="307">
        <f>Master!AG52</f>
        <v>0</v>
      </c>
      <c r="AA76" s="307">
        <f>Master!AH52</f>
        <v>0</v>
      </c>
      <c r="AB76" s="307">
        <f>Master!AI52</f>
        <v>0</v>
      </c>
    </row>
    <row r="77" spans="2:28">
      <c r="B77" s="161" t="s">
        <v>93</v>
      </c>
      <c r="G77" s="307">
        <f t="shared" ref="G77:Q77" si="33">G76*(1-0.28)</f>
        <v>0</v>
      </c>
      <c r="H77" s="307">
        <f t="shared" si="33"/>
        <v>0</v>
      </c>
      <c r="I77" s="307">
        <f t="shared" si="33"/>
        <v>0</v>
      </c>
      <c r="J77" s="307">
        <f t="shared" si="33"/>
        <v>0</v>
      </c>
      <c r="K77" s="307">
        <f t="shared" si="33"/>
        <v>0</v>
      </c>
      <c r="L77" s="307">
        <f t="shared" si="33"/>
        <v>0</v>
      </c>
      <c r="M77" s="307">
        <f t="shared" si="33"/>
        <v>0</v>
      </c>
      <c r="N77" s="307">
        <f t="shared" si="33"/>
        <v>0</v>
      </c>
      <c r="O77" s="307">
        <f t="shared" si="33"/>
        <v>0</v>
      </c>
      <c r="P77" s="307">
        <f t="shared" si="33"/>
        <v>0</v>
      </c>
      <c r="Q77" s="307">
        <f t="shared" si="33"/>
        <v>0</v>
      </c>
      <c r="R77" s="307">
        <f t="shared" ref="R77:W77" si="34">R76*(1-0.28)</f>
        <v>0</v>
      </c>
      <c r="S77" s="307">
        <f t="shared" si="34"/>
        <v>0</v>
      </c>
      <c r="T77" s="307">
        <f t="shared" si="34"/>
        <v>0</v>
      </c>
      <c r="U77" s="307">
        <f t="shared" si="34"/>
        <v>0</v>
      </c>
      <c r="V77" s="307">
        <f t="shared" si="34"/>
        <v>0</v>
      </c>
      <c r="W77" s="307">
        <f t="shared" si="34"/>
        <v>0</v>
      </c>
      <c r="X77" s="307">
        <f>X76*(1-0.28)</f>
        <v>0</v>
      </c>
      <c r="Y77" s="307">
        <f>Y76*(1-0.28)</f>
        <v>0</v>
      </c>
      <c r="Z77" s="307">
        <f>Z76*(1-0.28)</f>
        <v>0</v>
      </c>
      <c r="AA77" s="307">
        <f>AA76*(1-0.28)</f>
        <v>0</v>
      </c>
      <c r="AB77" s="307">
        <f>AB76*(1-0.28)</f>
        <v>0</v>
      </c>
    </row>
    <row r="79" spans="2:28">
      <c r="B79" s="161" t="s">
        <v>94</v>
      </c>
      <c r="C79" s="307">
        <f>NPV(C115,T77:AB77)</f>
        <v>0</v>
      </c>
      <c r="N79" s="264"/>
    </row>
    <row r="80" spans="2:28">
      <c r="C80" s="307"/>
    </row>
    <row r="81" spans="2:7">
      <c r="B81" s="161" t="s">
        <v>95</v>
      </c>
      <c r="C81" s="265">
        <f>C67</f>
        <v>0</v>
      </c>
    </row>
    <row r="82" spans="2:7">
      <c r="B82" s="161" t="s">
        <v>96</v>
      </c>
      <c r="C82" s="266">
        <f>1/(C115-C81)</f>
        <v>8.5616438356164384</v>
      </c>
    </row>
    <row r="83" spans="2:7">
      <c r="B83" s="161" t="s">
        <v>97</v>
      </c>
      <c r="C83" s="307">
        <f>C82*AB77</f>
        <v>0</v>
      </c>
    </row>
    <row r="84" spans="2:7">
      <c r="B84" s="161" t="s">
        <v>98</v>
      </c>
      <c r="C84" s="307">
        <f>C83/(1+C115)^6</f>
        <v>0</v>
      </c>
    </row>
    <row r="85" spans="2:7">
      <c r="B85" s="703" t="s">
        <v>101</v>
      </c>
      <c r="C85" s="814">
        <f>C84+C79</f>
        <v>0</v>
      </c>
      <c r="D85" s="264">
        <f>C85/C89</f>
        <v>0</v>
      </c>
    </row>
    <row r="89" spans="2:7">
      <c r="B89" s="163" t="s">
        <v>102</v>
      </c>
      <c r="C89" s="308">
        <f>C71+C85</f>
        <v>82491.806288849781</v>
      </c>
      <c r="G89" s="161" t="s">
        <v>65</v>
      </c>
    </row>
    <row r="90" spans="2:7">
      <c r="B90" s="161" t="s">
        <v>103</v>
      </c>
      <c r="C90" s="349">
        <v>1068</v>
      </c>
    </row>
    <row r="91" spans="2:7">
      <c r="B91" s="161" t="s">
        <v>3377</v>
      </c>
      <c r="C91" s="307">
        <f>Master!Z86</f>
        <v>21013.537985576048</v>
      </c>
      <c r="D91" s="263"/>
    </row>
    <row r="92" spans="2:7">
      <c r="B92" s="161" t="s">
        <v>3376</v>
      </c>
      <c r="C92" s="349">
        <v>527.90300000000002</v>
      </c>
      <c r="D92" s="263"/>
    </row>
    <row r="93" spans="2:7">
      <c r="B93" s="855" t="s">
        <v>104</v>
      </c>
      <c r="C93" s="856">
        <f>-S14</f>
        <v>3175.0588000000002</v>
      </c>
      <c r="D93" s="263"/>
    </row>
    <row r="94" spans="2:7">
      <c r="B94" s="163" t="s">
        <v>105</v>
      </c>
      <c r="C94" s="308">
        <f>C89-C90-C91-C92+C93</f>
        <v>63057.424103273734</v>
      </c>
    </row>
    <row r="95" spans="2:7">
      <c r="C95" s="307"/>
    </row>
    <row r="96" spans="2:7">
      <c r="B96" s="161" t="s">
        <v>106</v>
      </c>
      <c r="C96" s="263">
        <f>Master!Z348/2</f>
        <v>858.12400000000002</v>
      </c>
    </row>
    <row r="97" spans="2:5">
      <c r="C97" s="263"/>
    </row>
    <row r="98" spans="2:5">
      <c r="B98" s="163" t="s">
        <v>107</v>
      </c>
      <c r="C98" s="294">
        <f>C94/C96</f>
        <v>73.482881382263784</v>
      </c>
      <c r="D98" s="263"/>
      <c r="E98" s="161" t="s">
        <v>65</v>
      </c>
    </row>
    <row r="99" spans="2:5" ht="15.75" thickBot="1">
      <c r="B99" s="161" t="s">
        <v>3375</v>
      </c>
      <c r="C99" s="263">
        <v>0</v>
      </c>
      <c r="D99" s="263"/>
    </row>
    <row r="100" spans="2:5" ht="15.75" thickBot="1">
      <c r="B100" s="346" t="s">
        <v>108</v>
      </c>
      <c r="C100" s="347">
        <f>C98+C99</f>
        <v>73.482881382263784</v>
      </c>
      <c r="D100" s="263"/>
    </row>
    <row r="101" spans="2:5">
      <c r="C101" s="266"/>
    </row>
    <row r="102" spans="2:5">
      <c r="B102" s="161" t="s">
        <v>109</v>
      </c>
      <c r="C102" s="266">
        <f>Valuation!C4</f>
        <v>59.58</v>
      </c>
      <c r="E102" s="275"/>
    </row>
    <row r="103" spans="2:5">
      <c r="B103" s="161" t="s">
        <v>110</v>
      </c>
      <c r="C103" s="264">
        <f>C100/C102-1</f>
        <v>0.23334812659053017</v>
      </c>
      <c r="E103" s="266"/>
    </row>
    <row r="106" spans="2:5">
      <c r="B106" s="161" t="s">
        <v>111</v>
      </c>
      <c r="C106" s="292">
        <v>0.09</v>
      </c>
    </row>
    <row r="107" spans="2:5">
      <c r="B107" s="161" t="s">
        <v>112</v>
      </c>
      <c r="C107" s="292">
        <v>0.01</v>
      </c>
    </row>
    <row r="108" spans="2:5">
      <c r="B108" s="161" t="s">
        <v>113</v>
      </c>
      <c r="C108" s="265">
        <f>C106+C107</f>
        <v>9.9999999999999992E-2</v>
      </c>
    </row>
    <row r="109" spans="2:5">
      <c r="B109" s="161" t="s">
        <v>114</v>
      </c>
      <c r="C109" s="348">
        <v>0.28000000000000003</v>
      </c>
    </row>
    <row r="110" spans="2:5">
      <c r="B110" s="161" t="s">
        <v>115</v>
      </c>
      <c r="C110" s="264">
        <f>C108*(1-C109)</f>
        <v>7.1999999999999995E-2</v>
      </c>
    </row>
    <row r="111" spans="2:5">
      <c r="B111" s="161" t="s">
        <v>116</v>
      </c>
      <c r="C111" s="292">
        <v>0.04</v>
      </c>
    </row>
    <row r="112" spans="2:5">
      <c r="B112" s="161" t="s">
        <v>117</v>
      </c>
      <c r="C112" s="279">
        <v>1.1499999999999999</v>
      </c>
    </row>
    <row r="113" spans="2:16">
      <c r="B113" s="161" t="s">
        <v>118</v>
      </c>
      <c r="C113" s="265">
        <f>C112*C111+C106</f>
        <v>0.13600000000000001</v>
      </c>
    </row>
    <row r="114" spans="2:16">
      <c r="B114" s="161" t="s">
        <v>119</v>
      </c>
      <c r="C114" s="348">
        <v>0.3</v>
      </c>
    </row>
    <row r="115" spans="2:16">
      <c r="B115" s="163" t="s">
        <v>120</v>
      </c>
      <c r="C115" s="284">
        <f>(1-C114)*C113+(C114*C110)</f>
        <v>0.1168</v>
      </c>
    </row>
    <row r="121" spans="2:16">
      <c r="B121" s="855" t="s">
        <v>19</v>
      </c>
      <c r="C121" s="855">
        <v>2015</v>
      </c>
      <c r="D121" s="855">
        <v>2016</v>
      </c>
      <c r="E121" s="857" t="s">
        <v>121</v>
      </c>
      <c r="P121" s="161" t="s">
        <v>65</v>
      </c>
    </row>
    <row r="122" spans="2:16">
      <c r="B122" s="161" t="s">
        <v>122</v>
      </c>
      <c r="C122" s="266">
        <f>Valuation!H41</f>
        <v>9.1034460140338869</v>
      </c>
      <c r="D122" s="266">
        <f>Valuation!I41</f>
        <v>7.9934107100506138</v>
      </c>
      <c r="E122" s="264">
        <f>(Master!T13/Master!O13)^(1/5)-1</f>
        <v>0.13564614561998156</v>
      </c>
    </row>
    <row r="123" spans="2:16">
      <c r="B123" s="161" t="s">
        <v>36</v>
      </c>
      <c r="C123" s="266">
        <v>8.8705520135370577</v>
      </c>
      <c r="D123" s="266">
        <v>8.239219532204169</v>
      </c>
      <c r="E123" s="264">
        <v>7.0000000000000007E-2</v>
      </c>
    </row>
    <row r="124" spans="2:16">
      <c r="B124" s="161" t="s">
        <v>123</v>
      </c>
      <c r="C124" s="266">
        <v>5.5289668804585927</v>
      </c>
      <c r="D124" s="266">
        <v>5.2461250501628287</v>
      </c>
      <c r="E124" s="264">
        <v>3.0000000000000001E-3</v>
      </c>
    </row>
    <row r="125" spans="2:16">
      <c r="C125" s="266"/>
      <c r="D125" s="266"/>
    </row>
    <row r="126" spans="2:16">
      <c r="B126" s="161" t="s">
        <v>23</v>
      </c>
      <c r="C126" s="266"/>
      <c r="D126" s="266"/>
    </row>
    <row r="127" spans="2:16">
      <c r="B127" s="161" t="s">
        <v>122</v>
      </c>
      <c r="C127" s="266">
        <f>Valuation!H43</f>
        <v>35.551969749224682</v>
      </c>
      <c r="D127" s="266">
        <f>Valuation!I43</f>
        <v>34.720558713049158</v>
      </c>
      <c r="E127" s="264">
        <f>(Master!T53/Master!O53)^(1/5)-1</f>
        <v>7.3029785212241238E-2</v>
      </c>
    </row>
    <row r="128" spans="2:16">
      <c r="B128" s="161" t="s">
        <v>36</v>
      </c>
      <c r="C128" s="266">
        <v>25.765967418842607</v>
      </c>
      <c r="D128" s="266">
        <v>20.862287637962915</v>
      </c>
      <c r="E128" s="264">
        <v>0.158</v>
      </c>
    </row>
    <row r="129" spans="2:6">
      <c r="B129" s="161" t="s">
        <v>123</v>
      </c>
      <c r="C129" s="266">
        <v>16.680065881144237</v>
      </c>
      <c r="D129" s="266">
        <v>14.461422926152645</v>
      </c>
      <c r="E129" s="264">
        <v>3.6999999999999998E-2</v>
      </c>
    </row>
    <row r="131" spans="2:6">
      <c r="B131" s="855" t="s">
        <v>122</v>
      </c>
      <c r="C131" s="855">
        <v>2016</v>
      </c>
      <c r="D131" s="855">
        <f>C131+1</f>
        <v>2017</v>
      </c>
      <c r="E131" s="855">
        <f>D131+1</f>
        <v>2018</v>
      </c>
      <c r="F131" s="855" t="s">
        <v>124</v>
      </c>
    </row>
    <row r="132" spans="2:6">
      <c r="B132" s="161" t="s">
        <v>19</v>
      </c>
      <c r="C132" s="266">
        <f>I41</f>
        <v>7.9934107100506138</v>
      </c>
      <c r="D132" s="266">
        <f>J41</f>
        <v>6.963893073233959</v>
      </c>
      <c r="E132" s="266">
        <f>K41</f>
        <v>5.7086054413180696</v>
      </c>
      <c r="F132" s="265">
        <f>(K21/I21)^(1/2)-1</f>
        <v>0.16262599516251197</v>
      </c>
    </row>
    <row r="133" spans="2:6">
      <c r="B133" s="161" t="s">
        <v>25</v>
      </c>
      <c r="C133" s="266">
        <f>I44</f>
        <v>11.479633449636552</v>
      </c>
      <c r="D133" s="266">
        <f>J44</f>
        <v>10.272740929254303</v>
      </c>
      <c r="E133" s="266">
        <f>K44</f>
        <v>8.8054416984339152</v>
      </c>
      <c r="F133" s="265">
        <f>(Master!R23/Master!P23)^(1/2)-1</f>
        <v>0.12183094666584959</v>
      </c>
    </row>
    <row r="134" spans="2:6">
      <c r="B134" s="161" t="s">
        <v>23</v>
      </c>
      <c r="C134" s="266">
        <f>I43</f>
        <v>34.720558713049158</v>
      </c>
      <c r="D134" s="266">
        <f>J43</f>
        <v>23.081240816081039</v>
      </c>
      <c r="E134" s="266">
        <f>K43</f>
        <v>19.03463081006803</v>
      </c>
      <c r="F134" s="265">
        <f>(Master!R53/Master!P53)^(1/2)-1</f>
        <v>0.32696693790279285</v>
      </c>
    </row>
    <row r="135" spans="2:6">
      <c r="B135" s="161" t="s">
        <v>27</v>
      </c>
      <c r="C135" s="266">
        <f>I45</f>
        <v>56.304813140470564</v>
      </c>
      <c r="D135" s="266">
        <f>J45</f>
        <v>29.518397373770679</v>
      </c>
      <c r="E135" s="266">
        <f>K45</f>
        <v>23.602123310787643</v>
      </c>
      <c r="F135" s="265">
        <f>(K31/I31)^(1/2)-1</f>
        <v>0.51752621405003074</v>
      </c>
    </row>
    <row r="136" spans="2:6">
      <c r="B136" s="161" t="s">
        <v>29</v>
      </c>
      <c r="C136" s="265">
        <f>I48</f>
        <v>2.1750716080844938E-2</v>
      </c>
      <c r="D136" s="265">
        <f>J48</f>
        <v>6.0138313217305055E-2</v>
      </c>
      <c r="E136" s="265">
        <f>K48</f>
        <v>5.100256778204363E-2</v>
      </c>
      <c r="F136" s="265">
        <f>(K28/I28)^(1/2)-1</f>
        <v>0.53129632809735572</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494"/>
  <sheetViews>
    <sheetView zoomScale="72" zoomScaleNormal="72" workbookViewId="0">
      <pane xSplit="2" ySplit="3" topLeftCell="K4" activePane="bottomRight" state="frozen"/>
      <selection pane="topRight" activeCell="C1" sqref="C1"/>
      <selection pane="bottomLeft" activeCell="A4" sqref="A4"/>
      <selection pane="bottomRight" activeCell="AJ1" sqref="AJ1"/>
    </sheetView>
  </sheetViews>
  <sheetFormatPr defaultRowHeight="15" outlineLevelCol="1"/>
  <cols>
    <col min="1" max="1" width="4.28515625" style="1" customWidth="1"/>
    <col min="2" max="2" width="42.7109375" style="1" customWidth="1"/>
    <col min="3" max="10" width="11.7109375" style="1" customWidth="1" outlineLevel="1"/>
    <col min="11" max="36" width="11.7109375" style="1" customWidth="1"/>
    <col min="37" max="37" width="9.7109375" style="1" bestFit="1" customWidth="1"/>
    <col min="38" max="38" width="9.28515625" style="1"/>
    <col min="39" max="39" width="9.7109375" style="1" bestFit="1" customWidth="1"/>
    <col min="40" max="273" width="9.28515625" style="1"/>
    <col min="274" max="274" width="34.7109375" style="1" customWidth="1"/>
    <col min="275" max="275" width="9.28515625" style="1"/>
    <col min="276" max="291" width="9.5703125" style="1" customWidth="1"/>
    <col min="292" max="292" width="9.28515625" style="1"/>
    <col min="293" max="293" width="9.7109375" style="1" bestFit="1" customWidth="1"/>
    <col min="294" max="294" width="9.28515625" style="1"/>
    <col min="295" max="295" width="9.7109375" style="1" bestFit="1" customWidth="1"/>
    <col min="296" max="529" width="9.28515625" style="1"/>
    <col min="530" max="530" width="34.7109375" style="1" customWidth="1"/>
    <col min="531" max="531" width="9.28515625" style="1"/>
    <col min="532" max="547" width="9.5703125" style="1" customWidth="1"/>
    <col min="548" max="548" width="9.28515625" style="1"/>
    <col min="549" max="549" width="9.7109375" style="1" bestFit="1" customWidth="1"/>
    <col min="550" max="550" width="9.28515625" style="1"/>
    <col min="551" max="551" width="9.7109375" style="1" bestFit="1" customWidth="1"/>
    <col min="552" max="785" width="9.28515625" style="1"/>
    <col min="786" max="786" width="34.7109375" style="1" customWidth="1"/>
    <col min="787" max="787" width="9.28515625" style="1"/>
    <col min="788" max="803" width="9.5703125" style="1" customWidth="1"/>
    <col min="804" max="804" width="9.28515625" style="1"/>
    <col min="805" max="805" width="9.7109375" style="1" bestFit="1" customWidth="1"/>
    <col min="806" max="806" width="9.28515625" style="1"/>
    <col min="807" max="807" width="9.7109375" style="1" bestFit="1" customWidth="1"/>
    <col min="808" max="1041" width="9.28515625" style="1"/>
    <col min="1042" max="1042" width="34.7109375" style="1" customWidth="1"/>
    <col min="1043" max="1043" width="9.28515625" style="1"/>
    <col min="1044" max="1059" width="9.5703125" style="1" customWidth="1"/>
    <col min="1060" max="1060" width="9.28515625" style="1"/>
    <col min="1061" max="1061" width="9.7109375" style="1" bestFit="1" customWidth="1"/>
    <col min="1062" max="1062" width="9.28515625" style="1"/>
    <col min="1063" max="1063" width="9.7109375" style="1" bestFit="1" customWidth="1"/>
    <col min="1064" max="1297" width="9.28515625" style="1"/>
    <col min="1298" max="1298" width="34.7109375" style="1" customWidth="1"/>
    <col min="1299" max="1299" width="9.28515625" style="1"/>
    <col min="1300" max="1315" width="9.5703125" style="1" customWidth="1"/>
    <col min="1316" max="1316" width="9.28515625" style="1"/>
    <col min="1317" max="1317" width="9.7109375" style="1" bestFit="1" customWidth="1"/>
    <col min="1318" max="1318" width="9.28515625" style="1"/>
    <col min="1319" max="1319" width="9.7109375" style="1" bestFit="1" customWidth="1"/>
    <col min="1320" max="1553" width="9.28515625" style="1"/>
    <col min="1554" max="1554" width="34.7109375" style="1" customWidth="1"/>
    <col min="1555" max="1555" width="9.28515625" style="1"/>
    <col min="1556" max="1571" width="9.5703125" style="1" customWidth="1"/>
    <col min="1572" max="1572" width="9.28515625" style="1"/>
    <col min="1573" max="1573" width="9.7109375" style="1" bestFit="1" customWidth="1"/>
    <col min="1574" max="1574" width="9.28515625" style="1"/>
    <col min="1575" max="1575" width="9.7109375" style="1" bestFit="1" customWidth="1"/>
    <col min="1576" max="1809" width="9.28515625" style="1"/>
    <col min="1810" max="1810" width="34.7109375" style="1" customWidth="1"/>
    <col min="1811" max="1811" width="9.28515625" style="1"/>
    <col min="1812" max="1827" width="9.5703125" style="1" customWidth="1"/>
    <col min="1828" max="1828" width="9.28515625" style="1"/>
    <col min="1829" max="1829" width="9.7109375" style="1" bestFit="1" customWidth="1"/>
    <col min="1830" max="1830" width="9.28515625" style="1"/>
    <col min="1831" max="1831" width="9.7109375" style="1" bestFit="1" customWidth="1"/>
    <col min="1832" max="2065" width="9.28515625" style="1"/>
    <col min="2066" max="2066" width="34.7109375" style="1" customWidth="1"/>
    <col min="2067" max="2067" width="9.28515625" style="1"/>
    <col min="2068" max="2083" width="9.5703125" style="1" customWidth="1"/>
    <col min="2084" max="2084" width="9.28515625" style="1"/>
    <col min="2085" max="2085" width="9.7109375" style="1" bestFit="1" customWidth="1"/>
    <col min="2086" max="2086" width="9.28515625" style="1"/>
    <col min="2087" max="2087" width="9.7109375" style="1" bestFit="1" customWidth="1"/>
    <col min="2088" max="2321" width="9.28515625" style="1"/>
    <col min="2322" max="2322" width="34.7109375" style="1" customWidth="1"/>
    <col min="2323" max="2323" width="9.28515625" style="1"/>
    <col min="2324" max="2339" width="9.5703125" style="1" customWidth="1"/>
    <col min="2340" max="2340" width="9.28515625" style="1"/>
    <col min="2341" max="2341" width="9.7109375" style="1" bestFit="1" customWidth="1"/>
    <col min="2342" max="2342" width="9.28515625" style="1"/>
    <col min="2343" max="2343" width="9.7109375" style="1" bestFit="1" customWidth="1"/>
    <col min="2344" max="2577" width="9.28515625" style="1"/>
    <col min="2578" max="2578" width="34.7109375" style="1" customWidth="1"/>
    <col min="2579" max="2579" width="9.28515625" style="1"/>
    <col min="2580" max="2595" width="9.5703125" style="1" customWidth="1"/>
    <col min="2596" max="2596" width="9.28515625" style="1"/>
    <col min="2597" max="2597" width="9.7109375" style="1" bestFit="1" customWidth="1"/>
    <col min="2598" max="2598" width="9.28515625" style="1"/>
    <col min="2599" max="2599" width="9.7109375" style="1" bestFit="1" customWidth="1"/>
    <col min="2600" max="2833" width="9.28515625" style="1"/>
    <col min="2834" max="2834" width="34.7109375" style="1" customWidth="1"/>
    <col min="2835" max="2835" width="9.28515625" style="1"/>
    <col min="2836" max="2851" width="9.5703125" style="1" customWidth="1"/>
    <col min="2852" max="2852" width="9.28515625" style="1"/>
    <col min="2853" max="2853" width="9.7109375" style="1" bestFit="1" customWidth="1"/>
    <col min="2854" max="2854" width="9.28515625" style="1"/>
    <col min="2855" max="2855" width="9.7109375" style="1" bestFit="1" customWidth="1"/>
    <col min="2856" max="3089" width="9.28515625" style="1"/>
    <col min="3090" max="3090" width="34.7109375" style="1" customWidth="1"/>
    <col min="3091" max="3091" width="9.28515625" style="1"/>
    <col min="3092" max="3107" width="9.5703125" style="1" customWidth="1"/>
    <col min="3108" max="3108" width="9.28515625" style="1"/>
    <col min="3109" max="3109" width="9.7109375" style="1" bestFit="1" customWidth="1"/>
    <col min="3110" max="3110" width="9.28515625" style="1"/>
    <col min="3111" max="3111" width="9.7109375" style="1" bestFit="1" customWidth="1"/>
    <col min="3112" max="3345" width="9.28515625" style="1"/>
    <col min="3346" max="3346" width="34.7109375" style="1" customWidth="1"/>
    <col min="3347" max="3347" width="9.28515625" style="1"/>
    <col min="3348" max="3363" width="9.5703125" style="1" customWidth="1"/>
    <col min="3364" max="3364" width="9.28515625" style="1"/>
    <col min="3365" max="3365" width="9.7109375" style="1" bestFit="1" customWidth="1"/>
    <col min="3366" max="3366" width="9.28515625" style="1"/>
    <col min="3367" max="3367" width="9.7109375" style="1" bestFit="1" customWidth="1"/>
    <col min="3368" max="3601" width="9.28515625" style="1"/>
    <col min="3602" max="3602" width="34.7109375" style="1" customWidth="1"/>
    <col min="3603" max="3603" width="9.28515625" style="1"/>
    <col min="3604" max="3619" width="9.5703125" style="1" customWidth="1"/>
    <col min="3620" max="3620" width="9.28515625" style="1"/>
    <col min="3621" max="3621" width="9.7109375" style="1" bestFit="1" customWidth="1"/>
    <col min="3622" max="3622" width="9.28515625" style="1"/>
    <col min="3623" max="3623" width="9.7109375" style="1" bestFit="1" customWidth="1"/>
    <col min="3624" max="3857" width="9.28515625" style="1"/>
    <col min="3858" max="3858" width="34.7109375" style="1" customWidth="1"/>
    <col min="3859" max="3859" width="9.28515625" style="1"/>
    <col min="3860" max="3875" width="9.5703125" style="1" customWidth="1"/>
    <col min="3876" max="3876" width="9.28515625" style="1"/>
    <col min="3877" max="3877" width="9.7109375" style="1" bestFit="1" customWidth="1"/>
    <col min="3878" max="3878" width="9.28515625" style="1"/>
    <col min="3879" max="3879" width="9.7109375" style="1" bestFit="1" customWidth="1"/>
    <col min="3880" max="4113" width="9.28515625" style="1"/>
    <col min="4114" max="4114" width="34.7109375" style="1" customWidth="1"/>
    <col min="4115" max="4115" width="9.28515625" style="1"/>
    <col min="4116" max="4131" width="9.5703125" style="1" customWidth="1"/>
    <col min="4132" max="4132" width="9.28515625" style="1"/>
    <col min="4133" max="4133" width="9.7109375" style="1" bestFit="1" customWidth="1"/>
    <col min="4134" max="4134" width="9.28515625" style="1"/>
    <col min="4135" max="4135" width="9.7109375" style="1" bestFit="1" customWidth="1"/>
    <col min="4136" max="4369" width="9.28515625" style="1"/>
    <col min="4370" max="4370" width="34.7109375" style="1" customWidth="1"/>
    <col min="4371" max="4371" width="9.28515625" style="1"/>
    <col min="4372" max="4387" width="9.5703125" style="1" customWidth="1"/>
    <col min="4388" max="4388" width="9.28515625" style="1"/>
    <col min="4389" max="4389" width="9.7109375" style="1" bestFit="1" customWidth="1"/>
    <col min="4390" max="4390" width="9.28515625" style="1"/>
    <col min="4391" max="4391" width="9.7109375" style="1" bestFit="1" customWidth="1"/>
    <col min="4392" max="4625" width="9.28515625" style="1"/>
    <col min="4626" max="4626" width="34.7109375" style="1" customWidth="1"/>
    <col min="4627" max="4627" width="9.28515625" style="1"/>
    <col min="4628" max="4643" width="9.5703125" style="1" customWidth="1"/>
    <col min="4644" max="4644" width="9.28515625" style="1"/>
    <col min="4645" max="4645" width="9.7109375" style="1" bestFit="1" customWidth="1"/>
    <col min="4646" max="4646" width="9.28515625" style="1"/>
    <col min="4647" max="4647" width="9.7109375" style="1" bestFit="1" customWidth="1"/>
    <col min="4648" max="4881" width="9.28515625" style="1"/>
    <col min="4882" max="4882" width="34.7109375" style="1" customWidth="1"/>
    <col min="4883" max="4883" width="9.28515625" style="1"/>
    <col min="4884" max="4899" width="9.5703125" style="1" customWidth="1"/>
    <col min="4900" max="4900" width="9.28515625" style="1"/>
    <col min="4901" max="4901" width="9.7109375" style="1" bestFit="1" customWidth="1"/>
    <col min="4902" max="4902" width="9.28515625" style="1"/>
    <col min="4903" max="4903" width="9.7109375" style="1" bestFit="1" customWidth="1"/>
    <col min="4904" max="5137" width="9.28515625" style="1"/>
    <col min="5138" max="5138" width="34.7109375" style="1" customWidth="1"/>
    <col min="5139" max="5139" width="9.28515625" style="1"/>
    <col min="5140" max="5155" width="9.5703125" style="1" customWidth="1"/>
    <col min="5156" max="5156" width="9.28515625" style="1"/>
    <col min="5157" max="5157" width="9.7109375" style="1" bestFit="1" customWidth="1"/>
    <col min="5158" max="5158" width="9.28515625" style="1"/>
    <col min="5159" max="5159" width="9.7109375" style="1" bestFit="1" customWidth="1"/>
    <col min="5160" max="5393" width="9.28515625" style="1"/>
    <col min="5394" max="5394" width="34.7109375" style="1" customWidth="1"/>
    <col min="5395" max="5395" width="9.28515625" style="1"/>
    <col min="5396" max="5411" width="9.5703125" style="1" customWidth="1"/>
    <col min="5412" max="5412" width="9.28515625" style="1"/>
    <col min="5413" max="5413" width="9.7109375" style="1" bestFit="1" customWidth="1"/>
    <col min="5414" max="5414" width="9.28515625" style="1"/>
    <col min="5415" max="5415" width="9.7109375" style="1" bestFit="1" customWidth="1"/>
    <col min="5416" max="5649" width="9.28515625" style="1"/>
    <col min="5650" max="5650" width="34.7109375" style="1" customWidth="1"/>
    <col min="5651" max="5651" width="9.28515625" style="1"/>
    <col min="5652" max="5667" width="9.5703125" style="1" customWidth="1"/>
    <col min="5668" max="5668" width="9.28515625" style="1"/>
    <col min="5669" max="5669" width="9.7109375" style="1" bestFit="1" customWidth="1"/>
    <col min="5670" max="5670" width="9.28515625" style="1"/>
    <col min="5671" max="5671" width="9.7109375" style="1" bestFit="1" customWidth="1"/>
    <col min="5672" max="5905" width="9.28515625" style="1"/>
    <col min="5906" max="5906" width="34.7109375" style="1" customWidth="1"/>
    <col min="5907" max="5907" width="9.28515625" style="1"/>
    <col min="5908" max="5923" width="9.5703125" style="1" customWidth="1"/>
    <col min="5924" max="5924" width="9.28515625" style="1"/>
    <col min="5925" max="5925" width="9.7109375" style="1" bestFit="1" customWidth="1"/>
    <col min="5926" max="5926" width="9.28515625" style="1"/>
    <col min="5927" max="5927" width="9.7109375" style="1" bestFit="1" customWidth="1"/>
    <col min="5928" max="6161" width="9.28515625" style="1"/>
    <col min="6162" max="6162" width="34.7109375" style="1" customWidth="1"/>
    <col min="6163" max="6163" width="9.28515625" style="1"/>
    <col min="6164" max="6179" width="9.5703125" style="1" customWidth="1"/>
    <col min="6180" max="6180" width="9.28515625" style="1"/>
    <col min="6181" max="6181" width="9.7109375" style="1" bestFit="1" customWidth="1"/>
    <col min="6182" max="6182" width="9.28515625" style="1"/>
    <col min="6183" max="6183" width="9.7109375" style="1" bestFit="1" customWidth="1"/>
    <col min="6184" max="6417" width="9.28515625" style="1"/>
    <col min="6418" max="6418" width="34.7109375" style="1" customWidth="1"/>
    <col min="6419" max="6419" width="9.28515625" style="1"/>
    <col min="6420" max="6435" width="9.5703125" style="1" customWidth="1"/>
    <col min="6436" max="6436" width="9.28515625" style="1"/>
    <col min="6437" max="6437" width="9.7109375" style="1" bestFit="1" customWidth="1"/>
    <col min="6438" max="6438" width="9.28515625" style="1"/>
    <col min="6439" max="6439" width="9.7109375" style="1" bestFit="1" customWidth="1"/>
    <col min="6440" max="6673" width="9.28515625" style="1"/>
    <col min="6674" max="6674" width="34.7109375" style="1" customWidth="1"/>
    <col min="6675" max="6675" width="9.28515625" style="1"/>
    <col min="6676" max="6691" width="9.5703125" style="1" customWidth="1"/>
    <col min="6692" max="6692" width="9.28515625" style="1"/>
    <col min="6693" max="6693" width="9.7109375" style="1" bestFit="1" customWidth="1"/>
    <col min="6694" max="6694" width="9.28515625" style="1"/>
    <col min="6695" max="6695" width="9.7109375" style="1" bestFit="1" customWidth="1"/>
    <col min="6696" max="6929" width="9.28515625" style="1"/>
    <col min="6930" max="6930" width="34.7109375" style="1" customWidth="1"/>
    <col min="6931" max="6931" width="9.28515625" style="1"/>
    <col min="6932" max="6947" width="9.5703125" style="1" customWidth="1"/>
    <col min="6948" max="6948" width="9.28515625" style="1"/>
    <col min="6949" max="6949" width="9.7109375" style="1" bestFit="1" customWidth="1"/>
    <col min="6950" max="6950" width="9.28515625" style="1"/>
    <col min="6951" max="6951" width="9.7109375" style="1" bestFit="1" customWidth="1"/>
    <col min="6952" max="7185" width="9.28515625" style="1"/>
    <col min="7186" max="7186" width="34.7109375" style="1" customWidth="1"/>
    <col min="7187" max="7187" width="9.28515625" style="1"/>
    <col min="7188" max="7203" width="9.5703125" style="1" customWidth="1"/>
    <col min="7204" max="7204" width="9.28515625" style="1"/>
    <col min="7205" max="7205" width="9.7109375" style="1" bestFit="1" customWidth="1"/>
    <col min="7206" max="7206" width="9.28515625" style="1"/>
    <col min="7207" max="7207" width="9.7109375" style="1" bestFit="1" customWidth="1"/>
    <col min="7208" max="7441" width="9.28515625" style="1"/>
    <col min="7442" max="7442" width="34.7109375" style="1" customWidth="1"/>
    <col min="7443" max="7443" width="9.28515625" style="1"/>
    <col min="7444" max="7459" width="9.5703125" style="1" customWidth="1"/>
    <col min="7460" max="7460" width="9.28515625" style="1"/>
    <col min="7461" max="7461" width="9.7109375" style="1" bestFit="1" customWidth="1"/>
    <col min="7462" max="7462" width="9.28515625" style="1"/>
    <col min="7463" max="7463" width="9.7109375" style="1" bestFit="1" customWidth="1"/>
    <col min="7464" max="7697" width="9.28515625" style="1"/>
    <col min="7698" max="7698" width="34.7109375" style="1" customWidth="1"/>
    <col min="7699" max="7699" width="9.28515625" style="1"/>
    <col min="7700" max="7715" width="9.5703125" style="1" customWidth="1"/>
    <col min="7716" max="7716" width="9.28515625" style="1"/>
    <col min="7717" max="7717" width="9.7109375" style="1" bestFit="1" customWidth="1"/>
    <col min="7718" max="7718" width="9.28515625" style="1"/>
    <col min="7719" max="7719" width="9.7109375" style="1" bestFit="1" customWidth="1"/>
    <col min="7720" max="7953" width="9.28515625" style="1"/>
    <col min="7954" max="7954" width="34.7109375" style="1" customWidth="1"/>
    <col min="7955" max="7955" width="9.28515625" style="1"/>
    <col min="7956" max="7971" width="9.5703125" style="1" customWidth="1"/>
    <col min="7972" max="7972" width="9.28515625" style="1"/>
    <col min="7973" max="7973" width="9.7109375" style="1" bestFit="1" customWidth="1"/>
    <col min="7974" max="7974" width="9.28515625" style="1"/>
    <col min="7975" max="7975" width="9.7109375" style="1" bestFit="1" customWidth="1"/>
    <col min="7976" max="8209" width="9.28515625" style="1"/>
    <col min="8210" max="8210" width="34.7109375" style="1" customWidth="1"/>
    <col min="8211" max="8211" width="9.28515625" style="1"/>
    <col min="8212" max="8227" width="9.5703125" style="1" customWidth="1"/>
    <col min="8228" max="8228" width="9.28515625" style="1"/>
    <col min="8229" max="8229" width="9.7109375" style="1" bestFit="1" customWidth="1"/>
    <col min="8230" max="8230" width="9.28515625" style="1"/>
    <col min="8231" max="8231" width="9.7109375" style="1" bestFit="1" customWidth="1"/>
    <col min="8232" max="8465" width="9.28515625" style="1"/>
    <col min="8466" max="8466" width="34.7109375" style="1" customWidth="1"/>
    <col min="8467" max="8467" width="9.28515625" style="1"/>
    <col min="8468" max="8483" width="9.5703125" style="1" customWidth="1"/>
    <col min="8484" max="8484" width="9.28515625" style="1"/>
    <col min="8485" max="8485" width="9.7109375" style="1" bestFit="1" customWidth="1"/>
    <col min="8486" max="8486" width="9.28515625" style="1"/>
    <col min="8487" max="8487" width="9.7109375" style="1" bestFit="1" customWidth="1"/>
    <col min="8488" max="8721" width="9.28515625" style="1"/>
    <col min="8722" max="8722" width="34.7109375" style="1" customWidth="1"/>
    <col min="8723" max="8723" width="9.28515625" style="1"/>
    <col min="8724" max="8739" width="9.5703125" style="1" customWidth="1"/>
    <col min="8740" max="8740" width="9.28515625" style="1"/>
    <col min="8741" max="8741" width="9.7109375" style="1" bestFit="1" customWidth="1"/>
    <col min="8742" max="8742" width="9.28515625" style="1"/>
    <col min="8743" max="8743" width="9.7109375" style="1" bestFit="1" customWidth="1"/>
    <col min="8744" max="8977" width="9.28515625" style="1"/>
    <col min="8978" max="8978" width="34.7109375" style="1" customWidth="1"/>
    <col min="8979" max="8979" width="9.28515625" style="1"/>
    <col min="8980" max="8995" width="9.5703125" style="1" customWidth="1"/>
    <col min="8996" max="8996" width="9.28515625" style="1"/>
    <col min="8997" max="8997" width="9.7109375" style="1" bestFit="1" customWidth="1"/>
    <col min="8998" max="8998" width="9.28515625" style="1"/>
    <col min="8999" max="8999" width="9.7109375" style="1" bestFit="1" customWidth="1"/>
    <col min="9000" max="9233" width="9.28515625" style="1"/>
    <col min="9234" max="9234" width="34.7109375" style="1" customWidth="1"/>
    <col min="9235" max="9235" width="9.28515625" style="1"/>
    <col min="9236" max="9251" width="9.5703125" style="1" customWidth="1"/>
    <col min="9252" max="9252" width="9.28515625" style="1"/>
    <col min="9253" max="9253" width="9.7109375" style="1" bestFit="1" customWidth="1"/>
    <col min="9254" max="9254" width="9.28515625" style="1"/>
    <col min="9255" max="9255" width="9.7109375" style="1" bestFit="1" customWidth="1"/>
    <col min="9256" max="9489" width="9.28515625" style="1"/>
    <col min="9490" max="9490" width="34.7109375" style="1" customWidth="1"/>
    <col min="9491" max="9491" width="9.28515625" style="1"/>
    <col min="9492" max="9507" width="9.5703125" style="1" customWidth="1"/>
    <col min="9508" max="9508" width="9.28515625" style="1"/>
    <col min="9509" max="9509" width="9.7109375" style="1" bestFit="1" customWidth="1"/>
    <col min="9510" max="9510" width="9.28515625" style="1"/>
    <col min="9511" max="9511" width="9.7109375" style="1" bestFit="1" customWidth="1"/>
    <col min="9512" max="9745" width="9.28515625" style="1"/>
    <col min="9746" max="9746" width="34.7109375" style="1" customWidth="1"/>
    <col min="9747" max="9747" width="9.28515625" style="1"/>
    <col min="9748" max="9763" width="9.5703125" style="1" customWidth="1"/>
    <col min="9764" max="9764" width="9.28515625" style="1"/>
    <col min="9765" max="9765" width="9.7109375" style="1" bestFit="1" customWidth="1"/>
    <col min="9766" max="9766" width="9.28515625" style="1"/>
    <col min="9767" max="9767" width="9.7109375" style="1" bestFit="1" customWidth="1"/>
    <col min="9768" max="10001" width="9.28515625" style="1"/>
    <col min="10002" max="10002" width="34.7109375" style="1" customWidth="1"/>
    <col min="10003" max="10003" width="9.28515625" style="1"/>
    <col min="10004" max="10019" width="9.5703125" style="1" customWidth="1"/>
    <col min="10020" max="10020" width="9.28515625" style="1"/>
    <col min="10021" max="10021" width="9.7109375" style="1" bestFit="1" customWidth="1"/>
    <col min="10022" max="10022" width="9.28515625" style="1"/>
    <col min="10023" max="10023" width="9.7109375" style="1" bestFit="1" customWidth="1"/>
    <col min="10024" max="10257" width="9.28515625" style="1"/>
    <col min="10258" max="10258" width="34.7109375" style="1" customWidth="1"/>
    <col min="10259" max="10259" width="9.28515625" style="1"/>
    <col min="10260" max="10275" width="9.5703125" style="1" customWidth="1"/>
    <col min="10276" max="10276" width="9.28515625" style="1"/>
    <col min="10277" max="10277" width="9.7109375" style="1" bestFit="1" customWidth="1"/>
    <col min="10278" max="10278" width="9.28515625" style="1"/>
    <col min="10279" max="10279" width="9.7109375" style="1" bestFit="1" customWidth="1"/>
    <col min="10280" max="10513" width="9.28515625" style="1"/>
    <col min="10514" max="10514" width="34.7109375" style="1" customWidth="1"/>
    <col min="10515" max="10515" width="9.28515625" style="1"/>
    <col min="10516" max="10531" width="9.5703125" style="1" customWidth="1"/>
    <col min="10532" max="10532" width="9.28515625" style="1"/>
    <col min="10533" max="10533" width="9.7109375" style="1" bestFit="1" customWidth="1"/>
    <col min="10534" max="10534" width="9.28515625" style="1"/>
    <col min="10535" max="10535" width="9.7109375" style="1" bestFit="1" customWidth="1"/>
    <col min="10536" max="10769" width="9.28515625" style="1"/>
    <col min="10770" max="10770" width="34.7109375" style="1" customWidth="1"/>
    <col min="10771" max="10771" width="9.28515625" style="1"/>
    <col min="10772" max="10787" width="9.5703125" style="1" customWidth="1"/>
    <col min="10788" max="10788" width="9.28515625" style="1"/>
    <col min="10789" max="10789" width="9.7109375" style="1" bestFit="1" customWidth="1"/>
    <col min="10790" max="10790" width="9.28515625" style="1"/>
    <col min="10791" max="10791" width="9.7109375" style="1" bestFit="1" customWidth="1"/>
    <col min="10792" max="11025" width="9.28515625" style="1"/>
    <col min="11026" max="11026" width="34.7109375" style="1" customWidth="1"/>
    <col min="11027" max="11027" width="9.28515625" style="1"/>
    <col min="11028" max="11043" width="9.5703125" style="1" customWidth="1"/>
    <col min="11044" max="11044" width="9.28515625" style="1"/>
    <col min="11045" max="11045" width="9.7109375" style="1" bestFit="1" customWidth="1"/>
    <col min="11046" max="11046" width="9.28515625" style="1"/>
    <col min="11047" max="11047" width="9.7109375" style="1" bestFit="1" customWidth="1"/>
    <col min="11048" max="11281" width="9.28515625" style="1"/>
    <col min="11282" max="11282" width="34.7109375" style="1" customWidth="1"/>
    <col min="11283" max="11283" width="9.28515625" style="1"/>
    <col min="11284" max="11299" width="9.5703125" style="1" customWidth="1"/>
    <col min="11300" max="11300" width="9.28515625" style="1"/>
    <col min="11301" max="11301" width="9.7109375" style="1" bestFit="1" customWidth="1"/>
    <col min="11302" max="11302" width="9.28515625" style="1"/>
    <col min="11303" max="11303" width="9.7109375" style="1" bestFit="1" customWidth="1"/>
    <col min="11304" max="11537" width="9.28515625" style="1"/>
    <col min="11538" max="11538" width="34.7109375" style="1" customWidth="1"/>
    <col min="11539" max="11539" width="9.28515625" style="1"/>
    <col min="11540" max="11555" width="9.5703125" style="1" customWidth="1"/>
    <col min="11556" max="11556" width="9.28515625" style="1"/>
    <col min="11557" max="11557" width="9.7109375" style="1" bestFit="1" customWidth="1"/>
    <col min="11558" max="11558" width="9.28515625" style="1"/>
    <col min="11559" max="11559" width="9.7109375" style="1" bestFit="1" customWidth="1"/>
    <col min="11560" max="11793" width="9.28515625" style="1"/>
    <col min="11794" max="11794" width="34.7109375" style="1" customWidth="1"/>
    <col min="11795" max="11795" width="9.28515625" style="1"/>
    <col min="11796" max="11811" width="9.5703125" style="1" customWidth="1"/>
    <col min="11812" max="11812" width="9.28515625" style="1"/>
    <col min="11813" max="11813" width="9.7109375" style="1" bestFit="1" customWidth="1"/>
    <col min="11814" max="11814" width="9.28515625" style="1"/>
    <col min="11815" max="11815" width="9.7109375" style="1" bestFit="1" customWidth="1"/>
    <col min="11816" max="12049" width="9.28515625" style="1"/>
    <col min="12050" max="12050" width="34.7109375" style="1" customWidth="1"/>
    <col min="12051" max="12051" width="9.28515625" style="1"/>
    <col min="12052" max="12067" width="9.5703125" style="1" customWidth="1"/>
    <col min="12068" max="12068" width="9.28515625" style="1"/>
    <col min="12069" max="12069" width="9.7109375" style="1" bestFit="1" customWidth="1"/>
    <col min="12070" max="12070" width="9.28515625" style="1"/>
    <col min="12071" max="12071" width="9.7109375" style="1" bestFit="1" customWidth="1"/>
    <col min="12072" max="12305" width="9.28515625" style="1"/>
    <col min="12306" max="12306" width="34.7109375" style="1" customWidth="1"/>
    <col min="12307" max="12307" width="9.28515625" style="1"/>
    <col min="12308" max="12323" width="9.5703125" style="1" customWidth="1"/>
    <col min="12324" max="12324" width="9.28515625" style="1"/>
    <col min="12325" max="12325" width="9.7109375" style="1" bestFit="1" customWidth="1"/>
    <col min="12326" max="12326" width="9.28515625" style="1"/>
    <col min="12327" max="12327" width="9.7109375" style="1" bestFit="1" customWidth="1"/>
    <col min="12328" max="12561" width="9.28515625" style="1"/>
    <col min="12562" max="12562" width="34.7109375" style="1" customWidth="1"/>
    <col min="12563" max="12563" width="9.28515625" style="1"/>
    <col min="12564" max="12579" width="9.5703125" style="1" customWidth="1"/>
    <col min="12580" max="12580" width="9.28515625" style="1"/>
    <col min="12581" max="12581" width="9.7109375" style="1" bestFit="1" customWidth="1"/>
    <col min="12582" max="12582" width="9.28515625" style="1"/>
    <col min="12583" max="12583" width="9.7109375" style="1" bestFit="1" customWidth="1"/>
    <col min="12584" max="12817" width="9.28515625" style="1"/>
    <col min="12818" max="12818" width="34.7109375" style="1" customWidth="1"/>
    <col min="12819" max="12819" width="9.28515625" style="1"/>
    <col min="12820" max="12835" width="9.5703125" style="1" customWidth="1"/>
    <col min="12836" max="12836" width="9.28515625" style="1"/>
    <col min="12837" max="12837" width="9.7109375" style="1" bestFit="1" customWidth="1"/>
    <col min="12838" max="12838" width="9.28515625" style="1"/>
    <col min="12839" max="12839" width="9.7109375" style="1" bestFit="1" customWidth="1"/>
    <col min="12840" max="13073" width="9.28515625" style="1"/>
    <col min="13074" max="13074" width="34.7109375" style="1" customWidth="1"/>
    <col min="13075" max="13075" width="9.28515625" style="1"/>
    <col min="13076" max="13091" width="9.5703125" style="1" customWidth="1"/>
    <col min="13092" max="13092" width="9.28515625" style="1"/>
    <col min="13093" max="13093" width="9.7109375" style="1" bestFit="1" customWidth="1"/>
    <col min="13094" max="13094" width="9.28515625" style="1"/>
    <col min="13095" max="13095" width="9.7109375" style="1" bestFit="1" customWidth="1"/>
    <col min="13096" max="13329" width="9.28515625" style="1"/>
    <col min="13330" max="13330" width="34.7109375" style="1" customWidth="1"/>
    <col min="13331" max="13331" width="9.28515625" style="1"/>
    <col min="13332" max="13347" width="9.5703125" style="1" customWidth="1"/>
    <col min="13348" max="13348" width="9.28515625" style="1"/>
    <col min="13349" max="13349" width="9.7109375" style="1" bestFit="1" customWidth="1"/>
    <col min="13350" max="13350" width="9.28515625" style="1"/>
    <col min="13351" max="13351" width="9.7109375" style="1" bestFit="1" customWidth="1"/>
    <col min="13352" max="13585" width="9.28515625" style="1"/>
    <col min="13586" max="13586" width="34.7109375" style="1" customWidth="1"/>
    <col min="13587" max="13587" width="9.28515625" style="1"/>
    <col min="13588" max="13603" width="9.5703125" style="1" customWidth="1"/>
    <col min="13604" max="13604" width="9.28515625" style="1"/>
    <col min="13605" max="13605" width="9.7109375" style="1" bestFit="1" customWidth="1"/>
    <col min="13606" max="13606" width="9.28515625" style="1"/>
    <col min="13607" max="13607" width="9.7109375" style="1" bestFit="1" customWidth="1"/>
    <col min="13608" max="13841" width="9.28515625" style="1"/>
    <col min="13842" max="13842" width="34.7109375" style="1" customWidth="1"/>
    <col min="13843" max="13843" width="9.28515625" style="1"/>
    <col min="13844" max="13859" width="9.5703125" style="1" customWidth="1"/>
    <col min="13860" max="13860" width="9.28515625" style="1"/>
    <col min="13861" max="13861" width="9.7109375" style="1" bestFit="1" customWidth="1"/>
    <col min="13862" max="13862" width="9.28515625" style="1"/>
    <col min="13863" max="13863" width="9.7109375" style="1" bestFit="1" customWidth="1"/>
    <col min="13864" max="14097" width="9.28515625" style="1"/>
    <col min="14098" max="14098" width="34.7109375" style="1" customWidth="1"/>
    <col min="14099" max="14099" width="9.28515625" style="1"/>
    <col min="14100" max="14115" width="9.5703125" style="1" customWidth="1"/>
    <col min="14116" max="14116" width="9.28515625" style="1"/>
    <col min="14117" max="14117" width="9.7109375" style="1" bestFit="1" customWidth="1"/>
    <col min="14118" max="14118" width="9.28515625" style="1"/>
    <col min="14119" max="14119" width="9.7109375" style="1" bestFit="1" customWidth="1"/>
    <col min="14120" max="14353" width="9.28515625" style="1"/>
    <col min="14354" max="14354" width="34.7109375" style="1" customWidth="1"/>
    <col min="14355" max="14355" width="9.28515625" style="1"/>
    <col min="14356" max="14371" width="9.5703125" style="1" customWidth="1"/>
    <col min="14372" max="14372" width="9.28515625" style="1"/>
    <col min="14373" max="14373" width="9.7109375" style="1" bestFit="1" customWidth="1"/>
    <col min="14374" max="14374" width="9.28515625" style="1"/>
    <col min="14375" max="14375" width="9.7109375" style="1" bestFit="1" customWidth="1"/>
    <col min="14376" max="14609" width="9.28515625" style="1"/>
    <col min="14610" max="14610" width="34.7109375" style="1" customWidth="1"/>
    <col min="14611" max="14611" width="9.28515625" style="1"/>
    <col min="14612" max="14627" width="9.5703125" style="1" customWidth="1"/>
    <col min="14628" max="14628" width="9.28515625" style="1"/>
    <col min="14629" max="14629" width="9.7109375" style="1" bestFit="1" customWidth="1"/>
    <col min="14630" max="14630" width="9.28515625" style="1"/>
    <col min="14631" max="14631" width="9.7109375" style="1" bestFit="1" customWidth="1"/>
    <col min="14632" max="14865" width="9.28515625" style="1"/>
    <col min="14866" max="14866" width="34.7109375" style="1" customWidth="1"/>
    <col min="14867" max="14867" width="9.28515625" style="1"/>
    <col min="14868" max="14883" width="9.5703125" style="1" customWidth="1"/>
    <col min="14884" max="14884" width="9.28515625" style="1"/>
    <col min="14885" max="14885" width="9.7109375" style="1" bestFit="1" customWidth="1"/>
    <col min="14886" max="14886" width="9.28515625" style="1"/>
    <col min="14887" max="14887" width="9.7109375" style="1" bestFit="1" customWidth="1"/>
    <col min="14888" max="15121" width="9.28515625" style="1"/>
    <col min="15122" max="15122" width="34.7109375" style="1" customWidth="1"/>
    <col min="15123" max="15123" width="9.28515625" style="1"/>
    <col min="15124" max="15139" width="9.5703125" style="1" customWidth="1"/>
    <col min="15140" max="15140" width="9.28515625" style="1"/>
    <col min="15141" max="15141" width="9.7109375" style="1" bestFit="1" customWidth="1"/>
    <col min="15142" max="15142" width="9.28515625" style="1"/>
    <col min="15143" max="15143" width="9.7109375" style="1" bestFit="1" customWidth="1"/>
    <col min="15144" max="15377" width="9.28515625" style="1"/>
    <col min="15378" max="15378" width="34.7109375" style="1" customWidth="1"/>
    <col min="15379" max="15379" width="9.28515625" style="1"/>
    <col min="15380" max="15395" width="9.5703125" style="1" customWidth="1"/>
    <col min="15396" max="15396" width="9.28515625" style="1"/>
    <col min="15397" max="15397" width="9.7109375" style="1" bestFit="1" customWidth="1"/>
    <col min="15398" max="15398" width="9.28515625" style="1"/>
    <col min="15399" max="15399" width="9.7109375" style="1" bestFit="1" customWidth="1"/>
    <col min="15400" max="15633" width="9.28515625" style="1"/>
    <col min="15634" max="15634" width="34.7109375" style="1" customWidth="1"/>
    <col min="15635" max="15635" width="9.28515625" style="1"/>
    <col min="15636" max="15651" width="9.5703125" style="1" customWidth="1"/>
    <col min="15652" max="15652" width="9.28515625" style="1"/>
    <col min="15653" max="15653" width="9.7109375" style="1" bestFit="1" customWidth="1"/>
    <col min="15654" max="15654" width="9.28515625" style="1"/>
    <col min="15655" max="15655" width="9.7109375" style="1" bestFit="1" customWidth="1"/>
    <col min="15656" max="15889" width="9.28515625" style="1"/>
    <col min="15890" max="15890" width="34.7109375" style="1" customWidth="1"/>
    <col min="15891" max="15891" width="9.28515625" style="1"/>
    <col min="15892" max="15907" width="9.5703125" style="1" customWidth="1"/>
    <col min="15908" max="15908" width="9.28515625" style="1"/>
    <col min="15909" max="15909" width="9.7109375" style="1" bestFit="1" customWidth="1"/>
    <col min="15910" max="15910" width="9.28515625" style="1"/>
    <col min="15911" max="15911" width="9.7109375" style="1" bestFit="1" customWidth="1"/>
    <col min="15912" max="16145" width="9.28515625" style="1"/>
    <col min="16146" max="16146" width="34.7109375" style="1" customWidth="1"/>
    <col min="16147" max="16147" width="9.28515625" style="1"/>
    <col min="16148" max="16163" width="9.5703125" style="1" customWidth="1"/>
    <col min="16164" max="16164" width="9.28515625" style="1"/>
    <col min="16165" max="16165" width="9.7109375" style="1" bestFit="1" customWidth="1"/>
    <col min="16166" max="16166" width="9.28515625" style="1"/>
    <col min="16167" max="16167" width="9.7109375" style="1" bestFit="1" customWidth="1"/>
    <col min="16168" max="16384" width="9.28515625" style="1"/>
  </cols>
  <sheetData>
    <row r="1" spans="1:44" ht="15.75">
      <c r="A1" s="828"/>
      <c r="B1" s="825"/>
      <c r="C1" s="825"/>
      <c r="D1" s="825"/>
      <c r="E1" s="825"/>
      <c r="F1" s="825"/>
      <c r="G1" s="825"/>
      <c r="H1" s="825"/>
      <c r="I1" s="1016"/>
      <c r="J1" s="825"/>
      <c r="K1" s="825"/>
      <c r="L1" s="825"/>
      <c r="M1" s="825"/>
      <c r="N1" s="825"/>
      <c r="O1" s="825"/>
      <c r="P1" s="825"/>
      <c r="Q1" s="825"/>
      <c r="R1" s="825"/>
      <c r="S1" s="825"/>
      <c r="T1" s="825"/>
      <c r="U1" s="825"/>
      <c r="V1" s="825"/>
      <c r="W1" s="825"/>
      <c r="X1" s="825"/>
      <c r="Y1" s="825"/>
      <c r="Z1" s="1017"/>
      <c r="AA1" s="1017"/>
      <c r="AB1" s="1017"/>
      <c r="AC1" s="1017"/>
      <c r="AD1" s="1017"/>
      <c r="AE1" s="1017"/>
      <c r="AF1" s="1017"/>
      <c r="AG1" s="1017"/>
      <c r="AH1" s="1017"/>
      <c r="AI1" s="1017"/>
      <c r="AJ1" s="267"/>
      <c r="AK1" s="289"/>
      <c r="AL1" s="267"/>
      <c r="AM1" s="267"/>
      <c r="AN1" s="267"/>
      <c r="AO1" s="267"/>
      <c r="AP1" s="267"/>
      <c r="AQ1" s="267"/>
      <c r="AR1" s="267"/>
    </row>
    <row r="2" spans="1:44" ht="15.75" hidden="1">
      <c r="A2" s="828"/>
      <c r="B2" s="825"/>
      <c r="C2" s="825"/>
      <c r="D2" s="825"/>
      <c r="E2" s="825"/>
      <c r="F2" s="825"/>
      <c r="G2" s="825"/>
      <c r="H2" s="825"/>
      <c r="I2" s="1016"/>
      <c r="J2" s="825"/>
      <c r="K2" s="825"/>
      <c r="L2" s="825"/>
      <c r="M2" s="825"/>
      <c r="N2" s="825"/>
      <c r="O2" s="825"/>
      <c r="P2" s="825"/>
      <c r="Q2" s="1018" t="s">
        <v>125</v>
      </c>
      <c r="R2" s="1018" t="s">
        <v>126</v>
      </c>
      <c r="S2" s="825"/>
      <c r="T2" s="825"/>
      <c r="U2" s="825"/>
      <c r="V2" s="825"/>
      <c r="W2" s="825"/>
      <c r="X2" s="825"/>
      <c r="Y2" s="825">
        <f>Y84</f>
        <v>0</v>
      </c>
      <c r="Z2" s="1019">
        <f t="shared" ref="Z2:AI2" si="0">Z84</f>
        <v>904.87613248865819</v>
      </c>
      <c r="AA2" s="1019">
        <f t="shared" si="0"/>
        <v>594.21498376343516</v>
      </c>
      <c r="AB2" s="1019">
        <f t="shared" si="0"/>
        <v>264.88575574496645</v>
      </c>
      <c r="AC2" s="1019">
        <f t="shared" si="0"/>
        <v>0</v>
      </c>
      <c r="AD2" s="1019">
        <f t="shared" si="0"/>
        <v>0</v>
      </c>
      <c r="AE2" s="1019">
        <f t="shared" si="0"/>
        <v>0</v>
      </c>
      <c r="AF2" s="1019">
        <f t="shared" si="0"/>
        <v>0</v>
      </c>
      <c r="AG2" s="1019">
        <f t="shared" si="0"/>
        <v>0</v>
      </c>
      <c r="AH2" s="1019">
        <f t="shared" si="0"/>
        <v>0</v>
      </c>
      <c r="AI2" s="1019">
        <f t="shared" si="0"/>
        <v>0</v>
      </c>
      <c r="AJ2" s="267"/>
      <c r="AK2" s="267"/>
      <c r="AL2" s="267"/>
      <c r="AM2" s="267"/>
      <c r="AN2" s="267"/>
      <c r="AO2" s="267"/>
      <c r="AP2" s="267"/>
      <c r="AQ2" s="267"/>
      <c r="AR2" s="267"/>
    </row>
    <row r="3" spans="1:44" ht="15.75">
      <c r="A3" s="828"/>
      <c r="B3" s="1020" t="s">
        <v>127</v>
      </c>
      <c r="C3" s="1020"/>
      <c r="D3" s="1020">
        <v>2004</v>
      </c>
      <c r="E3" s="1020">
        <v>2005</v>
      </c>
      <c r="F3" s="1020">
        <v>2006</v>
      </c>
      <c r="G3" s="1020">
        <v>2007</v>
      </c>
      <c r="H3" s="1020">
        <v>2008</v>
      </c>
      <c r="I3" s="1020">
        <v>2009</v>
      </c>
      <c r="J3" s="1020">
        <v>2010</v>
      </c>
      <c r="K3" s="1020">
        <v>2011</v>
      </c>
      <c r="L3" s="1020">
        <v>2012</v>
      </c>
      <c r="M3" s="1020">
        <v>2013</v>
      </c>
      <c r="N3" s="1020">
        <f t="shared" ref="N3:AI3" si="1">M3+1</f>
        <v>2014</v>
      </c>
      <c r="O3" s="1020">
        <f t="shared" si="1"/>
        <v>2015</v>
      </c>
      <c r="P3" s="1020">
        <f t="shared" si="1"/>
        <v>2016</v>
      </c>
      <c r="Q3" s="1020">
        <f t="shared" si="1"/>
        <v>2017</v>
      </c>
      <c r="R3" s="1020">
        <f t="shared" si="1"/>
        <v>2018</v>
      </c>
      <c r="S3" s="1020">
        <f t="shared" si="1"/>
        <v>2019</v>
      </c>
      <c r="T3" s="1020">
        <f t="shared" si="1"/>
        <v>2020</v>
      </c>
      <c r="U3" s="1020">
        <f t="shared" si="1"/>
        <v>2021</v>
      </c>
      <c r="V3" s="1020">
        <f t="shared" si="1"/>
        <v>2022</v>
      </c>
      <c r="W3" s="1020">
        <f t="shared" si="1"/>
        <v>2023</v>
      </c>
      <c r="X3" s="1020">
        <f t="shared" si="1"/>
        <v>2024</v>
      </c>
      <c r="Y3" s="1020">
        <f t="shared" si="1"/>
        <v>2025</v>
      </c>
      <c r="Z3" s="1021">
        <f t="shared" si="1"/>
        <v>2026</v>
      </c>
      <c r="AA3" s="1021">
        <f t="shared" si="1"/>
        <v>2027</v>
      </c>
      <c r="AB3" s="1021">
        <f t="shared" si="1"/>
        <v>2028</v>
      </c>
      <c r="AC3" s="1021">
        <f t="shared" si="1"/>
        <v>2029</v>
      </c>
      <c r="AD3" s="1021">
        <f t="shared" si="1"/>
        <v>2030</v>
      </c>
      <c r="AE3" s="1021">
        <f t="shared" si="1"/>
        <v>2031</v>
      </c>
      <c r="AF3" s="1021">
        <f t="shared" si="1"/>
        <v>2032</v>
      </c>
      <c r="AG3" s="1021">
        <f t="shared" si="1"/>
        <v>2033</v>
      </c>
      <c r="AH3" s="1021">
        <f t="shared" si="1"/>
        <v>2034</v>
      </c>
      <c r="AI3" s="1021">
        <f t="shared" si="1"/>
        <v>2035</v>
      </c>
      <c r="AJ3" s="1022" t="s">
        <v>128</v>
      </c>
      <c r="AK3" s="267"/>
      <c r="AL3" s="267"/>
      <c r="AM3" s="267"/>
      <c r="AN3" s="267"/>
      <c r="AO3" s="267"/>
      <c r="AP3" s="267"/>
      <c r="AQ3" s="267"/>
      <c r="AR3" s="267"/>
    </row>
    <row r="4" spans="1:44" ht="15.75">
      <c r="A4" s="267"/>
      <c r="B4" s="520"/>
      <c r="C4" s="520"/>
      <c r="D4" s="520"/>
      <c r="E4" s="520"/>
      <c r="F4" s="520"/>
      <c r="G4" s="520"/>
      <c r="H4" s="520"/>
      <c r="I4" s="520"/>
      <c r="J4" s="520"/>
      <c r="K4" s="520"/>
      <c r="L4" s="520"/>
      <c r="M4" s="520"/>
      <c r="N4" s="520"/>
      <c r="O4" s="520"/>
      <c r="P4" s="520"/>
      <c r="Q4" s="520"/>
      <c r="R4" s="520"/>
      <c r="S4" s="520"/>
      <c r="T4" s="520"/>
      <c r="U4" s="520"/>
      <c r="V4" s="520"/>
      <c r="W4" s="520"/>
      <c r="X4" s="520"/>
      <c r="Y4" s="520"/>
      <c r="Z4" s="520"/>
      <c r="AA4" s="520"/>
      <c r="AB4" s="520"/>
      <c r="AC4" s="520"/>
      <c r="AD4" s="520"/>
      <c r="AE4" s="520"/>
      <c r="AF4" s="520"/>
      <c r="AG4" s="520"/>
      <c r="AH4" s="520"/>
      <c r="AI4" s="520"/>
      <c r="AJ4" s="267"/>
      <c r="AK4" s="267"/>
      <c r="AL4" s="267"/>
      <c r="AM4" s="267"/>
      <c r="AN4" s="267"/>
      <c r="AO4" s="267"/>
      <c r="AP4" s="267"/>
      <c r="AQ4" s="267"/>
      <c r="AR4" s="267"/>
    </row>
    <row r="5" spans="1:44" ht="15.75">
      <c r="A5" s="267"/>
      <c r="B5" s="520"/>
      <c r="C5" s="520"/>
      <c r="D5" s="520"/>
      <c r="E5" s="520"/>
      <c r="F5" s="520"/>
      <c r="G5" s="520"/>
      <c r="H5" s="520"/>
      <c r="I5" s="520"/>
      <c r="J5" s="520"/>
      <c r="K5" s="520"/>
      <c r="L5" s="520"/>
      <c r="M5" s="520"/>
      <c r="N5" s="520"/>
      <c r="O5" s="520"/>
      <c r="P5" s="520"/>
      <c r="Q5" s="520"/>
      <c r="R5" s="520"/>
      <c r="S5" s="520"/>
      <c r="T5" s="520"/>
      <c r="U5" s="520"/>
      <c r="V5" s="520"/>
      <c r="W5" s="520"/>
      <c r="X5" s="520"/>
      <c r="Y5" s="520"/>
      <c r="Z5" s="520"/>
      <c r="AA5" s="520"/>
      <c r="AB5" s="520"/>
      <c r="AC5" s="520"/>
      <c r="AD5" s="520"/>
      <c r="AE5" s="520"/>
      <c r="AF5" s="520"/>
      <c r="AG5" s="520"/>
      <c r="AH5" s="520"/>
      <c r="AI5" s="520"/>
      <c r="AJ5" s="267"/>
      <c r="AK5" s="267"/>
      <c r="AL5" s="267"/>
      <c r="AM5" s="267"/>
      <c r="AN5" s="267"/>
      <c r="AO5" s="267"/>
      <c r="AP5" s="267"/>
      <c r="AQ5" s="267"/>
      <c r="AR5" s="267"/>
    </row>
    <row r="6" spans="1:44" ht="15.75">
      <c r="A6" s="267"/>
      <c r="B6" s="521" t="s">
        <v>129</v>
      </c>
      <c r="C6" s="520"/>
      <c r="D6" s="520"/>
      <c r="E6" s="522">
        <f t="shared" ref="E6:Q6" si="2">E8</f>
        <v>2885</v>
      </c>
      <c r="F6" s="522">
        <f t="shared" si="2"/>
        <v>3277</v>
      </c>
      <c r="G6" s="522">
        <f t="shared" si="2"/>
        <v>4166</v>
      </c>
      <c r="H6" s="522">
        <f t="shared" si="2"/>
        <v>5854</v>
      </c>
      <c r="I6" s="522">
        <f t="shared" si="2"/>
        <v>6895</v>
      </c>
      <c r="J6" s="522">
        <f t="shared" si="2"/>
        <v>7509</v>
      </c>
      <c r="K6" s="522">
        <f t="shared" si="2"/>
        <v>8249</v>
      </c>
      <c r="L6" s="522">
        <f t="shared" si="2"/>
        <v>8977</v>
      </c>
      <c r="M6" s="522">
        <f t="shared" si="2"/>
        <v>10068</v>
      </c>
      <c r="N6" s="522">
        <f t="shared" si="2"/>
        <v>11475</v>
      </c>
      <c r="O6" s="522">
        <f t="shared" si="2"/>
        <v>14557</v>
      </c>
      <c r="P6" s="522">
        <f t="shared" si="2"/>
        <v>16957</v>
      </c>
      <c r="Q6" s="522">
        <f t="shared" si="2"/>
        <v>17287</v>
      </c>
      <c r="R6" s="522">
        <f>Fixed!M127</f>
        <v>19436</v>
      </c>
      <c r="S6" s="522">
        <f>Fixed!N127</f>
        <v>21604</v>
      </c>
      <c r="T6" s="522">
        <f>Fixed!O127</f>
        <v>22390.929000000004</v>
      </c>
      <c r="U6" s="522">
        <f>Fixed!P127</f>
        <v>24634.396000000001</v>
      </c>
      <c r="V6" s="522">
        <f>Fixed!Q127</f>
        <v>27155.291000000001</v>
      </c>
      <c r="W6" s="522">
        <f>Fixed!R127</f>
        <v>29870.541000000005</v>
      </c>
      <c r="X6" s="522">
        <f>Fixed!S127</f>
        <v>32840.847000000002</v>
      </c>
      <c r="Y6" s="522">
        <f>Fixed!T127</f>
        <v>35429.711000000003</v>
      </c>
      <c r="Z6" s="522">
        <f>Fixed!U127</f>
        <v>38484.331480000008</v>
      </c>
      <c r="AA6" s="522">
        <f>Fixed!V127</f>
        <v>41068.627100000012</v>
      </c>
      <c r="AB6" s="522">
        <f>Fixed!W127</f>
        <v>43475.200744610011</v>
      </c>
      <c r="AC6" s="522">
        <f>Fixed!X127</f>
        <v>45648.960781840506</v>
      </c>
      <c r="AD6" s="522">
        <f>Fixed!Y127</f>
        <v>47440.099610512625</v>
      </c>
      <c r="AE6" s="522">
        <f>Fixed!Z127</f>
        <v>48384.851334768406</v>
      </c>
      <c r="AF6" s="522">
        <f>Fixed!AA127</f>
        <v>49355.43184639293</v>
      </c>
      <c r="AG6" s="522">
        <f>Fixed!AB127</f>
        <v>50352.811452771966</v>
      </c>
      <c r="AH6" s="522">
        <f>Fixed!AC127</f>
        <v>51378.004159680844</v>
      </c>
      <c r="AI6" s="522">
        <f>Fixed!AD127</f>
        <v>52432.069783949228</v>
      </c>
      <c r="AJ6" s="267"/>
      <c r="AK6" s="267"/>
      <c r="AL6" s="267"/>
      <c r="AM6" s="267"/>
      <c r="AN6" s="267"/>
      <c r="AO6" s="267"/>
      <c r="AP6" s="267"/>
      <c r="AQ6" s="267"/>
      <c r="AR6" s="267"/>
    </row>
    <row r="7" spans="1:44" ht="15.75">
      <c r="A7" s="267"/>
      <c r="B7" s="858"/>
      <c r="C7" s="859"/>
      <c r="D7" s="859"/>
      <c r="E7" s="860"/>
      <c r="F7" s="860"/>
      <c r="G7" s="860"/>
      <c r="H7" s="860"/>
      <c r="I7" s="860"/>
      <c r="J7" s="860"/>
      <c r="K7" s="860"/>
      <c r="L7" s="860"/>
      <c r="M7" s="860"/>
      <c r="N7" s="860"/>
      <c r="O7" s="860"/>
      <c r="P7" s="860"/>
      <c r="Q7" s="860"/>
      <c r="R7" s="860"/>
      <c r="S7" s="860"/>
      <c r="T7" s="860"/>
      <c r="U7" s="860"/>
      <c r="V7" s="860"/>
      <c r="W7" s="860"/>
      <c r="X7" s="860"/>
      <c r="Y7" s="860"/>
      <c r="Z7" s="860"/>
      <c r="AA7" s="860"/>
      <c r="AB7" s="860"/>
      <c r="AC7" s="860"/>
      <c r="AD7" s="860"/>
      <c r="AE7" s="860"/>
      <c r="AF7" s="860"/>
      <c r="AG7" s="860"/>
      <c r="AH7" s="860"/>
      <c r="AI7" s="860"/>
      <c r="AJ7" s="861"/>
      <c r="AK7" s="267"/>
      <c r="AL7" s="267"/>
      <c r="AM7" s="267"/>
      <c r="AN7" s="267"/>
      <c r="AO7" s="267"/>
      <c r="AP7" s="267"/>
      <c r="AQ7" s="267"/>
      <c r="AR7" s="267"/>
    </row>
    <row r="8" spans="1:44" ht="15.75">
      <c r="A8" s="267"/>
      <c r="B8" s="520" t="s">
        <v>130</v>
      </c>
      <c r="C8" s="523"/>
      <c r="D8" s="523"/>
      <c r="E8" s="524">
        <v>2885</v>
      </c>
      <c r="F8" s="524">
        <v>3277</v>
      </c>
      <c r="G8" s="524">
        <v>4166</v>
      </c>
      <c r="H8" s="524">
        <v>5854</v>
      </c>
      <c r="I8" s="524">
        <v>6895</v>
      </c>
      <c r="J8" s="524">
        <v>7509</v>
      </c>
      <c r="K8" s="524">
        <v>8249</v>
      </c>
      <c r="L8" s="524">
        <v>8977</v>
      </c>
      <c r="M8" s="524">
        <v>10068</v>
      </c>
      <c r="N8" s="524">
        <v>11475</v>
      </c>
      <c r="O8" s="524">
        <v>14557</v>
      </c>
      <c r="P8" s="524">
        <v>16957</v>
      </c>
      <c r="Q8" s="524">
        <v>17287</v>
      </c>
      <c r="R8" s="524">
        <v>19436</v>
      </c>
      <c r="S8" s="524">
        <v>21604</v>
      </c>
      <c r="T8" s="524">
        <v>22383</v>
      </c>
      <c r="U8" s="524">
        <v>24634</v>
      </c>
      <c r="V8" s="524">
        <v>27155.555</v>
      </c>
      <c r="W8" s="524">
        <v>29870.54</v>
      </c>
      <c r="X8" s="524">
        <v>32840.847999999998</v>
      </c>
      <c r="Y8" s="524">
        <v>35429.71</v>
      </c>
      <c r="Z8" s="523">
        <f t="shared" ref="Z8:AI8" si="3">Z6+Z7</f>
        <v>38484.331480000008</v>
      </c>
      <c r="AA8" s="523">
        <f t="shared" si="3"/>
        <v>41068.627100000012</v>
      </c>
      <c r="AB8" s="523">
        <f t="shared" si="3"/>
        <v>43475.200744610011</v>
      </c>
      <c r="AC8" s="523">
        <f t="shared" si="3"/>
        <v>45648.960781840506</v>
      </c>
      <c r="AD8" s="523">
        <f t="shared" si="3"/>
        <v>47440.099610512625</v>
      </c>
      <c r="AE8" s="523">
        <f t="shared" si="3"/>
        <v>48384.851334768406</v>
      </c>
      <c r="AF8" s="523">
        <f t="shared" si="3"/>
        <v>49355.43184639293</v>
      </c>
      <c r="AG8" s="523">
        <f t="shared" si="3"/>
        <v>50352.811452771966</v>
      </c>
      <c r="AH8" s="523">
        <f t="shared" si="3"/>
        <v>51378.004159680844</v>
      </c>
      <c r="AI8" s="523">
        <f t="shared" si="3"/>
        <v>52432.069783949228</v>
      </c>
      <c r="AJ8" s="525">
        <f>(Y8/R8)^(1/6)-1</f>
        <v>0.10524896747613632</v>
      </c>
      <c r="AK8" s="267"/>
      <c r="AL8" s="267"/>
      <c r="AM8" s="267"/>
      <c r="AN8" s="267"/>
      <c r="AO8" s="267"/>
      <c r="AP8" s="267"/>
      <c r="AQ8" s="267"/>
      <c r="AR8" s="267"/>
    </row>
    <row r="9" spans="1:44" ht="15.75">
      <c r="A9" s="267"/>
      <c r="B9" s="521" t="s">
        <v>131</v>
      </c>
      <c r="C9" s="526"/>
      <c r="D9" s="526"/>
      <c r="E9" s="527"/>
      <c r="F9" s="527">
        <f t="shared" ref="F9:AI9" si="4">F8/E8-1</f>
        <v>0.13587521663778168</v>
      </c>
      <c r="G9" s="527">
        <f t="shared" si="4"/>
        <v>0.2712847116264876</v>
      </c>
      <c r="H9" s="527">
        <f t="shared" si="4"/>
        <v>0.40518482957273161</v>
      </c>
      <c r="I9" s="527">
        <f t="shared" si="4"/>
        <v>0.17782712675093948</v>
      </c>
      <c r="J9" s="527">
        <f t="shared" si="4"/>
        <v>8.9050036258158105E-2</v>
      </c>
      <c r="K9" s="534">
        <f t="shared" si="4"/>
        <v>9.8548408576375035E-2</v>
      </c>
      <c r="L9" s="534">
        <f t="shared" si="4"/>
        <v>8.8253121590495809E-2</v>
      </c>
      <c r="M9" s="534">
        <f t="shared" si="4"/>
        <v>0.121532806059931</v>
      </c>
      <c r="N9" s="534">
        <f t="shared" si="4"/>
        <v>0.13974970202622172</v>
      </c>
      <c r="O9" s="534">
        <f t="shared" si="4"/>
        <v>0.26858387799564265</v>
      </c>
      <c r="P9" s="534">
        <f t="shared" si="4"/>
        <v>0.16486913512399526</v>
      </c>
      <c r="Q9" s="534">
        <f t="shared" si="4"/>
        <v>1.9460989561832953E-2</v>
      </c>
      <c r="R9" s="534">
        <f t="shared" si="4"/>
        <v>0.12431306762306926</v>
      </c>
      <c r="S9" s="534">
        <f t="shared" si="4"/>
        <v>0.11154558551142202</v>
      </c>
      <c r="T9" s="534">
        <f t="shared" si="4"/>
        <v>3.6058137381966393E-2</v>
      </c>
      <c r="U9" s="534">
        <f t="shared" si="4"/>
        <v>0.10056739489791355</v>
      </c>
      <c r="V9" s="534">
        <f t="shared" si="4"/>
        <v>0.10236076154907847</v>
      </c>
      <c r="W9" s="534">
        <f t="shared" si="4"/>
        <v>9.9978991407098761E-2</v>
      </c>
      <c r="X9" s="534">
        <f t="shared" si="4"/>
        <v>9.9439380741024319E-2</v>
      </c>
      <c r="Y9" s="534">
        <f t="shared" si="4"/>
        <v>7.8830546641182941E-2</v>
      </c>
      <c r="Z9" s="534">
        <f t="shared" si="4"/>
        <v>8.6216383933145568E-2</v>
      </c>
      <c r="AA9" s="534">
        <f t="shared" si="4"/>
        <v>6.7151890668623038E-2</v>
      </c>
      <c r="AB9" s="534">
        <f t="shared" si="4"/>
        <v>5.8598833575568943E-2</v>
      </c>
      <c r="AC9" s="534">
        <f t="shared" si="4"/>
        <v>4.9999999999999822E-2</v>
      </c>
      <c r="AD9" s="534">
        <f t="shared" si="4"/>
        <v>3.923723120953615E-2</v>
      </c>
      <c r="AE9" s="534">
        <f t="shared" si="4"/>
        <v>1.9914623536043896E-2</v>
      </c>
      <c r="AF9" s="534">
        <f t="shared" si="4"/>
        <v>2.005959478741004E-2</v>
      </c>
      <c r="AG9" s="534">
        <f t="shared" si="4"/>
        <v>2.0208102108864923E-2</v>
      </c>
      <c r="AH9" s="534">
        <f t="shared" si="4"/>
        <v>2.036018798812167E-2</v>
      </c>
      <c r="AI9" s="534">
        <f t="shared" si="4"/>
        <v>2.0515892773732336E-2</v>
      </c>
      <c r="AJ9" s="267"/>
      <c r="AK9" s="267"/>
      <c r="AL9" s="267"/>
      <c r="AM9" s="267"/>
      <c r="AN9" s="267"/>
      <c r="AO9" s="267"/>
      <c r="AP9" s="267"/>
      <c r="AQ9" s="267"/>
      <c r="AR9" s="267"/>
    </row>
    <row r="10" spans="1:44" ht="15.75">
      <c r="A10" s="267"/>
      <c r="B10" s="521"/>
      <c r="C10" s="521"/>
      <c r="D10" s="521"/>
      <c r="E10" s="521"/>
      <c r="F10" s="521"/>
      <c r="G10" s="521"/>
      <c r="H10" s="528"/>
      <c r="I10" s="529"/>
      <c r="J10" s="529"/>
      <c r="K10" s="530"/>
      <c r="L10" s="521"/>
      <c r="M10" s="521"/>
      <c r="N10" s="531"/>
      <c r="O10" s="532"/>
      <c r="P10" s="533"/>
      <c r="Q10" s="521"/>
      <c r="R10" s="521"/>
      <c r="S10" s="521"/>
      <c r="T10" s="521"/>
      <c r="U10" s="521"/>
      <c r="V10" s="521"/>
      <c r="W10" s="521"/>
      <c r="X10" s="521"/>
      <c r="Y10" s="521"/>
      <c r="Z10" s="521"/>
      <c r="AA10" s="521"/>
      <c r="AB10" s="521"/>
      <c r="AC10" s="521"/>
      <c r="AD10" s="521"/>
      <c r="AE10" s="521"/>
      <c r="AF10" s="521"/>
      <c r="AG10" s="521"/>
      <c r="AH10" s="521"/>
      <c r="AI10" s="521"/>
      <c r="AJ10" s="267"/>
      <c r="AK10" s="267"/>
      <c r="AL10" s="267"/>
      <c r="AM10" s="267"/>
      <c r="AN10" s="267"/>
      <c r="AO10" s="267"/>
      <c r="AP10" s="267"/>
      <c r="AQ10" s="267"/>
      <c r="AR10" s="267"/>
    </row>
    <row r="11" spans="1:44" ht="15.75">
      <c r="A11" s="267"/>
      <c r="B11" s="521" t="s">
        <v>132</v>
      </c>
      <c r="C11" s="521"/>
      <c r="D11" s="521"/>
      <c r="E11" s="522">
        <f t="shared" ref="E11:Q11" si="5">E13</f>
        <v>1554</v>
      </c>
      <c r="F11" s="522">
        <f t="shared" si="5"/>
        <v>1545</v>
      </c>
      <c r="G11" s="522">
        <f t="shared" si="5"/>
        <v>2165</v>
      </c>
      <c r="H11" s="522">
        <f t="shared" si="5"/>
        <v>2890</v>
      </c>
      <c r="I11" s="522">
        <f t="shared" si="5"/>
        <v>2968</v>
      </c>
      <c r="J11" s="522">
        <f t="shared" si="5"/>
        <v>3075</v>
      </c>
      <c r="K11" s="522">
        <f t="shared" si="5"/>
        <v>3561</v>
      </c>
      <c r="L11" s="522">
        <f t="shared" si="5"/>
        <v>3777</v>
      </c>
      <c r="M11" s="522">
        <f t="shared" si="5"/>
        <v>4356</v>
      </c>
      <c r="N11" s="522">
        <f t="shared" si="5"/>
        <v>4847</v>
      </c>
      <c r="O11" s="522">
        <f t="shared" si="5"/>
        <v>5843</v>
      </c>
      <c r="P11" s="522">
        <f t="shared" si="5"/>
        <v>6915</v>
      </c>
      <c r="Q11" s="522">
        <f t="shared" si="5"/>
        <v>7715</v>
      </c>
      <c r="R11" s="522">
        <f>Fixed!M132</f>
        <v>9347</v>
      </c>
      <c r="S11" s="522">
        <f>Fixed!N132</f>
        <v>10161</v>
      </c>
      <c r="T11" s="522">
        <f>Fixed!O132</f>
        <v>11037</v>
      </c>
      <c r="U11" s="522">
        <f>Fixed!P132</f>
        <v>12116</v>
      </c>
      <c r="V11" s="522">
        <f>Fixed!Q132</f>
        <v>12769.018</v>
      </c>
      <c r="W11" s="522">
        <f>Fixed!R132</f>
        <v>13319.993</v>
      </c>
      <c r="X11" s="522">
        <f>Fixed!S132</f>
        <v>14629.852999999999</v>
      </c>
      <c r="Y11" s="522">
        <f>Fixed!T132</f>
        <v>15936.034</v>
      </c>
      <c r="Z11" s="522">
        <f>Fixed!U132</f>
        <v>17317.949166000006</v>
      </c>
      <c r="AA11" s="522">
        <f>Fixed!V132</f>
        <v>18891.568466000008</v>
      </c>
      <c r="AB11" s="522">
        <f>Fixed!W132</f>
        <v>20433.344349966705</v>
      </c>
      <c r="AC11" s="522">
        <f>Fixed!X132</f>
        <v>21683.256371374238</v>
      </c>
      <c r="AD11" s="522">
        <f>Fixed!Y132</f>
        <v>22771.247813046059</v>
      </c>
      <c r="AE11" s="522">
        <f>Fixed!Z132</f>
        <v>23466.652897362677</v>
      </c>
      <c r="AF11" s="522">
        <f>Fixed!AA132</f>
        <v>24184.161604732537</v>
      </c>
      <c r="AG11" s="522">
        <f>Fixed!AB132</f>
        <v>24924.641669122124</v>
      </c>
      <c r="AH11" s="522">
        <f>Fixed!AC132</f>
        <v>25689.002079840422</v>
      </c>
      <c r="AI11" s="522">
        <f>Fixed!AD132</f>
        <v>26478.195240894362</v>
      </c>
      <c r="AJ11" s="267"/>
      <c r="AK11" s="267"/>
      <c r="AL11" s="267"/>
      <c r="AM11" s="267"/>
      <c r="AN11" s="267"/>
      <c r="AO11" s="267"/>
      <c r="AP11" s="267"/>
      <c r="AQ11" s="267"/>
      <c r="AR11" s="267"/>
    </row>
    <row r="12" spans="1:44" ht="15.75">
      <c r="A12" s="267"/>
      <c r="B12" s="858"/>
      <c r="C12" s="858"/>
      <c r="D12" s="858"/>
      <c r="E12" s="860"/>
      <c r="F12" s="860"/>
      <c r="G12" s="860"/>
      <c r="H12" s="860"/>
      <c r="I12" s="860"/>
      <c r="J12" s="860"/>
      <c r="K12" s="860"/>
      <c r="L12" s="860"/>
      <c r="M12" s="860"/>
      <c r="N12" s="860"/>
      <c r="O12" s="860"/>
      <c r="P12" s="860"/>
      <c r="Q12" s="860"/>
      <c r="R12" s="860"/>
      <c r="S12" s="860"/>
      <c r="T12" s="860"/>
      <c r="U12" s="860"/>
      <c r="V12" s="860"/>
      <c r="W12" s="860"/>
      <c r="X12" s="860"/>
      <c r="Y12" s="860"/>
      <c r="Z12" s="860"/>
      <c r="AA12" s="860"/>
      <c r="AB12" s="860"/>
      <c r="AC12" s="860"/>
      <c r="AD12" s="860"/>
      <c r="AE12" s="860"/>
      <c r="AF12" s="860"/>
      <c r="AG12" s="860"/>
      <c r="AH12" s="860"/>
      <c r="AI12" s="860"/>
      <c r="AJ12" s="267"/>
      <c r="AK12" s="267"/>
      <c r="AL12" s="267"/>
      <c r="AM12" s="267"/>
      <c r="AN12" s="267"/>
      <c r="AO12" s="267"/>
      <c r="AP12" s="267"/>
      <c r="AQ12" s="267"/>
      <c r="AR12" s="267"/>
    </row>
    <row r="13" spans="1:44" ht="15.75">
      <c r="A13" s="267"/>
      <c r="B13" s="520" t="s">
        <v>133</v>
      </c>
      <c r="C13" s="521"/>
      <c r="D13" s="521"/>
      <c r="E13" s="524">
        <v>1554</v>
      </c>
      <c r="F13" s="524">
        <v>1545</v>
      </c>
      <c r="G13" s="524">
        <v>2165</v>
      </c>
      <c r="H13" s="524">
        <v>2890</v>
      </c>
      <c r="I13" s="524">
        <v>2968</v>
      </c>
      <c r="J13" s="524">
        <v>3075</v>
      </c>
      <c r="K13" s="524">
        <v>3561</v>
      </c>
      <c r="L13" s="524">
        <v>3777</v>
      </c>
      <c r="M13" s="524">
        <v>4356</v>
      </c>
      <c r="N13" s="524">
        <v>4847</v>
      </c>
      <c r="O13" s="524">
        <v>5843</v>
      </c>
      <c r="P13" s="524">
        <v>6915</v>
      </c>
      <c r="Q13" s="524">
        <v>7715</v>
      </c>
      <c r="R13" s="524">
        <v>9347</v>
      </c>
      <c r="S13" s="524">
        <v>10161</v>
      </c>
      <c r="T13" s="524">
        <v>11037</v>
      </c>
      <c r="U13" s="524">
        <v>12116</v>
      </c>
      <c r="V13" s="524">
        <v>12769.018</v>
      </c>
      <c r="W13" s="524">
        <v>13319.993</v>
      </c>
      <c r="X13" s="524">
        <v>14629.852999999999</v>
      </c>
      <c r="Y13" s="524">
        <v>15936.034</v>
      </c>
      <c r="Z13" s="523">
        <f t="shared" ref="Z13:AI13" si="6">Z11+Z12</f>
        <v>17317.949166000006</v>
      </c>
      <c r="AA13" s="523">
        <f t="shared" si="6"/>
        <v>18891.568466000008</v>
      </c>
      <c r="AB13" s="523">
        <f t="shared" si="6"/>
        <v>20433.344349966705</v>
      </c>
      <c r="AC13" s="523">
        <f t="shared" si="6"/>
        <v>21683.256371374238</v>
      </c>
      <c r="AD13" s="523">
        <f t="shared" si="6"/>
        <v>22771.247813046059</v>
      </c>
      <c r="AE13" s="523">
        <f t="shared" si="6"/>
        <v>23466.652897362677</v>
      </c>
      <c r="AF13" s="523">
        <f t="shared" si="6"/>
        <v>24184.161604732537</v>
      </c>
      <c r="AG13" s="523">
        <f t="shared" si="6"/>
        <v>24924.641669122124</v>
      </c>
      <c r="AH13" s="523">
        <f t="shared" si="6"/>
        <v>25689.002079840422</v>
      </c>
      <c r="AI13" s="523">
        <f t="shared" si="6"/>
        <v>26478.195240894362</v>
      </c>
      <c r="AJ13" s="525">
        <f>(Y13/R13)^(1/6)-1</f>
        <v>9.2994561064686065E-2</v>
      </c>
      <c r="AK13" s="267"/>
      <c r="AL13" s="267"/>
      <c r="AM13" s="267"/>
      <c r="AN13" s="267"/>
      <c r="AO13" s="267"/>
      <c r="AP13" s="267"/>
      <c r="AQ13" s="267"/>
      <c r="AR13" s="267"/>
    </row>
    <row r="14" spans="1:44" ht="15.75">
      <c r="A14" s="267"/>
      <c r="B14" s="520" t="s">
        <v>45</v>
      </c>
      <c r="C14" s="521"/>
      <c r="D14" s="521"/>
      <c r="E14" s="534">
        <f t="shared" ref="E14:AI14" si="7">E13/E8</f>
        <v>0.53864818024263428</v>
      </c>
      <c r="F14" s="534">
        <f t="shared" si="7"/>
        <v>0.47146780592004883</v>
      </c>
      <c r="G14" s="534">
        <f t="shared" si="7"/>
        <v>0.51968314930388859</v>
      </c>
      <c r="H14" s="534">
        <f t="shared" si="7"/>
        <v>0.49367953536043729</v>
      </c>
      <c r="I14" s="534">
        <f t="shared" si="7"/>
        <v>0.43045685279187818</v>
      </c>
      <c r="J14" s="534">
        <f t="shared" si="7"/>
        <v>0.40950858969236914</v>
      </c>
      <c r="K14" s="534">
        <f t="shared" si="7"/>
        <v>0.43168868953812584</v>
      </c>
      <c r="L14" s="534">
        <f t="shared" si="7"/>
        <v>0.42074189595633282</v>
      </c>
      <c r="M14" s="534">
        <f t="shared" si="7"/>
        <v>0.43265792610250298</v>
      </c>
      <c r="N14" s="534">
        <f t="shared" si="7"/>
        <v>0.42239651416122004</v>
      </c>
      <c r="O14" s="534">
        <f t="shared" si="7"/>
        <v>0.40138764855396031</v>
      </c>
      <c r="P14" s="534">
        <f t="shared" si="7"/>
        <v>0.40779619036386155</v>
      </c>
      <c r="Q14" s="534">
        <f t="shared" si="7"/>
        <v>0.44628911899114942</v>
      </c>
      <c r="R14" s="534">
        <f t="shared" si="7"/>
        <v>0.48091171022844209</v>
      </c>
      <c r="S14" s="534">
        <f t="shared" si="7"/>
        <v>0.47032956859840769</v>
      </c>
      <c r="T14" s="534">
        <f t="shared" si="7"/>
        <v>0.49309744002144484</v>
      </c>
      <c r="U14" s="534">
        <f t="shared" si="7"/>
        <v>0.49184054558739954</v>
      </c>
      <c r="V14" s="534">
        <f t="shared" si="7"/>
        <v>0.47021753007810002</v>
      </c>
      <c r="W14" s="534">
        <f t="shared" si="7"/>
        <v>0.44592407770331571</v>
      </c>
      <c r="X14" s="534">
        <f t="shared" si="7"/>
        <v>0.44547732141386848</v>
      </c>
      <c r="Y14" s="534">
        <f t="shared" si="7"/>
        <v>0.44979295625055921</v>
      </c>
      <c r="Z14" s="534">
        <f t="shared" si="7"/>
        <v>0.45000000000000007</v>
      </c>
      <c r="AA14" s="534">
        <f t="shared" si="7"/>
        <v>0.46000000000000008</v>
      </c>
      <c r="AB14" s="534">
        <f t="shared" si="7"/>
        <v>0.47</v>
      </c>
      <c r="AC14" s="534">
        <f t="shared" si="7"/>
        <v>0.47499999999999998</v>
      </c>
      <c r="AD14" s="534">
        <f t="shared" si="7"/>
        <v>0.48</v>
      </c>
      <c r="AE14" s="534">
        <f t="shared" si="7"/>
        <v>0.48499999999999999</v>
      </c>
      <c r="AF14" s="534">
        <f t="shared" si="7"/>
        <v>0.49000000000000005</v>
      </c>
      <c r="AG14" s="534">
        <f t="shared" si="7"/>
        <v>0.495</v>
      </c>
      <c r="AH14" s="534">
        <f t="shared" si="7"/>
        <v>0.5</v>
      </c>
      <c r="AI14" s="534">
        <f t="shared" si="7"/>
        <v>0.505</v>
      </c>
      <c r="AJ14" s="535"/>
      <c r="AK14" s="267"/>
      <c r="AL14" s="267"/>
      <c r="AM14" s="267"/>
      <c r="AN14" s="267"/>
      <c r="AO14" s="267"/>
      <c r="AP14" s="267"/>
      <c r="AQ14" s="267"/>
      <c r="AR14" s="267"/>
    </row>
    <row r="15" spans="1:44" ht="15.75">
      <c r="A15" s="267"/>
      <c r="B15" s="521" t="s">
        <v>131</v>
      </c>
      <c r="C15" s="526"/>
      <c r="D15" s="526"/>
      <c r="E15" s="522" t="e">
        <f t="shared" ref="E15:J15" si="8">E13/D13-1</f>
        <v>#DIV/0!</v>
      </c>
      <c r="F15" s="527">
        <f t="shared" si="8"/>
        <v>-5.7915057915057799E-3</v>
      </c>
      <c r="G15" s="527">
        <f t="shared" si="8"/>
        <v>0.40129449838187692</v>
      </c>
      <c r="H15" s="527">
        <f t="shared" si="8"/>
        <v>0.33487297921478065</v>
      </c>
      <c r="I15" s="527">
        <f t="shared" si="8"/>
        <v>2.6989619377162599E-2</v>
      </c>
      <c r="J15" s="527">
        <f t="shared" si="8"/>
        <v>3.6051212938005284E-2</v>
      </c>
      <c r="K15" s="527">
        <f>K13/(J13-250)-1</f>
        <v>0.26053097345132747</v>
      </c>
      <c r="L15" s="534">
        <f t="shared" ref="L15:AI15" si="9">L13/K13-1</f>
        <v>6.0657118786857644E-2</v>
      </c>
      <c r="M15" s="527">
        <f t="shared" si="9"/>
        <v>0.15329626687847497</v>
      </c>
      <c r="N15" s="527">
        <f t="shared" si="9"/>
        <v>0.11271808999081734</v>
      </c>
      <c r="O15" s="527">
        <f t="shared" si="9"/>
        <v>0.20548793067877047</v>
      </c>
      <c r="P15" s="527">
        <f t="shared" si="9"/>
        <v>0.18346739688516167</v>
      </c>
      <c r="Q15" s="527">
        <f t="shared" si="9"/>
        <v>0.11569052783803335</v>
      </c>
      <c r="R15" s="527">
        <f t="shared" si="9"/>
        <v>0.21153596889176929</v>
      </c>
      <c r="S15" s="527">
        <f t="shared" si="9"/>
        <v>8.7086765807210975E-2</v>
      </c>
      <c r="T15" s="527">
        <f t="shared" si="9"/>
        <v>8.6211987009152669E-2</v>
      </c>
      <c r="U15" s="527">
        <f t="shared" si="9"/>
        <v>9.7762073027090723E-2</v>
      </c>
      <c r="V15" s="527">
        <f t="shared" si="9"/>
        <v>5.3897160779134978E-2</v>
      </c>
      <c r="W15" s="527">
        <f t="shared" si="9"/>
        <v>4.314936356108201E-2</v>
      </c>
      <c r="X15" s="527">
        <f t="shared" si="9"/>
        <v>9.8337889516908916E-2</v>
      </c>
      <c r="Y15" s="527">
        <f t="shared" si="9"/>
        <v>8.9281895040230541E-2</v>
      </c>
      <c r="Z15" s="527">
        <f t="shared" si="9"/>
        <v>8.6716379119171405E-2</v>
      </c>
      <c r="AA15" s="527">
        <f t="shared" si="9"/>
        <v>9.0866377127925668E-2</v>
      </c>
      <c r="AB15" s="527">
        <f t="shared" si="9"/>
        <v>8.161185169677676E-2</v>
      </c>
      <c r="AC15" s="527">
        <f t="shared" si="9"/>
        <v>6.1170212765957244E-2</v>
      </c>
      <c r="AD15" s="527">
        <f t="shared" si="9"/>
        <v>5.0176570485426009E-2</v>
      </c>
      <c r="AE15" s="527">
        <f t="shared" si="9"/>
        <v>3.0538734197877782E-2</v>
      </c>
      <c r="AF15" s="527">
        <f t="shared" si="9"/>
        <v>3.0575673084187294E-2</v>
      </c>
      <c r="AG15" s="527">
        <f t="shared" si="9"/>
        <v>3.061838886507795E-2</v>
      </c>
      <c r="AH15" s="527">
        <f t="shared" si="9"/>
        <v>3.0666856553658084E-2</v>
      </c>
      <c r="AI15" s="527">
        <f t="shared" si="9"/>
        <v>3.072105170146977E-2</v>
      </c>
      <c r="AJ15" s="267"/>
      <c r="AK15" s="267"/>
      <c r="AL15" s="267"/>
      <c r="AM15" s="267"/>
      <c r="AN15" s="267"/>
      <c r="AO15" s="267"/>
      <c r="AP15" s="267"/>
      <c r="AQ15" s="267"/>
      <c r="AR15" s="267"/>
    </row>
    <row r="16" spans="1:44" ht="15.75">
      <c r="A16" s="267"/>
      <c r="B16" s="521"/>
      <c r="C16" s="521"/>
      <c r="D16" s="521"/>
      <c r="E16" s="521"/>
      <c r="F16" s="521"/>
      <c r="G16" s="521"/>
      <c r="H16" s="536"/>
      <c r="I16" s="536"/>
      <c r="J16" s="536"/>
      <c r="K16" s="534"/>
      <c r="L16" s="534"/>
      <c r="M16" s="534"/>
      <c r="N16" s="531"/>
      <c r="O16" s="532"/>
      <c r="P16" s="534"/>
      <c r="Q16" s="534"/>
      <c r="R16" s="534"/>
      <c r="S16" s="534"/>
      <c r="T16" s="534"/>
      <c r="U16" s="534"/>
      <c r="V16" s="534"/>
      <c r="W16" s="534"/>
      <c r="X16" s="534"/>
      <c r="Y16" s="534"/>
      <c r="Z16" s="534"/>
      <c r="AA16" s="534"/>
      <c r="AB16" s="534"/>
      <c r="AC16" s="534"/>
      <c r="AD16" s="534"/>
      <c r="AE16" s="534"/>
      <c r="AF16" s="534"/>
      <c r="AG16" s="534"/>
      <c r="AH16" s="534"/>
      <c r="AI16" s="534"/>
      <c r="AJ16" s="267"/>
      <c r="AK16" s="267"/>
      <c r="AL16" s="267"/>
      <c r="AM16" s="267"/>
      <c r="AN16" s="267"/>
      <c r="AO16" s="267"/>
      <c r="AP16" s="267"/>
      <c r="AQ16" s="267"/>
      <c r="AR16" s="267"/>
    </row>
    <row r="17" spans="1:44" ht="15.75">
      <c r="A17" s="267"/>
      <c r="B17" s="521" t="s">
        <v>134</v>
      </c>
      <c r="C17" s="521"/>
      <c r="D17" s="521"/>
      <c r="E17" s="521"/>
      <c r="F17" s="521"/>
      <c r="G17" s="521"/>
      <c r="H17" s="536"/>
      <c r="I17" s="536"/>
      <c r="J17" s="536"/>
      <c r="K17" s="534"/>
      <c r="L17" s="534"/>
      <c r="M17" s="534"/>
      <c r="N17" s="534"/>
      <c r="O17" s="534"/>
      <c r="P17" s="534"/>
      <c r="Q17" s="534"/>
      <c r="R17" s="534"/>
      <c r="S17" s="534"/>
      <c r="T17" s="534"/>
      <c r="U17" s="534"/>
      <c r="V17" s="534"/>
      <c r="W17" s="534"/>
      <c r="X17" s="534"/>
      <c r="Y17" s="534"/>
      <c r="Z17" s="537">
        <v>0</v>
      </c>
      <c r="AA17" s="537">
        <v>0</v>
      </c>
      <c r="AB17" s="537">
        <v>0</v>
      </c>
      <c r="AC17" s="537">
        <v>0</v>
      </c>
      <c r="AD17" s="537">
        <v>0</v>
      </c>
      <c r="AE17" s="537">
        <v>0</v>
      </c>
      <c r="AF17" s="537">
        <v>0</v>
      </c>
      <c r="AG17" s="537">
        <v>0</v>
      </c>
      <c r="AH17" s="537">
        <v>0</v>
      </c>
      <c r="AI17" s="537">
        <v>0</v>
      </c>
      <c r="AJ17" s="267"/>
      <c r="AK17" s="267"/>
      <c r="AL17" s="267"/>
      <c r="AM17" s="267"/>
      <c r="AN17" s="267"/>
      <c r="AO17" s="267"/>
      <c r="AP17" s="267"/>
      <c r="AQ17" s="267"/>
      <c r="AR17" s="267"/>
    </row>
    <row r="18" spans="1:44" ht="15.75">
      <c r="A18" s="267"/>
      <c r="B18" s="520" t="s">
        <v>135</v>
      </c>
      <c r="C18" s="523"/>
      <c r="D18" s="523"/>
      <c r="E18" s="523">
        <f t="shared" ref="E18:N18" si="10">E13</f>
        <v>1554</v>
      </c>
      <c r="F18" s="523">
        <f t="shared" si="10"/>
        <v>1545</v>
      </c>
      <c r="G18" s="523">
        <f t="shared" si="10"/>
        <v>2165</v>
      </c>
      <c r="H18" s="523">
        <f t="shared" si="10"/>
        <v>2890</v>
      </c>
      <c r="I18" s="523">
        <f t="shared" si="10"/>
        <v>2968</v>
      </c>
      <c r="J18" s="523">
        <f t="shared" si="10"/>
        <v>3075</v>
      </c>
      <c r="K18" s="523">
        <f t="shared" si="10"/>
        <v>3561</v>
      </c>
      <c r="L18" s="523">
        <f t="shared" si="10"/>
        <v>3777</v>
      </c>
      <c r="M18" s="523">
        <f t="shared" si="10"/>
        <v>4356</v>
      </c>
      <c r="N18" s="523">
        <f t="shared" si="10"/>
        <v>4847</v>
      </c>
      <c r="O18" s="523">
        <f t="shared" ref="O18:AI18" si="11">O13-O17</f>
        <v>5843</v>
      </c>
      <c r="P18" s="523">
        <f t="shared" si="11"/>
        <v>6915</v>
      </c>
      <c r="Q18" s="523">
        <f t="shared" si="11"/>
        <v>7715</v>
      </c>
      <c r="R18" s="523">
        <f t="shared" si="11"/>
        <v>9347</v>
      </c>
      <c r="S18" s="523">
        <f t="shared" si="11"/>
        <v>10161</v>
      </c>
      <c r="T18" s="523">
        <f t="shared" si="11"/>
        <v>11037</v>
      </c>
      <c r="U18" s="523">
        <f t="shared" si="11"/>
        <v>12116</v>
      </c>
      <c r="V18" s="523">
        <f t="shared" si="11"/>
        <v>12769.018</v>
      </c>
      <c r="W18" s="523">
        <f t="shared" si="11"/>
        <v>13319.993</v>
      </c>
      <c r="X18" s="523">
        <f t="shared" si="11"/>
        <v>14629.852999999999</v>
      </c>
      <c r="Y18" s="523">
        <f t="shared" si="11"/>
        <v>15936.034</v>
      </c>
      <c r="Z18" s="523">
        <f t="shared" si="11"/>
        <v>17317.949166000006</v>
      </c>
      <c r="AA18" s="523">
        <f t="shared" si="11"/>
        <v>18891.568466000008</v>
      </c>
      <c r="AB18" s="523">
        <f t="shared" si="11"/>
        <v>20433.344349966705</v>
      </c>
      <c r="AC18" s="523">
        <f t="shared" si="11"/>
        <v>21683.256371374238</v>
      </c>
      <c r="AD18" s="523">
        <f t="shared" si="11"/>
        <v>22771.247813046059</v>
      </c>
      <c r="AE18" s="523">
        <f t="shared" si="11"/>
        <v>23466.652897362677</v>
      </c>
      <c r="AF18" s="523">
        <f t="shared" si="11"/>
        <v>24184.161604732537</v>
      </c>
      <c r="AG18" s="523">
        <f t="shared" si="11"/>
        <v>24924.641669122124</v>
      </c>
      <c r="AH18" s="523">
        <f t="shared" si="11"/>
        <v>25689.002079840422</v>
      </c>
      <c r="AI18" s="523">
        <f t="shared" si="11"/>
        <v>26478.195240894362</v>
      </c>
      <c r="AJ18" s="267"/>
      <c r="AK18" s="267"/>
      <c r="AL18" s="267"/>
      <c r="AM18" s="267"/>
      <c r="AN18" s="267"/>
      <c r="AO18" s="267"/>
      <c r="AP18" s="267"/>
      <c r="AQ18" s="267"/>
      <c r="AR18" s="267"/>
    </row>
    <row r="19" spans="1:44" ht="15.75">
      <c r="A19" s="267"/>
      <c r="B19" s="521"/>
      <c r="C19" s="521"/>
      <c r="D19" s="521"/>
      <c r="E19" s="522" t="s">
        <v>65</v>
      </c>
      <c r="F19" s="522"/>
      <c r="G19" s="522"/>
      <c r="H19" s="529"/>
      <c r="I19" s="529"/>
      <c r="J19" s="529"/>
      <c r="K19" s="529"/>
      <c r="L19" s="521"/>
      <c r="M19" s="521"/>
      <c r="N19" s="521"/>
      <c r="O19" s="521"/>
      <c r="P19" s="521"/>
      <c r="Q19" s="521"/>
      <c r="R19" s="521"/>
      <c r="S19" s="521"/>
      <c r="T19" s="527"/>
      <c r="U19" s="527"/>
      <c r="V19" s="527"/>
      <c r="W19" s="527"/>
      <c r="X19" s="527"/>
      <c r="Y19" s="527"/>
      <c r="Z19" s="527"/>
      <c r="AA19" s="527"/>
      <c r="AB19" s="527"/>
      <c r="AC19" s="527"/>
      <c r="AD19" s="527"/>
      <c r="AE19" s="527"/>
      <c r="AF19" s="527"/>
      <c r="AG19" s="527"/>
      <c r="AH19" s="527"/>
      <c r="AI19" s="527"/>
      <c r="AJ19" s="267"/>
      <c r="AK19" s="267"/>
      <c r="AL19" s="267"/>
      <c r="AM19" s="267"/>
      <c r="AN19" s="267"/>
      <c r="AO19" s="267"/>
      <c r="AP19" s="267"/>
      <c r="AQ19" s="267"/>
      <c r="AR19" s="267"/>
    </row>
    <row r="20" spans="1:44" ht="15.75">
      <c r="A20" s="267"/>
      <c r="B20" s="521" t="s">
        <v>136</v>
      </c>
      <c r="C20" s="522"/>
      <c r="D20" s="522"/>
      <c r="E20" s="522">
        <f t="shared" ref="E20:AI20" si="12">E111</f>
        <v>0</v>
      </c>
      <c r="F20" s="522">
        <f t="shared" si="12"/>
        <v>0</v>
      </c>
      <c r="G20" s="522">
        <f t="shared" si="12"/>
        <v>0</v>
      </c>
      <c r="H20" s="522">
        <f t="shared" si="12"/>
        <v>0</v>
      </c>
      <c r="I20" s="522">
        <f t="shared" si="12"/>
        <v>0</v>
      </c>
      <c r="J20" s="522">
        <f t="shared" si="12"/>
        <v>0</v>
      </c>
      <c r="K20" s="522">
        <f t="shared" si="12"/>
        <v>0</v>
      </c>
      <c r="L20" s="522">
        <f t="shared" si="12"/>
        <v>1057</v>
      </c>
      <c r="M20" s="522">
        <f t="shared" si="12"/>
        <v>1250</v>
      </c>
      <c r="N20" s="522">
        <f t="shared" si="12"/>
        <v>1558.6596881959911</v>
      </c>
      <c r="O20" s="522">
        <f t="shared" si="12"/>
        <v>1851.2081983720318</v>
      </c>
      <c r="P20" s="522">
        <f t="shared" si="12"/>
        <v>1877.4840745931269</v>
      </c>
      <c r="Q20" s="522">
        <f t="shared" si="12"/>
        <v>2364.6981962095792</v>
      </c>
      <c r="R20" s="522">
        <f t="shared" si="12"/>
        <v>3181.64957479646</v>
      </c>
      <c r="S20" s="522">
        <f t="shared" si="12"/>
        <v>4070.5279947361491</v>
      </c>
      <c r="T20" s="522">
        <f t="shared" si="12"/>
        <v>4661.4850579178892</v>
      </c>
      <c r="U20" s="522">
        <f t="shared" si="12"/>
        <v>4991.6720000000005</v>
      </c>
      <c r="V20" s="522">
        <f t="shared" si="12"/>
        <v>5981.6769999999997</v>
      </c>
      <c r="W20" s="522">
        <f t="shared" si="12"/>
        <v>6853.018</v>
      </c>
      <c r="X20" s="522">
        <f t="shared" si="12"/>
        <v>7954.9509999999991</v>
      </c>
      <c r="Y20" s="522">
        <f t="shared" si="12"/>
        <v>8803.8250000000007</v>
      </c>
      <c r="Z20" s="522">
        <f t="shared" si="12"/>
        <v>9663.6387925350573</v>
      </c>
      <c r="AA20" s="522">
        <f t="shared" si="12"/>
        <v>9760.6767804969986</v>
      </c>
      <c r="AB20" s="522">
        <f t="shared" si="12"/>
        <v>9701.8705025970685</v>
      </c>
      <c r="AC20" s="522">
        <f t="shared" si="12"/>
        <v>9775.9425208365865</v>
      </c>
      <c r="AD20" s="522">
        <f t="shared" si="12"/>
        <v>9845.00339211153</v>
      </c>
      <c r="AE20" s="522">
        <f t="shared" si="12"/>
        <v>9887.9532062991002</v>
      </c>
      <c r="AF20" s="522">
        <f t="shared" si="12"/>
        <v>9915.9815820478416</v>
      </c>
      <c r="AG20" s="522">
        <f t="shared" si="12"/>
        <v>9930.9875841609446</v>
      </c>
      <c r="AH20" s="522">
        <f t="shared" si="12"/>
        <v>9956.8618612168393</v>
      </c>
      <c r="AI20" s="522">
        <f t="shared" si="12"/>
        <v>9991.7603407307233</v>
      </c>
      <c r="AJ20" s="267"/>
      <c r="AK20" s="267"/>
      <c r="AL20" s="267"/>
      <c r="AM20" s="267"/>
      <c r="AN20" s="267"/>
      <c r="AO20" s="267"/>
      <c r="AP20" s="267"/>
      <c r="AQ20" s="267"/>
      <c r="AR20" s="267"/>
    </row>
    <row r="21" spans="1:44" ht="15.75">
      <c r="A21" s="267"/>
      <c r="B21" s="521" t="s">
        <v>137</v>
      </c>
      <c r="C21" s="522"/>
      <c r="D21" s="522"/>
      <c r="E21" s="522">
        <f t="shared" ref="E21:AI21" si="13">E147</f>
        <v>0</v>
      </c>
      <c r="F21" s="522">
        <f t="shared" si="13"/>
        <v>0</v>
      </c>
      <c r="G21" s="522">
        <f t="shared" si="13"/>
        <v>0</v>
      </c>
      <c r="H21" s="522">
        <f t="shared" si="13"/>
        <v>0</v>
      </c>
      <c r="I21" s="522">
        <f t="shared" si="13"/>
        <v>0</v>
      </c>
      <c r="J21" s="522">
        <f t="shared" si="13"/>
        <v>0</v>
      </c>
      <c r="K21" s="522">
        <f t="shared" si="13"/>
        <v>0</v>
      </c>
      <c r="L21" s="522">
        <f t="shared" si="13"/>
        <v>309</v>
      </c>
      <c r="M21" s="522">
        <f t="shared" si="13"/>
        <v>260</v>
      </c>
      <c r="N21" s="522">
        <f t="shared" si="13"/>
        <v>173.14031180400892</v>
      </c>
      <c r="O21" s="522">
        <f t="shared" si="13"/>
        <v>100.79180162796816</v>
      </c>
      <c r="P21" s="522">
        <f t="shared" si="13"/>
        <v>222.51592540687301</v>
      </c>
      <c r="Q21" s="522">
        <f t="shared" si="13"/>
        <v>120.30180379042088</v>
      </c>
      <c r="R21" s="522">
        <f t="shared" si="13"/>
        <v>105.65042520354027</v>
      </c>
      <c r="S21" s="522">
        <f t="shared" si="13"/>
        <v>44.472005263851067</v>
      </c>
      <c r="T21" s="522">
        <f t="shared" si="13"/>
        <v>46.514942082111013</v>
      </c>
      <c r="U21" s="522">
        <f t="shared" si="13"/>
        <v>306.32799999999997</v>
      </c>
      <c r="V21" s="522">
        <f t="shared" si="13"/>
        <v>258.54000000000002</v>
      </c>
      <c r="W21" s="522">
        <f t="shared" si="13"/>
        <v>346.197</v>
      </c>
      <c r="X21" s="522">
        <f t="shared" si="13"/>
        <v>502.67200000000003</v>
      </c>
      <c r="Y21" s="522">
        <f t="shared" si="13"/>
        <v>732.07100000000003</v>
      </c>
      <c r="Z21" s="522">
        <f t="shared" si="13"/>
        <v>0.20200000000000001</v>
      </c>
      <c r="AA21" s="522">
        <f t="shared" si="13"/>
        <v>-0.20200000000022555</v>
      </c>
      <c r="AB21" s="522">
        <f t="shared" si="13"/>
        <v>0</v>
      </c>
      <c r="AC21" s="522">
        <f t="shared" si="13"/>
        <v>0</v>
      </c>
      <c r="AD21" s="522">
        <f t="shared" si="13"/>
        <v>0</v>
      </c>
      <c r="AE21" s="522">
        <f t="shared" si="13"/>
        <v>0</v>
      </c>
      <c r="AF21" s="522">
        <f t="shared" si="13"/>
        <v>0</v>
      </c>
      <c r="AG21" s="522">
        <f t="shared" si="13"/>
        <v>0</v>
      </c>
      <c r="AH21" s="522">
        <f t="shared" si="13"/>
        <v>0</v>
      </c>
      <c r="AI21" s="522">
        <f t="shared" si="13"/>
        <v>0</v>
      </c>
      <c r="AJ21" s="267"/>
      <c r="AK21" s="267"/>
      <c r="AL21" s="267"/>
      <c r="AM21" s="267"/>
      <c r="AN21" s="267"/>
      <c r="AO21" s="267"/>
      <c r="AP21" s="267"/>
      <c r="AQ21" s="267"/>
      <c r="AR21" s="267"/>
    </row>
    <row r="22" spans="1:44" ht="15.75">
      <c r="A22" s="267"/>
      <c r="B22" s="521"/>
      <c r="C22" s="521"/>
      <c r="D22" s="521"/>
      <c r="E22" s="522"/>
      <c r="F22" s="522"/>
      <c r="G22" s="522"/>
      <c r="H22" s="522"/>
      <c r="I22" s="522"/>
      <c r="J22" s="530"/>
      <c r="K22" s="530"/>
      <c r="L22" s="521"/>
      <c r="M22" s="522"/>
      <c r="N22" s="522"/>
      <c r="O22" s="522"/>
      <c r="P22" s="522"/>
      <c r="Q22" s="521"/>
      <c r="R22" s="521"/>
      <c r="S22" s="521"/>
      <c r="T22" s="521"/>
      <c r="U22" s="521"/>
      <c r="V22" s="521"/>
      <c r="W22" s="521"/>
      <c r="X22" s="521"/>
      <c r="Y22" s="521"/>
      <c r="Z22" s="521"/>
      <c r="AA22" s="521"/>
      <c r="AB22" s="521"/>
      <c r="AC22" s="521"/>
      <c r="AD22" s="521"/>
      <c r="AE22" s="521"/>
      <c r="AF22" s="521"/>
      <c r="AG22" s="521"/>
      <c r="AH22" s="521"/>
      <c r="AI22" s="521"/>
      <c r="AJ22" s="267"/>
      <c r="AK22" s="267"/>
      <c r="AL22" s="267"/>
      <c r="AM22" s="267"/>
      <c r="AN22" s="267"/>
      <c r="AO22" s="267"/>
      <c r="AP22" s="267"/>
      <c r="AQ22" s="267"/>
      <c r="AR22" s="267"/>
    </row>
    <row r="23" spans="1:44" ht="15.75">
      <c r="A23" s="267"/>
      <c r="B23" s="520" t="s">
        <v>138</v>
      </c>
      <c r="C23" s="523"/>
      <c r="D23" s="523"/>
      <c r="E23" s="523">
        <f>E18-E20-E21+E22</f>
        <v>1554</v>
      </c>
      <c r="F23" s="523">
        <f t="shared" ref="F23:AI23" si="14">F18-F20-F21</f>
        <v>1545</v>
      </c>
      <c r="G23" s="523">
        <f t="shared" si="14"/>
        <v>2165</v>
      </c>
      <c r="H23" s="523">
        <f t="shared" si="14"/>
        <v>2890</v>
      </c>
      <c r="I23" s="523">
        <f t="shared" si="14"/>
        <v>2968</v>
      </c>
      <c r="J23" s="523">
        <f t="shared" si="14"/>
        <v>3075</v>
      </c>
      <c r="K23" s="523">
        <f t="shared" si="14"/>
        <v>3561</v>
      </c>
      <c r="L23" s="523">
        <f t="shared" si="14"/>
        <v>2411</v>
      </c>
      <c r="M23" s="523">
        <f t="shared" si="14"/>
        <v>2846</v>
      </c>
      <c r="N23" s="523">
        <f t="shared" si="14"/>
        <v>3115.2</v>
      </c>
      <c r="O23" s="523">
        <f t="shared" si="14"/>
        <v>3891</v>
      </c>
      <c r="P23" s="523">
        <f t="shared" si="14"/>
        <v>4815</v>
      </c>
      <c r="Q23" s="523">
        <f t="shared" si="14"/>
        <v>5229.9999999999991</v>
      </c>
      <c r="R23" s="523">
        <f t="shared" si="14"/>
        <v>6059.7</v>
      </c>
      <c r="S23" s="523">
        <f t="shared" si="14"/>
        <v>6046</v>
      </c>
      <c r="T23" s="523">
        <f t="shared" si="14"/>
        <v>6329</v>
      </c>
      <c r="U23" s="523">
        <f t="shared" si="14"/>
        <v>6818</v>
      </c>
      <c r="V23" s="523">
        <f t="shared" si="14"/>
        <v>6528.8010000000004</v>
      </c>
      <c r="W23" s="523">
        <f t="shared" si="14"/>
        <v>6120.7780000000002</v>
      </c>
      <c r="X23" s="523">
        <f t="shared" si="14"/>
        <v>6172.23</v>
      </c>
      <c r="Y23" s="523">
        <f t="shared" si="14"/>
        <v>6400.137999999999</v>
      </c>
      <c r="Z23" s="523">
        <f t="shared" si="14"/>
        <v>7654.1083734649483</v>
      </c>
      <c r="AA23" s="523">
        <f t="shared" si="14"/>
        <v>9131.0936855030086</v>
      </c>
      <c r="AB23" s="523">
        <f t="shared" si="14"/>
        <v>10731.473847369636</v>
      </c>
      <c r="AC23" s="523">
        <f t="shared" si="14"/>
        <v>11907.313850537652</v>
      </c>
      <c r="AD23" s="523">
        <f t="shared" si="14"/>
        <v>12926.244420934529</v>
      </c>
      <c r="AE23" s="523">
        <f t="shared" si="14"/>
        <v>13578.699691063577</v>
      </c>
      <c r="AF23" s="523">
        <f t="shared" si="14"/>
        <v>14268.180022684695</v>
      </c>
      <c r="AG23" s="523">
        <f t="shared" si="14"/>
        <v>14993.654084961179</v>
      </c>
      <c r="AH23" s="523">
        <f t="shared" si="14"/>
        <v>15732.140218623583</v>
      </c>
      <c r="AI23" s="523">
        <f t="shared" si="14"/>
        <v>16486.434900163636</v>
      </c>
      <c r="AJ23" s="267"/>
      <c r="AK23" s="267"/>
      <c r="AL23" s="267"/>
      <c r="AM23" s="267"/>
      <c r="AN23" s="267"/>
      <c r="AO23" s="267"/>
      <c r="AP23" s="267"/>
      <c r="AQ23" s="267"/>
      <c r="AR23" s="267"/>
    </row>
    <row r="24" spans="1:44" ht="15.75">
      <c r="A24" s="267"/>
      <c r="B24" s="521"/>
      <c r="C24" s="521"/>
      <c r="D24" s="521"/>
      <c r="E24" s="521"/>
      <c r="F24" s="521"/>
      <c r="G24" s="521"/>
      <c r="H24" s="521"/>
      <c r="I24" s="521"/>
      <c r="J24" s="521"/>
      <c r="K24" s="521"/>
      <c r="L24" s="521"/>
      <c r="M24" s="521"/>
      <c r="N24" s="521"/>
      <c r="O24" s="521"/>
      <c r="P24" s="521"/>
      <c r="Q24" s="521"/>
      <c r="R24" s="521"/>
      <c r="S24" s="521"/>
      <c r="T24" s="521"/>
      <c r="U24" s="521"/>
      <c r="V24" s="521"/>
      <c r="W24" s="521"/>
      <c r="X24" s="521"/>
      <c r="Y24" s="521"/>
      <c r="Z24" s="521"/>
      <c r="AA24" s="521"/>
      <c r="AB24" s="521"/>
      <c r="AC24" s="521"/>
      <c r="AD24" s="521"/>
      <c r="AE24" s="521"/>
      <c r="AF24" s="521"/>
      <c r="AG24" s="521"/>
      <c r="AH24" s="521"/>
      <c r="AI24" s="521"/>
      <c r="AJ24" s="267"/>
      <c r="AK24" s="267"/>
      <c r="AL24" s="267"/>
      <c r="AM24" s="267"/>
      <c r="AN24" s="267"/>
      <c r="AO24" s="267"/>
      <c r="AP24" s="267"/>
      <c r="AQ24" s="267"/>
      <c r="AR24" s="267"/>
    </row>
    <row r="25" spans="1:44" ht="15.75">
      <c r="A25" s="267"/>
      <c r="B25" s="521" t="s">
        <v>139</v>
      </c>
      <c r="C25" s="522"/>
      <c r="D25" s="522"/>
      <c r="E25" s="522">
        <f t="shared" ref="E25:M25" si="15">E174</f>
        <v>0</v>
      </c>
      <c r="F25" s="522">
        <f t="shared" si="15"/>
        <v>0</v>
      </c>
      <c r="G25" s="522">
        <f t="shared" si="15"/>
        <v>0</v>
      </c>
      <c r="H25" s="522">
        <f t="shared" si="15"/>
        <v>0</v>
      </c>
      <c r="I25" s="522">
        <f t="shared" si="15"/>
        <v>0</v>
      </c>
      <c r="J25" s="522">
        <f t="shared" si="15"/>
        <v>0</v>
      </c>
      <c r="K25" s="522">
        <f t="shared" si="15"/>
        <v>0</v>
      </c>
      <c r="L25" s="522">
        <f t="shared" si="15"/>
        <v>112</v>
      </c>
      <c r="M25" s="522">
        <f t="shared" si="15"/>
        <v>34</v>
      </c>
      <c r="N25" s="522">
        <f t="shared" ref="N25:AI25" si="16">-N174</f>
        <v>36.900000000000006</v>
      </c>
      <c r="O25" s="522">
        <f t="shared" si="16"/>
        <v>80.733000000000004</v>
      </c>
      <c r="P25" s="522">
        <f t="shared" si="16"/>
        <v>113</v>
      </c>
      <c r="Q25" s="522">
        <f t="shared" si="16"/>
        <v>-2.5</v>
      </c>
      <c r="R25" s="522">
        <f t="shared" si="16"/>
        <v>-29.299999999999997</v>
      </c>
      <c r="S25" s="522">
        <f t="shared" si="16"/>
        <v>-413</v>
      </c>
      <c r="T25" s="522">
        <f t="shared" si="16"/>
        <v>-545</v>
      </c>
      <c r="U25" s="522">
        <f t="shared" si="16"/>
        <v>-697</v>
      </c>
      <c r="V25" s="522">
        <f t="shared" si="16"/>
        <v>-1258.9899999999998</v>
      </c>
      <c r="W25" s="522">
        <f t="shared" si="16"/>
        <v>-1906.258</v>
      </c>
      <c r="X25" s="522">
        <f t="shared" si="16"/>
        <v>-2535.7079999999996</v>
      </c>
      <c r="Y25" s="522">
        <f t="shared" si="16"/>
        <v>-2104.5239999999999</v>
      </c>
      <c r="Z25" s="522">
        <f t="shared" si="16"/>
        <v>-2049.7963986196419</v>
      </c>
      <c r="AA25" s="522">
        <f t="shared" si="16"/>
        <v>-2021.1214665676478</v>
      </c>
      <c r="AB25" s="522">
        <f t="shared" si="16"/>
        <v>-1955.6667391230112</v>
      </c>
      <c r="AC25" s="522">
        <f t="shared" si="16"/>
        <v>-1856.3554404004174</v>
      </c>
      <c r="AD25" s="522">
        <f t="shared" si="16"/>
        <v>-1757.7900475162949</v>
      </c>
      <c r="AE25" s="522">
        <f t="shared" si="16"/>
        <v>-1654.702478980947</v>
      </c>
      <c r="AF25" s="522">
        <f t="shared" si="16"/>
        <v>-1598.033506574478</v>
      </c>
      <c r="AG25" s="522">
        <f t="shared" si="16"/>
        <v>-1549.623823456421</v>
      </c>
      <c r="AH25" s="522">
        <f t="shared" si="16"/>
        <v>-1511.5308952506296</v>
      </c>
      <c r="AI25" s="522">
        <f t="shared" si="16"/>
        <v>-1420.3220044511982</v>
      </c>
      <c r="AJ25" s="267"/>
      <c r="AK25" s="267"/>
      <c r="AL25" s="267"/>
      <c r="AM25" s="267"/>
      <c r="AN25" s="267"/>
      <c r="AO25" s="267"/>
      <c r="AP25" s="267"/>
      <c r="AQ25" s="267"/>
      <c r="AR25" s="267"/>
    </row>
    <row r="26" spans="1:44" ht="15.75">
      <c r="A26" s="267"/>
      <c r="B26" s="521" t="s">
        <v>140</v>
      </c>
      <c r="C26" s="522"/>
      <c r="D26" s="522"/>
      <c r="E26" s="522"/>
      <c r="F26" s="522"/>
      <c r="G26" s="522"/>
      <c r="H26" s="522"/>
      <c r="I26" s="537"/>
      <c r="J26" s="537"/>
      <c r="K26" s="537"/>
      <c r="L26" s="537"/>
      <c r="M26" s="537"/>
      <c r="N26" s="537"/>
      <c r="O26" s="537"/>
      <c r="P26" s="537"/>
      <c r="Q26" s="537"/>
      <c r="R26" s="522"/>
      <c r="S26" s="522"/>
      <c r="T26" s="522"/>
      <c r="U26" s="522"/>
      <c r="V26" s="522"/>
      <c r="W26" s="522"/>
      <c r="X26" s="522"/>
      <c r="Y26" s="522"/>
      <c r="Z26" s="522"/>
      <c r="AA26" s="522"/>
      <c r="AB26" s="522"/>
      <c r="AC26" s="522"/>
      <c r="AD26" s="522"/>
      <c r="AE26" s="522"/>
      <c r="AF26" s="522"/>
      <c r="AG26" s="522"/>
      <c r="AH26" s="522"/>
      <c r="AI26" s="522"/>
      <c r="AJ26" s="267"/>
      <c r="AK26" s="267"/>
      <c r="AL26" s="267"/>
      <c r="AM26" s="267"/>
      <c r="AN26" s="267"/>
      <c r="AO26" s="267"/>
      <c r="AP26" s="267"/>
      <c r="AQ26" s="267"/>
      <c r="AR26" s="267"/>
    </row>
    <row r="27" spans="1:44" ht="15.75">
      <c r="A27" s="267"/>
      <c r="B27" s="521" t="s">
        <v>141</v>
      </c>
      <c r="C27" s="522"/>
      <c r="D27" s="522"/>
      <c r="E27" s="522"/>
      <c r="F27" s="522"/>
      <c r="G27" s="522"/>
      <c r="H27" s="522"/>
      <c r="I27" s="522"/>
      <c r="J27" s="522"/>
      <c r="K27" s="522"/>
      <c r="L27" s="522"/>
      <c r="M27" s="522"/>
      <c r="N27" s="537">
        <v>48.2</v>
      </c>
      <c r="O27" s="537">
        <v>311</v>
      </c>
      <c r="P27" s="537">
        <v>46</v>
      </c>
      <c r="Q27" s="537">
        <v>95</v>
      </c>
      <c r="R27" s="537">
        <v>0</v>
      </c>
      <c r="S27" s="537">
        <v>48</v>
      </c>
      <c r="T27" s="537">
        <v>0</v>
      </c>
      <c r="U27" s="537">
        <v>-27</v>
      </c>
      <c r="V27" s="359">
        <v>16.675000000000001</v>
      </c>
      <c r="W27" s="537">
        <v>150</v>
      </c>
      <c r="X27" s="537">
        <v>85.6</v>
      </c>
      <c r="Y27" s="537">
        <v>47.203000000000003</v>
      </c>
      <c r="Z27" s="537">
        <v>23</v>
      </c>
      <c r="AA27" s="537"/>
      <c r="AB27" s="537"/>
      <c r="AC27" s="537"/>
      <c r="AD27" s="537"/>
      <c r="AE27" s="537"/>
      <c r="AF27" s="537"/>
      <c r="AG27" s="537"/>
      <c r="AH27" s="537"/>
      <c r="AI27" s="537"/>
      <c r="AJ27" s="267"/>
      <c r="AK27" s="267"/>
      <c r="AL27" s="267"/>
      <c r="AM27" s="267"/>
      <c r="AN27" s="267"/>
      <c r="AO27" s="267"/>
      <c r="AP27" s="267"/>
      <c r="AQ27" s="267"/>
      <c r="AR27" s="267"/>
    </row>
    <row r="28" spans="1:44" ht="15.75">
      <c r="A28" s="267"/>
      <c r="B28" s="521" t="s">
        <v>142</v>
      </c>
      <c r="C28" s="522"/>
      <c r="D28" s="522"/>
      <c r="E28" s="522">
        <f t="shared" ref="E28:AI28" si="17">E289</f>
        <v>0</v>
      </c>
      <c r="F28" s="522">
        <f t="shared" si="17"/>
        <v>0</v>
      </c>
      <c r="G28" s="522">
        <f t="shared" si="17"/>
        <v>0</v>
      </c>
      <c r="H28" s="522">
        <f t="shared" si="17"/>
        <v>0</v>
      </c>
      <c r="I28" s="522">
        <f t="shared" si="17"/>
        <v>0</v>
      </c>
      <c r="J28" s="522">
        <f t="shared" si="17"/>
        <v>0</v>
      </c>
      <c r="K28" s="522">
        <f t="shared" si="17"/>
        <v>0</v>
      </c>
      <c r="L28" s="522">
        <f t="shared" si="17"/>
        <v>3</v>
      </c>
      <c r="M28" s="522">
        <f t="shared" si="17"/>
        <v>15</v>
      </c>
      <c r="N28" s="522">
        <f t="shared" si="17"/>
        <v>3.4</v>
      </c>
      <c r="O28" s="522">
        <f t="shared" si="17"/>
        <v>0</v>
      </c>
      <c r="P28" s="522">
        <f t="shared" si="17"/>
        <v>0</v>
      </c>
      <c r="Q28" s="522">
        <f t="shared" si="17"/>
        <v>0</v>
      </c>
      <c r="R28" s="522">
        <f t="shared" si="17"/>
        <v>0</v>
      </c>
      <c r="S28" s="522">
        <f t="shared" si="17"/>
        <v>0</v>
      </c>
      <c r="T28" s="522">
        <f t="shared" si="17"/>
        <v>0</v>
      </c>
      <c r="U28" s="522">
        <f t="shared" si="17"/>
        <v>0</v>
      </c>
      <c r="V28" s="522">
        <f t="shared" si="17"/>
        <v>0</v>
      </c>
      <c r="W28" s="522">
        <f t="shared" si="17"/>
        <v>0</v>
      </c>
      <c r="X28" s="522">
        <f t="shared" si="17"/>
        <v>0</v>
      </c>
      <c r="Y28" s="522">
        <f t="shared" si="17"/>
        <v>0</v>
      </c>
      <c r="Z28" s="522">
        <f t="shared" si="17"/>
        <v>0</v>
      </c>
      <c r="AA28" s="522">
        <f t="shared" si="17"/>
        <v>0</v>
      </c>
      <c r="AB28" s="522">
        <f t="shared" si="17"/>
        <v>0</v>
      </c>
      <c r="AC28" s="522">
        <f t="shared" si="17"/>
        <v>0</v>
      </c>
      <c r="AD28" s="522">
        <f t="shared" si="17"/>
        <v>0</v>
      </c>
      <c r="AE28" s="522">
        <f t="shared" si="17"/>
        <v>0</v>
      </c>
      <c r="AF28" s="522">
        <f t="shared" si="17"/>
        <v>0</v>
      </c>
      <c r="AG28" s="522">
        <f t="shared" si="17"/>
        <v>0</v>
      </c>
      <c r="AH28" s="522">
        <f t="shared" si="17"/>
        <v>0</v>
      </c>
      <c r="AI28" s="522">
        <f t="shared" si="17"/>
        <v>0</v>
      </c>
      <c r="AJ28" s="267"/>
      <c r="AK28" s="267"/>
      <c r="AL28" s="267"/>
      <c r="AM28" s="267"/>
      <c r="AN28" s="267"/>
      <c r="AO28" s="267"/>
      <c r="AP28" s="267"/>
      <c r="AQ28" s="267"/>
      <c r="AR28" s="267"/>
    </row>
    <row r="29" spans="1:44" ht="15.75">
      <c r="A29" s="267"/>
      <c r="B29" s="521"/>
      <c r="C29" s="521"/>
      <c r="D29" s="521"/>
      <c r="E29" s="521"/>
      <c r="F29" s="521"/>
      <c r="G29" s="521"/>
      <c r="H29" s="521"/>
      <c r="I29" s="521"/>
      <c r="J29" s="521"/>
      <c r="K29" s="521"/>
      <c r="L29" s="521"/>
      <c r="M29" s="521"/>
      <c r="N29" s="521"/>
      <c r="O29" s="521"/>
      <c r="P29" s="521"/>
      <c r="Q29" s="521"/>
      <c r="R29" s="521"/>
      <c r="S29" s="521"/>
      <c r="T29" s="521"/>
      <c r="U29" s="521"/>
      <c r="V29" s="521"/>
      <c r="W29" s="521"/>
      <c r="X29" s="521"/>
      <c r="Y29" s="521"/>
      <c r="Z29" s="521"/>
      <c r="AA29" s="521"/>
      <c r="AB29" s="521"/>
      <c r="AC29" s="521"/>
      <c r="AD29" s="521"/>
      <c r="AE29" s="521"/>
      <c r="AF29" s="521"/>
      <c r="AG29" s="521"/>
      <c r="AH29" s="521"/>
      <c r="AI29" s="521"/>
      <c r="AJ29" s="267"/>
      <c r="AK29" s="267"/>
      <c r="AL29" s="267"/>
      <c r="AM29" s="267"/>
      <c r="AN29" s="267"/>
      <c r="AO29" s="267"/>
      <c r="AP29" s="267"/>
      <c r="AQ29" s="267"/>
      <c r="AR29" s="267"/>
    </row>
    <row r="30" spans="1:44" ht="15.75">
      <c r="A30" s="267"/>
      <c r="B30" s="520" t="s">
        <v>48</v>
      </c>
      <c r="C30" s="523"/>
      <c r="D30" s="523"/>
      <c r="E30" s="523">
        <f t="shared" ref="E30:AI30" si="18">E23+E25+E28+E26+E27</f>
        <v>1554</v>
      </c>
      <c r="F30" s="523">
        <f t="shared" si="18"/>
        <v>1545</v>
      </c>
      <c r="G30" s="523">
        <f t="shared" si="18"/>
        <v>2165</v>
      </c>
      <c r="H30" s="523">
        <f t="shared" si="18"/>
        <v>2890</v>
      </c>
      <c r="I30" s="523">
        <f t="shared" si="18"/>
        <v>2968</v>
      </c>
      <c r="J30" s="523">
        <f t="shared" si="18"/>
        <v>3075</v>
      </c>
      <c r="K30" s="523">
        <f t="shared" si="18"/>
        <v>3561</v>
      </c>
      <c r="L30" s="523">
        <f t="shared" si="18"/>
        <v>2526</v>
      </c>
      <c r="M30" s="523">
        <f t="shared" si="18"/>
        <v>2895</v>
      </c>
      <c r="N30" s="523">
        <f t="shared" si="18"/>
        <v>3203.7</v>
      </c>
      <c r="O30" s="523">
        <f t="shared" si="18"/>
        <v>4282.7330000000002</v>
      </c>
      <c r="P30" s="523">
        <f t="shared" si="18"/>
        <v>4974</v>
      </c>
      <c r="Q30" s="523">
        <f t="shared" si="18"/>
        <v>5322.4999999999991</v>
      </c>
      <c r="R30" s="523">
        <f t="shared" si="18"/>
        <v>6030.4</v>
      </c>
      <c r="S30" s="523">
        <f t="shared" si="18"/>
        <v>5681</v>
      </c>
      <c r="T30" s="523">
        <f t="shared" si="18"/>
        <v>5784</v>
      </c>
      <c r="U30" s="523">
        <f t="shared" si="18"/>
        <v>6094</v>
      </c>
      <c r="V30" s="523">
        <f t="shared" si="18"/>
        <v>5286.4860000000008</v>
      </c>
      <c r="W30" s="523">
        <f t="shared" si="18"/>
        <v>4364.5200000000004</v>
      </c>
      <c r="X30" s="523">
        <f t="shared" si="18"/>
        <v>3722.1219999999998</v>
      </c>
      <c r="Y30" s="523">
        <f t="shared" si="18"/>
        <v>4342.817</v>
      </c>
      <c r="Z30" s="523">
        <f t="shared" si="18"/>
        <v>5627.3119748453064</v>
      </c>
      <c r="AA30" s="523">
        <f t="shared" si="18"/>
        <v>7109.9722189353606</v>
      </c>
      <c r="AB30" s="523">
        <f t="shared" si="18"/>
        <v>8775.8071082466249</v>
      </c>
      <c r="AC30" s="523">
        <f t="shared" si="18"/>
        <v>10050.958410137235</v>
      </c>
      <c r="AD30" s="523">
        <f t="shared" si="18"/>
        <v>11168.454373418233</v>
      </c>
      <c r="AE30" s="523">
        <f t="shared" si="18"/>
        <v>11923.99721208263</v>
      </c>
      <c r="AF30" s="523">
        <f t="shared" si="18"/>
        <v>12670.146516110217</v>
      </c>
      <c r="AG30" s="523">
        <f t="shared" si="18"/>
        <v>13444.030261504759</v>
      </c>
      <c r="AH30" s="523">
        <f t="shared" si="18"/>
        <v>14220.609323372953</v>
      </c>
      <c r="AI30" s="523">
        <f t="shared" si="18"/>
        <v>15066.112895712438</v>
      </c>
      <c r="AJ30" s="267"/>
      <c r="AK30" s="267"/>
      <c r="AL30" s="267"/>
      <c r="AM30" s="267"/>
      <c r="AN30" s="267"/>
      <c r="AO30" s="267"/>
      <c r="AP30" s="267"/>
      <c r="AQ30" s="267"/>
      <c r="AR30" s="267"/>
    </row>
    <row r="31" spans="1:44" ht="15.75">
      <c r="A31" s="267"/>
      <c r="B31" s="521"/>
      <c r="C31" s="521"/>
      <c r="D31" s="521"/>
      <c r="E31" s="521"/>
      <c r="F31" s="521"/>
      <c r="G31" s="521"/>
      <c r="H31" s="521"/>
      <c r="I31" s="521"/>
      <c r="J31" s="521"/>
      <c r="K31" s="521"/>
      <c r="L31" s="527"/>
      <c r="M31" s="527"/>
      <c r="N31" s="527"/>
      <c r="O31" s="527"/>
      <c r="P31" s="527"/>
      <c r="Q31" s="527"/>
      <c r="R31" s="527"/>
      <c r="S31" s="527"/>
      <c r="T31" s="527"/>
      <c r="U31" s="527"/>
      <c r="V31" s="527"/>
      <c r="W31" s="527"/>
      <c r="X31" s="527"/>
      <c r="Y31" s="527"/>
      <c r="Z31" s="527"/>
      <c r="AA31" s="527"/>
      <c r="AB31" s="527"/>
      <c r="AC31" s="527"/>
      <c r="AD31" s="527"/>
      <c r="AE31" s="527"/>
      <c r="AF31" s="527"/>
      <c r="AG31" s="527"/>
      <c r="AH31" s="527"/>
      <c r="AI31" s="527"/>
      <c r="AJ31" s="267"/>
      <c r="AK31" s="267"/>
      <c r="AL31" s="267"/>
      <c r="AM31" s="267"/>
      <c r="AN31" s="267"/>
      <c r="AO31" s="267"/>
      <c r="AP31" s="267"/>
      <c r="AQ31" s="267"/>
      <c r="AR31" s="267"/>
    </row>
    <row r="32" spans="1:44" ht="15.75">
      <c r="A32" s="267"/>
      <c r="B32" s="521" t="s">
        <v>114</v>
      </c>
      <c r="C32" s="522"/>
      <c r="D32" s="522"/>
      <c r="E32" s="522">
        <f t="shared" ref="E32:AI32" si="19">-E257</f>
        <v>0</v>
      </c>
      <c r="F32" s="522">
        <f t="shared" si="19"/>
        <v>0</v>
      </c>
      <c r="G32" s="522">
        <f t="shared" si="19"/>
        <v>0</v>
      </c>
      <c r="H32" s="522">
        <f t="shared" si="19"/>
        <v>0</v>
      </c>
      <c r="I32" s="522">
        <f t="shared" si="19"/>
        <v>0</v>
      </c>
      <c r="J32" s="522">
        <f t="shared" si="19"/>
        <v>0</v>
      </c>
      <c r="K32" s="522">
        <f t="shared" si="19"/>
        <v>0</v>
      </c>
      <c r="L32" s="522">
        <f t="shared" si="19"/>
        <v>-502</v>
      </c>
      <c r="M32" s="522">
        <f t="shared" si="19"/>
        <v>-872</v>
      </c>
      <c r="N32" s="522">
        <f t="shared" si="19"/>
        <v>-785.5</v>
      </c>
      <c r="O32" s="522">
        <f t="shared" si="19"/>
        <v>-959</v>
      </c>
      <c r="P32" s="522">
        <f t="shared" si="19"/>
        <v>-845</v>
      </c>
      <c r="Q32" s="522">
        <f t="shared" si="19"/>
        <v>-1013</v>
      </c>
      <c r="R32" s="522">
        <f t="shared" si="19"/>
        <v>-1347</v>
      </c>
      <c r="S32" s="522">
        <f t="shared" si="19"/>
        <v>-1267</v>
      </c>
      <c r="T32" s="522">
        <f t="shared" si="19"/>
        <v>-1430</v>
      </c>
      <c r="U32" s="522">
        <f t="shared" si="19"/>
        <v>-1645.319</v>
      </c>
      <c r="V32" s="522">
        <f t="shared" si="19"/>
        <v>-1614.981</v>
      </c>
      <c r="W32" s="522">
        <f t="shared" si="19"/>
        <v>-1301.4839999999999</v>
      </c>
      <c r="X32" s="522">
        <f t="shared" si="19"/>
        <v>-1095</v>
      </c>
      <c r="Y32" s="522">
        <f t="shared" si="19"/>
        <v>-1299.261</v>
      </c>
      <c r="Z32" s="522">
        <f t="shared" si="19"/>
        <v>-1429.0995535855532</v>
      </c>
      <c r="AA32" s="522">
        <f t="shared" si="19"/>
        <v>-2132.9916656806081</v>
      </c>
      <c r="AB32" s="522">
        <f t="shared" si="19"/>
        <v>-2632.7421324739876</v>
      </c>
      <c r="AC32" s="522">
        <f t="shared" si="19"/>
        <v>-3015.2875230411705</v>
      </c>
      <c r="AD32" s="522">
        <f t="shared" si="19"/>
        <v>-3350.5363120254701</v>
      </c>
      <c r="AE32" s="522">
        <f t="shared" si="19"/>
        <v>-3577.199163624789</v>
      </c>
      <c r="AF32" s="522">
        <f t="shared" si="19"/>
        <v>-3801.0439548330651</v>
      </c>
      <c r="AG32" s="522">
        <f t="shared" si="19"/>
        <v>-4033.2090784514276</v>
      </c>
      <c r="AH32" s="522">
        <f t="shared" si="19"/>
        <v>-4266.1827970118857</v>
      </c>
      <c r="AI32" s="522">
        <f t="shared" si="19"/>
        <v>-4519.8338687137311</v>
      </c>
      <c r="AJ32" s="267"/>
      <c r="AK32" s="267"/>
      <c r="AL32" s="267"/>
      <c r="AM32" s="267"/>
      <c r="AN32" s="267"/>
      <c r="AO32" s="267"/>
      <c r="AP32" s="267"/>
      <c r="AQ32" s="267"/>
      <c r="AR32" s="267"/>
    </row>
    <row r="33" spans="1:44" ht="15.75">
      <c r="A33" s="267"/>
      <c r="B33" s="521" t="s">
        <v>143</v>
      </c>
      <c r="C33" s="522"/>
      <c r="D33" s="522"/>
      <c r="E33" s="522">
        <f t="shared" ref="E33:AI33" si="20">-E298</f>
        <v>0</v>
      </c>
      <c r="F33" s="522">
        <f t="shared" si="20"/>
        <v>0</v>
      </c>
      <c r="G33" s="522">
        <f t="shared" si="20"/>
        <v>0</v>
      </c>
      <c r="H33" s="522">
        <f t="shared" si="20"/>
        <v>0</v>
      </c>
      <c r="I33" s="522">
        <f t="shared" si="20"/>
        <v>0</v>
      </c>
      <c r="J33" s="522">
        <f t="shared" si="20"/>
        <v>0</v>
      </c>
      <c r="K33" s="522">
        <f t="shared" si="20"/>
        <v>0</v>
      </c>
      <c r="L33" s="522">
        <f t="shared" si="20"/>
        <v>-95</v>
      </c>
      <c r="M33" s="522">
        <f t="shared" si="20"/>
        <v>-131</v>
      </c>
      <c r="N33" s="522">
        <f t="shared" si="20"/>
        <v>-64.7</v>
      </c>
      <c r="O33" s="522">
        <f t="shared" si="20"/>
        <v>-161</v>
      </c>
      <c r="P33" s="522">
        <f t="shared" si="20"/>
        <v>-273</v>
      </c>
      <c r="Q33" s="522">
        <f t="shared" si="20"/>
        <v>-173</v>
      </c>
      <c r="R33" s="522">
        <f t="shared" si="20"/>
        <v>-174</v>
      </c>
      <c r="S33" s="522">
        <f t="shared" si="20"/>
        <v>-156</v>
      </c>
      <c r="T33" s="522">
        <f t="shared" si="20"/>
        <v>-171.60000000000002</v>
      </c>
      <c r="U33" s="522">
        <f t="shared" si="20"/>
        <v>-160.75700000000001</v>
      </c>
      <c r="V33" s="522">
        <f t="shared" si="20"/>
        <v>-168.411</v>
      </c>
      <c r="W33" s="522">
        <f t="shared" si="20"/>
        <v>-167.255</v>
      </c>
      <c r="X33" s="522">
        <f t="shared" si="20"/>
        <v>-181.726</v>
      </c>
      <c r="Y33" s="522">
        <f t="shared" si="20"/>
        <v>-192.072</v>
      </c>
      <c r="Z33" s="522">
        <f t="shared" si="20"/>
        <v>-211.27920000000003</v>
      </c>
      <c r="AA33" s="522">
        <f t="shared" si="20"/>
        <v>-232.40712000000005</v>
      </c>
      <c r="AB33" s="522">
        <f t="shared" si="20"/>
        <v>-255.64783200000008</v>
      </c>
      <c r="AC33" s="522">
        <f t="shared" si="20"/>
        <v>-281.21261520000013</v>
      </c>
      <c r="AD33" s="522">
        <f t="shared" si="20"/>
        <v>-309.33387672000015</v>
      </c>
      <c r="AE33" s="522">
        <f t="shared" si="20"/>
        <v>-340.26726439200019</v>
      </c>
      <c r="AF33" s="522">
        <f t="shared" si="20"/>
        <v>-374.29399083120023</v>
      </c>
      <c r="AG33" s="522">
        <f t="shared" si="20"/>
        <v>-411.72338991432031</v>
      </c>
      <c r="AH33" s="522">
        <f t="shared" si="20"/>
        <v>-452.89572890575238</v>
      </c>
      <c r="AI33" s="522">
        <f t="shared" si="20"/>
        <v>-498.18530179632768</v>
      </c>
      <c r="AJ33" s="267"/>
      <c r="AK33" s="267"/>
      <c r="AL33" s="267"/>
      <c r="AM33" s="267"/>
      <c r="AN33" s="267"/>
      <c r="AO33" s="267"/>
      <c r="AP33" s="267"/>
      <c r="AQ33" s="267"/>
      <c r="AR33" s="267"/>
    </row>
    <row r="34" spans="1:44" ht="15.75">
      <c r="A34" s="267"/>
      <c r="B34" s="521"/>
      <c r="C34" s="521"/>
      <c r="D34" s="521"/>
      <c r="E34" s="521"/>
      <c r="F34" s="521"/>
      <c r="G34" s="521"/>
      <c r="H34" s="521"/>
      <c r="I34" s="521"/>
      <c r="J34" s="521"/>
      <c r="K34" s="521"/>
      <c r="L34" s="521"/>
      <c r="M34" s="521"/>
      <c r="N34" s="521"/>
      <c r="O34" s="521"/>
      <c r="P34" s="521"/>
      <c r="Q34" s="521"/>
      <c r="R34" s="521"/>
      <c r="S34" s="521"/>
      <c r="T34" s="521"/>
      <c r="U34" s="521"/>
      <c r="V34" s="521"/>
      <c r="W34" s="521"/>
      <c r="X34" s="521"/>
      <c r="Y34" s="521"/>
      <c r="Z34" s="521"/>
      <c r="AA34" s="521"/>
      <c r="AB34" s="521"/>
      <c r="AC34" s="521"/>
      <c r="AD34" s="521"/>
      <c r="AE34" s="521"/>
      <c r="AF34" s="521"/>
      <c r="AG34" s="521"/>
      <c r="AH34" s="521"/>
      <c r="AI34" s="521"/>
      <c r="AJ34" s="267"/>
      <c r="AK34" s="267"/>
      <c r="AL34" s="267"/>
      <c r="AM34" s="267"/>
      <c r="AN34" s="267"/>
      <c r="AO34" s="267"/>
      <c r="AP34" s="267"/>
      <c r="AQ34" s="267"/>
      <c r="AR34" s="267"/>
    </row>
    <row r="35" spans="1:44" ht="15.75">
      <c r="A35" s="267"/>
      <c r="B35" s="520" t="s">
        <v>50</v>
      </c>
      <c r="C35" s="523"/>
      <c r="D35" s="523"/>
      <c r="E35" s="523">
        <f t="shared" ref="E35:AI35" si="21">SUM(E30:E33)</f>
        <v>1554</v>
      </c>
      <c r="F35" s="523">
        <f t="shared" si="21"/>
        <v>1545</v>
      </c>
      <c r="G35" s="523">
        <f t="shared" si="21"/>
        <v>2165</v>
      </c>
      <c r="H35" s="523">
        <f t="shared" si="21"/>
        <v>2890</v>
      </c>
      <c r="I35" s="523">
        <f t="shared" si="21"/>
        <v>2968</v>
      </c>
      <c r="J35" s="523">
        <f t="shared" si="21"/>
        <v>3075</v>
      </c>
      <c r="K35" s="523">
        <f t="shared" si="21"/>
        <v>3561</v>
      </c>
      <c r="L35" s="523">
        <f t="shared" si="21"/>
        <v>1929</v>
      </c>
      <c r="M35" s="523">
        <f t="shared" si="21"/>
        <v>1892</v>
      </c>
      <c r="N35" s="523">
        <f t="shared" si="21"/>
        <v>2353.5</v>
      </c>
      <c r="O35" s="523">
        <f t="shared" si="21"/>
        <v>3162.7330000000002</v>
      </c>
      <c r="P35" s="523">
        <f t="shared" si="21"/>
        <v>3856</v>
      </c>
      <c r="Q35" s="523">
        <f t="shared" si="21"/>
        <v>4136.4999999999991</v>
      </c>
      <c r="R35" s="523">
        <f t="shared" si="21"/>
        <v>4509.3999999999996</v>
      </c>
      <c r="S35" s="523">
        <f t="shared" si="21"/>
        <v>4258</v>
      </c>
      <c r="T35" s="523">
        <f t="shared" si="21"/>
        <v>4182.3999999999996</v>
      </c>
      <c r="U35" s="523">
        <f t="shared" si="21"/>
        <v>4287.9240000000009</v>
      </c>
      <c r="V35" s="523">
        <f t="shared" si="21"/>
        <v>3503.094000000001</v>
      </c>
      <c r="W35" s="523">
        <f t="shared" si="21"/>
        <v>2895.7810000000004</v>
      </c>
      <c r="X35" s="523">
        <f t="shared" si="21"/>
        <v>2445.3959999999997</v>
      </c>
      <c r="Y35" s="523">
        <f t="shared" si="21"/>
        <v>2851.4839999999999</v>
      </c>
      <c r="Z35" s="523">
        <f t="shared" si="21"/>
        <v>3986.9332212597537</v>
      </c>
      <c r="AA35" s="523">
        <f t="shared" si="21"/>
        <v>4744.5734332547527</v>
      </c>
      <c r="AB35" s="523">
        <f t="shared" si="21"/>
        <v>5887.4171437726372</v>
      </c>
      <c r="AC35" s="523">
        <f t="shared" si="21"/>
        <v>6754.4582718960646</v>
      </c>
      <c r="AD35" s="523">
        <f t="shared" si="21"/>
        <v>7508.5841846727635</v>
      </c>
      <c r="AE35" s="523">
        <f t="shared" si="21"/>
        <v>8006.5307840658397</v>
      </c>
      <c r="AF35" s="523">
        <f t="shared" si="21"/>
        <v>8494.8085704459518</v>
      </c>
      <c r="AG35" s="523">
        <f t="shared" si="21"/>
        <v>8999.0977931390098</v>
      </c>
      <c r="AH35" s="523">
        <f t="shared" si="21"/>
        <v>9501.5307974553161</v>
      </c>
      <c r="AI35" s="523">
        <f t="shared" si="21"/>
        <v>10048.09372520238</v>
      </c>
      <c r="AJ35" s="525">
        <f>(Y35/R35)^(1/6)-1</f>
        <v>-7.3542795114114212E-2</v>
      </c>
      <c r="AK35" s="267"/>
      <c r="AL35" s="267"/>
      <c r="AM35" s="267"/>
      <c r="AN35" s="267"/>
      <c r="AO35" s="267"/>
      <c r="AP35" s="267"/>
      <c r="AQ35" s="267"/>
      <c r="AR35" s="267"/>
    </row>
    <row r="36" spans="1:44" ht="15.75">
      <c r="A36" s="267"/>
      <c r="B36" s="521"/>
      <c r="C36" s="521"/>
      <c r="D36" s="521"/>
      <c r="E36" s="521"/>
      <c r="F36" s="521"/>
      <c r="G36" s="521"/>
      <c r="H36" s="521"/>
      <c r="I36" s="521"/>
      <c r="J36" s="267"/>
      <c r="K36" s="521"/>
      <c r="L36" s="521"/>
      <c r="M36" s="521"/>
      <c r="N36" s="521"/>
      <c r="O36" s="521"/>
      <c r="P36" s="521"/>
      <c r="Q36" s="521"/>
      <c r="R36" s="538"/>
      <c r="S36" s="538"/>
      <c r="T36" s="538"/>
      <c r="U36" s="538"/>
      <c r="V36" s="521"/>
      <c r="W36" s="521"/>
      <c r="X36" s="521"/>
      <c r="Y36" s="521"/>
      <c r="Z36" s="521"/>
      <c r="AA36" s="521"/>
      <c r="AB36" s="521"/>
      <c r="AC36" s="521"/>
      <c r="AD36" s="521"/>
      <c r="AE36" s="521"/>
      <c r="AF36" s="521"/>
      <c r="AG36" s="521"/>
      <c r="AH36" s="521"/>
      <c r="AI36" s="521"/>
      <c r="AJ36" s="267"/>
      <c r="AK36" s="267"/>
      <c r="AL36" s="267"/>
      <c r="AM36" s="267"/>
      <c r="AN36" s="267"/>
      <c r="AO36" s="267"/>
      <c r="AP36" s="267"/>
      <c r="AQ36" s="267"/>
      <c r="AR36" s="267"/>
    </row>
    <row r="37" spans="1:44" ht="15.75">
      <c r="A37" s="267"/>
      <c r="B37" s="833" t="s">
        <v>144</v>
      </c>
      <c r="C37" s="539"/>
      <c r="D37" s="540"/>
      <c r="E37" s="540"/>
      <c r="F37" s="540"/>
      <c r="G37" s="540"/>
      <c r="H37" s="540"/>
      <c r="I37" s="540"/>
      <c r="J37" s="540"/>
      <c r="K37" s="540"/>
      <c r="L37" s="540">
        <f t="shared" ref="L37:AI37" si="22">L35/(L348/2)</f>
        <v>2.2453038056677337</v>
      </c>
      <c r="M37" s="540">
        <f t="shared" si="22"/>
        <v>2.2019023412087422</v>
      </c>
      <c r="N37" s="540">
        <f t="shared" si="22"/>
        <v>2.7389942706314878</v>
      </c>
      <c r="O37" s="540">
        <f t="shared" si="22"/>
        <v>3.680776531352087</v>
      </c>
      <c r="P37" s="540">
        <f t="shared" si="22"/>
        <v>4.4875980061844132</v>
      </c>
      <c r="Q37" s="540">
        <f t="shared" si="22"/>
        <v>4.8140428300264055</v>
      </c>
      <c r="R37" s="540">
        <f t="shared" si="22"/>
        <v>5.2480224193692919</v>
      </c>
      <c r="S37" s="540">
        <f t="shared" si="22"/>
        <v>4.9554440638830997</v>
      </c>
      <c r="T37" s="540">
        <f t="shared" si="22"/>
        <v>4.8630409354005284</v>
      </c>
      <c r="U37" s="540">
        <f t="shared" si="22"/>
        <v>5.0006344200887263</v>
      </c>
      <c r="V37" s="540">
        <f t="shared" si="22"/>
        <v>4.0846811078365368</v>
      </c>
      <c r="W37" s="540">
        <f t="shared" si="22"/>
        <v>3.3730685072402409</v>
      </c>
      <c r="X37" s="540">
        <f t="shared" si="22"/>
        <v>2.8484502921081583</v>
      </c>
      <c r="Y37" s="540">
        <f t="shared" si="22"/>
        <v>3.3229276887722516</v>
      </c>
      <c r="Z37" s="540">
        <f t="shared" si="22"/>
        <v>4.6461038512613024</v>
      </c>
      <c r="AA37" s="540">
        <f t="shared" si="22"/>
        <v>5.5290068023441279</v>
      </c>
      <c r="AB37" s="540">
        <f t="shared" si="22"/>
        <v>6.8608000053286435</v>
      </c>
      <c r="AC37" s="540">
        <f t="shared" si="22"/>
        <v>7.8711914267589114</v>
      </c>
      <c r="AD37" s="540">
        <f t="shared" si="22"/>
        <v>8.7499990498724696</v>
      </c>
      <c r="AE37" s="540">
        <f t="shared" si="22"/>
        <v>9.3302725294547635</v>
      </c>
      <c r="AF37" s="540">
        <f t="shared" si="22"/>
        <v>9.899278624587998</v>
      </c>
      <c r="AG37" s="540">
        <f t="shared" si="22"/>
        <v>10.48694337081705</v>
      </c>
      <c r="AH37" s="540">
        <f t="shared" si="22"/>
        <v>11.072445004982166</v>
      </c>
      <c r="AI37" s="834">
        <f t="shared" si="22"/>
        <v>11.709372684137</v>
      </c>
      <c r="AJ37" s="267"/>
      <c r="AK37" s="267"/>
      <c r="AL37" s="267"/>
      <c r="AM37" s="267"/>
      <c r="AN37" s="267"/>
      <c r="AO37" s="267"/>
      <c r="AP37" s="267"/>
      <c r="AQ37" s="267"/>
      <c r="AR37" s="267"/>
    </row>
    <row r="38" spans="1:44" ht="15.75">
      <c r="A38" s="267"/>
      <c r="B38" s="835" t="s">
        <v>145</v>
      </c>
      <c r="C38" s="541"/>
      <c r="D38" s="542"/>
      <c r="E38" s="542"/>
      <c r="F38" s="542"/>
      <c r="G38" s="542"/>
      <c r="H38" s="542"/>
      <c r="I38" s="542"/>
      <c r="J38" s="542"/>
      <c r="K38" s="542"/>
      <c r="L38" s="542">
        <f t="shared" ref="L38:AI38" si="23">L343</f>
        <v>1.7466112382751551</v>
      </c>
      <c r="M38" s="542">
        <f t="shared" si="23"/>
        <v>2.1991092304165112</v>
      </c>
      <c r="N38" s="542">
        <f t="shared" si="23"/>
        <v>2.5699086536391325</v>
      </c>
      <c r="O38" s="542">
        <f t="shared" si="23"/>
        <v>3.1406759095357968</v>
      </c>
      <c r="P38" s="542">
        <f t="shared" si="23"/>
        <v>4.246505992968344</v>
      </c>
      <c r="Q38" s="542">
        <f t="shared" si="23"/>
        <v>4.4831464858592938</v>
      </c>
      <c r="R38" s="542">
        <f t="shared" si="23"/>
        <v>5.2716614470408736</v>
      </c>
      <c r="S38" s="542">
        <f t="shared" si="23"/>
        <v>4.931865553612016</v>
      </c>
      <c r="T38" s="542">
        <f t="shared" si="23"/>
        <v>5.0461956332162066</v>
      </c>
      <c r="U38" s="542">
        <f t="shared" si="23"/>
        <v>5.3804689577317619</v>
      </c>
      <c r="V38" s="542">
        <f t="shared" si="23"/>
        <v>4.2892676863520167</v>
      </c>
      <c r="W38" s="542">
        <f t="shared" si="23"/>
        <v>3.1925011109486836</v>
      </c>
      <c r="X38" s="542">
        <f t="shared" si="23"/>
        <v>2.7534513957767057</v>
      </c>
      <c r="Y38" s="542">
        <f t="shared" si="23"/>
        <v>3.2802459784366826</v>
      </c>
      <c r="Z38" s="542">
        <f t="shared" si="23"/>
        <v>4.6193011980316987</v>
      </c>
      <c r="AA38" s="542">
        <f t="shared" si="23"/>
        <v>5.5290068023441279</v>
      </c>
      <c r="AB38" s="542">
        <f t="shared" si="23"/>
        <v>6.8608000053286435</v>
      </c>
      <c r="AC38" s="542">
        <f t="shared" si="23"/>
        <v>7.8711914267589114</v>
      </c>
      <c r="AD38" s="542">
        <f t="shared" si="23"/>
        <v>8.7499990498724696</v>
      </c>
      <c r="AE38" s="542">
        <f t="shared" si="23"/>
        <v>9.3302725294547635</v>
      </c>
      <c r="AF38" s="542">
        <f t="shared" si="23"/>
        <v>9.899278624587998</v>
      </c>
      <c r="AG38" s="542">
        <f t="shared" si="23"/>
        <v>10.48694337081705</v>
      </c>
      <c r="AH38" s="542">
        <f t="shared" si="23"/>
        <v>11.072445004982166</v>
      </c>
      <c r="AI38" s="836">
        <f t="shared" si="23"/>
        <v>11.709372684137</v>
      </c>
      <c r="AJ38" s="267"/>
      <c r="AK38" s="267"/>
      <c r="AL38" s="267"/>
      <c r="AM38" s="267"/>
      <c r="AN38" s="267"/>
      <c r="AO38" s="267"/>
      <c r="AP38" s="267"/>
      <c r="AQ38" s="267"/>
      <c r="AR38" s="267"/>
    </row>
    <row r="39" spans="1:44" ht="15.75">
      <c r="A39" s="267"/>
      <c r="B39" s="835" t="s">
        <v>80</v>
      </c>
      <c r="C39" s="541"/>
      <c r="D39" s="542"/>
      <c r="E39" s="542"/>
      <c r="F39" s="542"/>
      <c r="G39" s="542"/>
      <c r="H39" s="542"/>
      <c r="I39" s="542"/>
      <c r="J39" s="542"/>
      <c r="K39" s="542"/>
      <c r="L39" s="542">
        <f t="shared" ref="L39:AI39" si="24">L358</f>
        <v>0.620529</v>
      </c>
      <c r="M39" s="542">
        <f t="shared" si="24"/>
        <v>1.8254410000000001</v>
      </c>
      <c r="N39" s="542">
        <f t="shared" si="24"/>
        <v>1.1399999999999999</v>
      </c>
      <c r="O39" s="542">
        <f t="shared" si="24"/>
        <v>1.36</v>
      </c>
      <c r="P39" s="542">
        <f t="shared" si="24"/>
        <v>1.62</v>
      </c>
      <c r="Q39" s="542">
        <f t="shared" si="24"/>
        <v>1.78</v>
      </c>
      <c r="R39" s="542">
        <f t="shared" si="24"/>
        <v>2.1800000000000002</v>
      </c>
      <c r="S39" s="542">
        <f t="shared" si="24"/>
        <v>1.78</v>
      </c>
      <c r="T39" s="542">
        <f t="shared" si="24"/>
        <v>2.56</v>
      </c>
      <c r="U39" s="542">
        <f t="shared" si="24"/>
        <v>2.82</v>
      </c>
      <c r="V39" s="542">
        <f t="shared" si="24"/>
        <v>2.96</v>
      </c>
      <c r="W39" s="542">
        <f t="shared" si="24"/>
        <v>3.08</v>
      </c>
      <c r="X39" s="542">
        <f t="shared" si="24"/>
        <v>3.34</v>
      </c>
      <c r="Y39" s="542">
        <f t="shared" si="24"/>
        <v>3.7</v>
      </c>
      <c r="Z39" s="542">
        <f t="shared" si="24"/>
        <v>4.2380463952295955</v>
      </c>
      <c r="AA39" s="542">
        <f t="shared" si="24"/>
        <v>4.8432919514196096</v>
      </c>
      <c r="AB39" s="542">
        <f t="shared" si="24"/>
        <v>5.4766784293322903</v>
      </c>
      <c r="AC39" s="542">
        <f t="shared" si="24"/>
        <v>6.0643701016750695</v>
      </c>
      <c r="AD39" s="542">
        <f t="shared" si="24"/>
        <v>6.6340202036786229</v>
      </c>
      <c r="AE39" s="542">
        <f t="shared" si="24"/>
        <v>7.1100793746757995</v>
      </c>
      <c r="AF39" s="542">
        <f t="shared" si="24"/>
        <v>7.6093007925169154</v>
      </c>
      <c r="AG39" s="542">
        <f t="shared" si="24"/>
        <v>8.1327403351429339</v>
      </c>
      <c r="AH39" s="542">
        <f t="shared" si="24"/>
        <v>8.6815082705456579</v>
      </c>
      <c r="AI39" s="836">
        <f t="shared" si="24"/>
        <v>9.256772415488097</v>
      </c>
      <c r="AJ39" s="267"/>
      <c r="AK39" s="267"/>
      <c r="AL39" s="267"/>
      <c r="AM39" s="267"/>
      <c r="AN39" s="267"/>
      <c r="AO39" s="267"/>
      <c r="AP39" s="267"/>
      <c r="AQ39" s="267"/>
      <c r="AR39" s="267"/>
    </row>
    <row r="40" spans="1:44" ht="15.75">
      <c r="A40" s="267"/>
      <c r="B40" s="837" t="s">
        <v>146</v>
      </c>
      <c r="C40" s="543"/>
      <c r="D40" s="838"/>
      <c r="E40" s="838"/>
      <c r="F40" s="838"/>
      <c r="G40" s="838"/>
      <c r="H40" s="838"/>
      <c r="I40" s="838"/>
      <c r="J40" s="838"/>
      <c r="K40" s="838"/>
      <c r="L40" s="838">
        <f t="shared" ref="L40:AI40" si="25">L375</f>
        <v>1.0261119870007502</v>
      </c>
      <c r="M40" s="838">
        <f t="shared" si="25"/>
        <v>1.6288491103360228</v>
      </c>
      <c r="N40" s="838">
        <f t="shared" si="25"/>
        <v>1.8667430116949875</v>
      </c>
      <c r="O40" s="838">
        <f t="shared" si="25"/>
        <v>1.0307134652379903</v>
      </c>
      <c r="P40" s="838">
        <f t="shared" si="25"/>
        <v>1.0181354356147232</v>
      </c>
      <c r="Q40" s="838">
        <f t="shared" si="25"/>
        <v>1.9146483531702392</v>
      </c>
      <c r="R40" s="838">
        <f t="shared" si="25"/>
        <v>2.401946099944487</v>
      </c>
      <c r="S40" s="838">
        <f t="shared" si="25"/>
        <v>2.1154788381124621</v>
      </c>
      <c r="T40" s="838">
        <f t="shared" si="25"/>
        <v>1.1242759040879591</v>
      </c>
      <c r="U40" s="838">
        <f t="shared" si="25"/>
        <v>0.51902327295457962</v>
      </c>
      <c r="V40" s="838">
        <f t="shared" si="25"/>
        <v>-2.2355327054310332</v>
      </c>
      <c r="W40" s="838">
        <f t="shared" si="25"/>
        <v>-3.5049731479480783</v>
      </c>
      <c r="X40" s="838">
        <f t="shared" si="25"/>
        <v>0.560817844602302</v>
      </c>
      <c r="Y40" s="838">
        <f t="shared" si="25"/>
        <v>3.6863691028336238</v>
      </c>
      <c r="Z40" s="838">
        <f t="shared" si="25"/>
        <v>4.5570107759424143</v>
      </c>
      <c r="AA40" s="838">
        <f t="shared" si="25"/>
        <v>5.4171398419712622</v>
      </c>
      <c r="AB40" s="838">
        <f t="shared" si="25"/>
        <v>6.514200133208492</v>
      </c>
      <c r="AC40" s="838">
        <f t="shared" si="25"/>
        <v>7.5602470280842189</v>
      </c>
      <c r="AD40" s="838">
        <f t="shared" si="25"/>
        <v>8.6131685613928113</v>
      </c>
      <c r="AE40" s="838">
        <f t="shared" si="25"/>
        <v>9.2942155990712507</v>
      </c>
      <c r="AF40" s="838">
        <f t="shared" si="25"/>
        <v>9.9515964863064141</v>
      </c>
      <c r="AG40" s="838">
        <f t="shared" si="25"/>
        <v>10.470986844998498</v>
      </c>
      <c r="AH40" s="838">
        <f t="shared" si="25"/>
        <v>11.000370398141051</v>
      </c>
      <c r="AI40" s="839">
        <f t="shared" si="25"/>
        <v>11.743944706106287</v>
      </c>
      <c r="AJ40" s="267"/>
      <c r="AK40" s="267"/>
      <c r="AL40" s="267"/>
      <c r="AM40" s="267"/>
      <c r="AN40" s="267"/>
      <c r="AO40" s="267"/>
      <c r="AP40" s="267"/>
      <c r="AQ40" s="267"/>
      <c r="AR40" s="267"/>
    </row>
    <row r="41" spans="1:44" ht="15.75">
      <c r="A41" s="267"/>
      <c r="B41" s="521"/>
      <c r="C41" s="544"/>
      <c r="D41" s="544"/>
      <c r="E41" s="544"/>
      <c r="F41" s="544"/>
      <c r="G41" s="544"/>
      <c r="H41" s="544"/>
      <c r="I41" s="544"/>
      <c r="J41" s="544"/>
      <c r="K41" s="544"/>
      <c r="L41" s="544"/>
      <c r="M41" s="544"/>
      <c r="N41" s="544"/>
      <c r="O41" s="544"/>
      <c r="P41" s="544"/>
      <c r="Q41" s="544"/>
      <c r="R41" s="544"/>
      <c r="S41" s="544"/>
      <c r="T41" s="544"/>
      <c r="U41" s="544"/>
      <c r="V41" s="544"/>
      <c r="W41" s="544"/>
      <c r="X41" s="544"/>
      <c r="Y41" s="544"/>
      <c r="Z41" s="544"/>
      <c r="AA41" s="544"/>
      <c r="AB41" s="544"/>
      <c r="AC41" s="544"/>
      <c r="AD41" s="544"/>
      <c r="AE41" s="544"/>
      <c r="AF41" s="544"/>
      <c r="AG41" s="544"/>
      <c r="AH41" s="544"/>
      <c r="AI41" s="544"/>
      <c r="AJ41" s="267"/>
      <c r="AK41" s="267"/>
      <c r="AL41" s="267"/>
      <c r="AM41" s="267"/>
      <c r="AN41" s="267"/>
      <c r="AO41" s="267"/>
      <c r="AP41" s="267"/>
      <c r="AQ41" s="267"/>
      <c r="AR41" s="267"/>
    </row>
    <row r="42" spans="1:44" ht="15.75">
      <c r="A42" s="267"/>
      <c r="B42" s="520" t="s">
        <v>147</v>
      </c>
      <c r="C42" s="544"/>
      <c r="D42" s="544"/>
      <c r="E42" s="544"/>
      <c r="F42" s="544"/>
      <c r="G42" s="544"/>
      <c r="H42" s="544"/>
      <c r="I42" s="544"/>
      <c r="J42" s="544"/>
      <c r="K42" s="544"/>
      <c r="L42" s="544"/>
      <c r="M42" s="544"/>
      <c r="N42" s="545"/>
      <c r="O42" s="545"/>
      <c r="P42" s="545"/>
      <c r="Q42" s="544"/>
      <c r="R42" s="544"/>
      <c r="S42" s="544"/>
      <c r="T42" s="544"/>
      <c r="U42" s="544"/>
      <c r="V42" s="544"/>
      <c r="W42" s="544"/>
      <c r="X42" s="544"/>
      <c r="Y42" s="544"/>
      <c r="Z42" s="544"/>
      <c r="AA42" s="544"/>
      <c r="AB42" s="544"/>
      <c r="AC42" s="544"/>
      <c r="AD42" s="544"/>
      <c r="AE42" s="544"/>
      <c r="AF42" s="544"/>
      <c r="AG42" s="544"/>
      <c r="AH42" s="544"/>
      <c r="AI42" s="544"/>
      <c r="AJ42" s="267"/>
      <c r="AK42" s="267"/>
      <c r="AL42" s="267"/>
      <c r="AM42" s="267"/>
      <c r="AN42" s="267"/>
      <c r="AO42" s="267"/>
      <c r="AP42" s="267"/>
      <c r="AQ42" s="267"/>
      <c r="AR42" s="267"/>
    </row>
    <row r="43" spans="1:44" ht="15.75">
      <c r="A43" s="267"/>
      <c r="B43" s="521" t="s">
        <v>132</v>
      </c>
      <c r="C43" s="544"/>
      <c r="D43" s="544"/>
      <c r="E43" s="544"/>
      <c r="F43" s="544"/>
      <c r="G43" s="544"/>
      <c r="H43" s="544"/>
      <c r="I43" s="522">
        <f t="shared" ref="I43:Q43" si="26">I45</f>
        <v>1516</v>
      </c>
      <c r="J43" s="522">
        <f t="shared" si="26"/>
        <v>1510</v>
      </c>
      <c r="K43" s="522">
        <f t="shared" si="26"/>
        <v>1974</v>
      </c>
      <c r="L43" s="522">
        <f t="shared" si="26"/>
        <v>1985</v>
      </c>
      <c r="M43" s="522">
        <f t="shared" si="26"/>
        <v>2000</v>
      </c>
      <c r="N43" s="522">
        <f t="shared" si="26"/>
        <v>2336</v>
      </c>
      <c r="O43" s="522">
        <f t="shared" si="26"/>
        <v>3765</v>
      </c>
      <c r="P43" s="522">
        <f t="shared" si="26"/>
        <v>4874</v>
      </c>
      <c r="Q43" s="522">
        <f t="shared" si="26"/>
        <v>4692</v>
      </c>
      <c r="R43" s="522">
        <f>Fixed!M147</f>
        <v>5753</v>
      </c>
      <c r="S43" s="522">
        <f>Fixed!N147</f>
        <v>6535</v>
      </c>
      <c r="T43" s="522">
        <f>Fixed!O147</f>
        <v>8081</v>
      </c>
      <c r="U43" s="522">
        <f>Fixed!P147</f>
        <v>9466.5730000000003</v>
      </c>
      <c r="V43" s="522">
        <f>Fixed!Q147</f>
        <v>11836</v>
      </c>
      <c r="W43" s="522">
        <f>Fixed!R147</f>
        <v>12949</v>
      </c>
      <c r="X43" s="522">
        <f>Fixed!S147</f>
        <v>10340</v>
      </c>
      <c r="Y43" s="522">
        <f>Fixed!T147</f>
        <v>9187.3919999999998</v>
      </c>
      <c r="Z43" s="522">
        <f>Fixed!U147</f>
        <v>9717.293698700003</v>
      </c>
      <c r="AA43" s="522">
        <f>Fixed!V147</f>
        <v>9856.4705040000026</v>
      </c>
      <c r="AB43" s="522">
        <f>Fixed!W147</f>
        <v>9999.2961712603028</v>
      </c>
      <c r="AC43" s="522">
        <f>Fixed!X147</f>
        <v>10042.771372004911</v>
      </c>
      <c r="AD43" s="522">
        <f>Fixed!Y147</f>
        <v>9962.4209182076502</v>
      </c>
      <c r="AE43" s="522">
        <f>Fixed!Z147</f>
        <v>9918.8945236275231</v>
      </c>
      <c r="AF43" s="522">
        <f>Fixed!AA147</f>
        <v>9871.0863692785861</v>
      </c>
      <c r="AG43" s="522">
        <f>Fixed!AB147</f>
        <v>9944.6802619224636</v>
      </c>
      <c r="AH43" s="522">
        <f>Fixed!AC147</f>
        <v>10018.710811137766</v>
      </c>
      <c r="AI43" s="522">
        <f>Fixed!AD147</f>
        <v>9962.0932589503536</v>
      </c>
      <c r="AJ43" s="267"/>
      <c r="AK43" s="267"/>
      <c r="AL43" s="267"/>
      <c r="AM43" s="267"/>
      <c r="AN43" s="267"/>
      <c r="AO43" s="267"/>
      <c r="AP43" s="267"/>
      <c r="AQ43" s="267"/>
      <c r="AR43" s="267"/>
    </row>
    <row r="44" spans="1:44" ht="15.75">
      <c r="A44" s="267"/>
      <c r="B44" s="858"/>
      <c r="C44" s="838"/>
      <c r="D44" s="838"/>
      <c r="E44" s="838"/>
      <c r="F44" s="838"/>
      <c r="G44" s="838"/>
      <c r="H44" s="838"/>
      <c r="I44" s="838"/>
      <c r="J44" s="860"/>
      <c r="K44" s="860"/>
      <c r="L44" s="860"/>
      <c r="M44" s="860"/>
      <c r="N44" s="860"/>
      <c r="O44" s="860"/>
      <c r="P44" s="860"/>
      <c r="Q44" s="860"/>
      <c r="R44" s="860"/>
      <c r="S44" s="860"/>
      <c r="T44" s="860"/>
      <c r="U44" s="860"/>
      <c r="V44" s="860"/>
      <c r="W44" s="860"/>
      <c r="X44" s="860"/>
      <c r="Y44" s="860"/>
      <c r="Z44" s="860"/>
      <c r="AA44" s="860"/>
      <c r="AB44" s="860"/>
      <c r="AC44" s="860"/>
      <c r="AD44" s="860"/>
      <c r="AE44" s="860"/>
      <c r="AF44" s="860"/>
      <c r="AG44" s="860"/>
      <c r="AH44" s="860"/>
      <c r="AI44" s="860"/>
      <c r="AJ44" s="267"/>
      <c r="AK44" s="267"/>
      <c r="AL44" s="267"/>
      <c r="AM44" s="267"/>
      <c r="AN44" s="267"/>
      <c r="AO44" s="267"/>
      <c r="AP44" s="267"/>
      <c r="AQ44" s="267"/>
      <c r="AR44" s="267"/>
    </row>
    <row r="45" spans="1:44" ht="15.75">
      <c r="A45" s="267"/>
      <c r="B45" s="521" t="s">
        <v>39</v>
      </c>
      <c r="C45" s="544"/>
      <c r="D45" s="544"/>
      <c r="E45" s="544"/>
      <c r="F45" s="544"/>
      <c r="G45" s="544"/>
      <c r="H45" s="544"/>
      <c r="I45" s="359">
        <v>1516</v>
      </c>
      <c r="J45" s="359">
        <v>1510</v>
      </c>
      <c r="K45" s="359">
        <v>1974</v>
      </c>
      <c r="L45" s="359">
        <v>1985</v>
      </c>
      <c r="M45" s="359">
        <v>2000</v>
      </c>
      <c r="N45" s="359">
        <v>2336</v>
      </c>
      <c r="O45" s="359">
        <v>3765</v>
      </c>
      <c r="P45" s="359">
        <v>4874</v>
      </c>
      <c r="Q45" s="359">
        <f>SUM(Quarts!AJ156:AM156)</f>
        <v>4692</v>
      </c>
      <c r="R45" s="359">
        <f>SUM(Quarts!AN159:AQ159)</f>
        <v>5753.1229999999996</v>
      </c>
      <c r="S45" s="522">
        <f t="shared" ref="S45:AI45" si="27">S43+S44</f>
        <v>6535</v>
      </c>
      <c r="T45" s="522">
        <f t="shared" si="27"/>
        <v>8081</v>
      </c>
      <c r="U45" s="522">
        <f t="shared" si="27"/>
        <v>9466.5730000000003</v>
      </c>
      <c r="V45" s="522">
        <f t="shared" si="27"/>
        <v>11836</v>
      </c>
      <c r="W45" s="522">
        <f t="shared" si="27"/>
        <v>12949</v>
      </c>
      <c r="X45" s="522">
        <f t="shared" si="27"/>
        <v>10340</v>
      </c>
      <c r="Y45" s="522">
        <f t="shared" si="27"/>
        <v>9187.3919999999998</v>
      </c>
      <c r="Z45" s="522">
        <f t="shared" si="27"/>
        <v>9717.293698700003</v>
      </c>
      <c r="AA45" s="522">
        <f t="shared" si="27"/>
        <v>9856.4705040000026</v>
      </c>
      <c r="AB45" s="522">
        <f t="shared" si="27"/>
        <v>9999.2961712603028</v>
      </c>
      <c r="AC45" s="522">
        <f t="shared" si="27"/>
        <v>10042.771372004911</v>
      </c>
      <c r="AD45" s="522">
        <f t="shared" si="27"/>
        <v>9962.4209182076502</v>
      </c>
      <c r="AE45" s="522">
        <f t="shared" si="27"/>
        <v>9918.8945236275231</v>
      </c>
      <c r="AF45" s="522">
        <f t="shared" si="27"/>
        <v>9871.0863692785861</v>
      </c>
      <c r="AG45" s="522">
        <f t="shared" si="27"/>
        <v>9944.6802619224636</v>
      </c>
      <c r="AH45" s="522">
        <f t="shared" si="27"/>
        <v>10018.710811137766</v>
      </c>
      <c r="AI45" s="522">
        <f t="shared" si="27"/>
        <v>9962.0932589503536</v>
      </c>
      <c r="AJ45" s="535"/>
      <c r="AK45" s="267"/>
      <c r="AL45" s="267"/>
      <c r="AM45" s="267"/>
      <c r="AN45" s="267"/>
      <c r="AO45" s="267"/>
      <c r="AP45" s="267"/>
      <c r="AQ45" s="267"/>
      <c r="AR45" s="267"/>
    </row>
    <row r="46" spans="1:44" ht="15.75">
      <c r="A46" s="267"/>
      <c r="B46" s="521" t="s">
        <v>148</v>
      </c>
      <c r="C46" s="544"/>
      <c r="D46" s="544"/>
      <c r="E46" s="544"/>
      <c r="F46" s="544"/>
      <c r="G46" s="544"/>
      <c r="H46" s="544"/>
      <c r="I46" s="534">
        <f t="shared" ref="I46:AI46" si="28">I45/I8</f>
        <v>0.21986947063089196</v>
      </c>
      <c r="J46" s="534">
        <f t="shared" si="28"/>
        <v>0.20109202290584632</v>
      </c>
      <c r="K46" s="534">
        <f t="shared" si="28"/>
        <v>0.23930173354345982</v>
      </c>
      <c r="L46" s="534">
        <f t="shared" si="28"/>
        <v>0.22112064163974601</v>
      </c>
      <c r="M46" s="534">
        <f t="shared" si="28"/>
        <v>0.1986491855383393</v>
      </c>
      <c r="N46" s="534">
        <f t="shared" si="28"/>
        <v>0.20357298474945534</v>
      </c>
      <c r="O46" s="534">
        <f t="shared" si="28"/>
        <v>0.25863845572576766</v>
      </c>
      <c r="P46" s="534">
        <f t="shared" si="28"/>
        <v>0.28743291855870734</v>
      </c>
      <c r="Q46" s="534">
        <f t="shared" si="28"/>
        <v>0.27141782842598483</v>
      </c>
      <c r="R46" s="534">
        <f t="shared" si="28"/>
        <v>0.29600344721136035</v>
      </c>
      <c r="S46" s="534">
        <f t="shared" si="28"/>
        <v>0.30249027957785596</v>
      </c>
      <c r="T46" s="534">
        <f t="shared" si="28"/>
        <v>0.36103292677478444</v>
      </c>
      <c r="U46" s="534">
        <f t="shared" si="28"/>
        <v>0.38428890963708695</v>
      </c>
      <c r="V46" s="534">
        <f t="shared" si="28"/>
        <v>0.4358592560527671</v>
      </c>
      <c r="W46" s="534">
        <f t="shared" si="28"/>
        <v>0.43350404780094365</v>
      </c>
      <c r="X46" s="534">
        <f t="shared" si="28"/>
        <v>0.31485179676237351</v>
      </c>
      <c r="Y46" s="534">
        <f t="shared" si="28"/>
        <v>0.25931321481321751</v>
      </c>
      <c r="Z46" s="534">
        <f t="shared" si="28"/>
        <v>0.2525</v>
      </c>
      <c r="AA46" s="534">
        <f t="shared" si="28"/>
        <v>0.24</v>
      </c>
      <c r="AB46" s="534">
        <f t="shared" si="28"/>
        <v>0.23</v>
      </c>
      <c r="AC46" s="534">
        <f t="shared" si="28"/>
        <v>0.21999999999999997</v>
      </c>
      <c r="AD46" s="534">
        <f t="shared" si="28"/>
        <v>0.20999999999999996</v>
      </c>
      <c r="AE46" s="534">
        <f t="shared" si="28"/>
        <v>0.20499999999999999</v>
      </c>
      <c r="AF46" s="534">
        <f t="shared" si="28"/>
        <v>0.2</v>
      </c>
      <c r="AG46" s="534">
        <f t="shared" si="28"/>
        <v>0.19750000000000001</v>
      </c>
      <c r="AH46" s="534">
        <f t="shared" si="28"/>
        <v>0.19500000000000001</v>
      </c>
      <c r="AI46" s="534">
        <f t="shared" si="28"/>
        <v>0.19</v>
      </c>
      <c r="AJ46" s="535"/>
      <c r="AK46" s="267"/>
      <c r="AL46" s="267"/>
      <c r="AM46" s="267"/>
      <c r="AN46" s="267"/>
      <c r="AO46" s="267"/>
      <c r="AP46" s="267"/>
      <c r="AQ46" s="267"/>
      <c r="AR46" s="267"/>
    </row>
    <row r="47" spans="1:44" ht="15.75">
      <c r="A47" s="267"/>
      <c r="B47" s="546"/>
      <c r="C47" s="544"/>
      <c r="D47" s="544"/>
      <c r="E47" s="544"/>
      <c r="F47" s="544"/>
      <c r="G47" s="544"/>
      <c r="H47" s="544"/>
      <c r="I47" s="544"/>
      <c r="J47" s="544"/>
      <c r="K47" s="534"/>
      <c r="L47" s="534"/>
      <c r="M47" s="534"/>
      <c r="N47" s="547"/>
      <c r="O47" s="522"/>
      <c r="P47" s="534"/>
      <c r="Q47" s="534"/>
      <c r="R47" s="534"/>
      <c r="S47" s="534"/>
      <c r="T47" s="522"/>
      <c r="U47" s="534"/>
      <c r="V47" s="534"/>
      <c r="W47" s="534"/>
      <c r="X47" s="534"/>
      <c r="Y47" s="534"/>
      <c r="Z47" s="534"/>
      <c r="AA47" s="534"/>
      <c r="AB47" s="534"/>
      <c r="AC47" s="534"/>
      <c r="AD47" s="534"/>
      <c r="AE47" s="534"/>
      <c r="AF47" s="534"/>
      <c r="AG47" s="534"/>
      <c r="AH47" s="534"/>
      <c r="AI47" s="534"/>
      <c r="AJ47" s="535"/>
      <c r="AK47" s="267"/>
      <c r="AL47" s="267"/>
      <c r="AM47" s="267"/>
      <c r="AN47" s="267"/>
      <c r="AO47" s="267"/>
      <c r="AP47" s="267"/>
      <c r="AQ47" s="267"/>
      <c r="AR47" s="267"/>
    </row>
    <row r="48" spans="1:44" ht="15.75">
      <c r="A48" s="267"/>
      <c r="B48" s="520" t="s">
        <v>149</v>
      </c>
      <c r="C48" s="544"/>
      <c r="D48" s="544"/>
      <c r="E48" s="544"/>
      <c r="F48" s="544"/>
      <c r="G48" s="544"/>
      <c r="H48" s="544"/>
      <c r="I48" s="544"/>
      <c r="J48" s="544"/>
      <c r="K48" s="522">
        <f>K45/Fixed!F116</f>
        <v>159.19354838709677</v>
      </c>
      <c r="L48" s="522">
        <f>L45/Fixed!G116</f>
        <v>150.37878787878788</v>
      </c>
      <c r="M48" s="522">
        <f>M45/Fixed!H116</f>
        <v>156.73981191222572</v>
      </c>
      <c r="N48" s="522">
        <f>N45/Fixed!I116</f>
        <v>175.6390977443609</v>
      </c>
      <c r="O48" s="522">
        <f>O45/Fixed!J116</f>
        <v>228.18181818181819</v>
      </c>
      <c r="P48" s="522">
        <f>P45/Fixed!K116</f>
        <v>257.88359788359793</v>
      </c>
      <c r="Q48" s="522">
        <f>Q45/Fixed!L116</f>
        <v>253.62162162162161</v>
      </c>
      <c r="R48" s="522">
        <f>R45/Fixed!M116</f>
        <v>299.64182291666668</v>
      </c>
      <c r="S48" s="522">
        <f>S45/Fixed!N116</f>
        <v>339.48051948051949</v>
      </c>
      <c r="T48" s="522">
        <f>T45/Fixed!O116</f>
        <v>404.05</v>
      </c>
      <c r="U48" s="522">
        <f>U45/Fixed!P116</f>
        <v>466.67157991254754</v>
      </c>
      <c r="V48" s="522">
        <f>V45/Fixed!Q116</f>
        <v>588.85572139303474</v>
      </c>
      <c r="W48" s="522">
        <f>W45/Fixed!R116</f>
        <v>730.34404963338977</v>
      </c>
      <c r="X48" s="522">
        <f>X45/Fixed!S116</f>
        <v>565.0273224043716</v>
      </c>
      <c r="Y48" s="522">
        <f>Y45/Fixed!T116</f>
        <v>478.51</v>
      </c>
      <c r="Z48" s="522">
        <f>Z45/Fixed!U116</f>
        <v>559.59076871292848</v>
      </c>
      <c r="AA48" s="522">
        <f>AA45/Fixed!V116</f>
        <v>556.47603665249585</v>
      </c>
      <c r="AB48" s="522">
        <f>AB45/Fixed!W116</f>
        <v>553.47027435461678</v>
      </c>
      <c r="AC48" s="522">
        <f>AC45/Fixed!X116</f>
        <v>544.97712436452014</v>
      </c>
      <c r="AD48" s="522">
        <f>AD45/Fixed!Y116</f>
        <v>530.01652735024493</v>
      </c>
      <c r="AE48" s="522">
        <f>AE45/Fixed!Z116</f>
        <v>517.35377883689455</v>
      </c>
      <c r="AF48" s="522">
        <f>AF45/Fixed!AA116</f>
        <v>504.76488378966809</v>
      </c>
      <c r="AG48" s="522">
        <f>AG45/Fixed!AB116</f>
        <v>498.55701843233413</v>
      </c>
      <c r="AH48" s="522">
        <f>AH45/Fixed!AC116</f>
        <v>492.41999476212817</v>
      </c>
      <c r="AI48" s="522">
        <f>AI45/Fixed!AD116</f>
        <v>480.03650984976798</v>
      </c>
      <c r="AJ48" s="535"/>
      <c r="AK48" s="267"/>
      <c r="AL48" s="267"/>
      <c r="AM48" s="267"/>
      <c r="AN48" s="267"/>
      <c r="AO48" s="267"/>
      <c r="AP48" s="267"/>
      <c r="AQ48" s="267"/>
      <c r="AR48" s="267"/>
    </row>
    <row r="49" spans="1:44" ht="15.75">
      <c r="A49" s="267"/>
      <c r="B49" s="546"/>
      <c r="C49" s="544"/>
      <c r="D49" s="544"/>
      <c r="E49" s="544"/>
      <c r="F49" s="544"/>
      <c r="G49" s="544"/>
      <c r="H49" s="544"/>
      <c r="I49" s="544"/>
      <c r="J49" s="544"/>
      <c r="K49" s="534"/>
      <c r="L49" s="534"/>
      <c r="M49" s="534"/>
      <c r="N49" s="547"/>
      <c r="O49" s="522"/>
      <c r="P49" s="534"/>
      <c r="Q49" s="527"/>
      <c r="R49" s="534"/>
      <c r="S49" s="534"/>
      <c r="T49" s="534"/>
      <c r="U49" s="534"/>
      <c r="V49" s="534"/>
      <c r="W49" s="534"/>
      <c r="X49" s="534"/>
      <c r="Y49" s="534"/>
      <c r="Z49" s="534"/>
      <c r="AA49" s="534"/>
      <c r="AB49" s="534"/>
      <c r="AC49" s="534"/>
      <c r="AD49" s="534"/>
      <c r="AE49" s="534"/>
      <c r="AF49" s="534"/>
      <c r="AG49" s="534"/>
      <c r="AH49" s="534"/>
      <c r="AI49" s="534"/>
      <c r="AJ49" s="535"/>
      <c r="AK49" s="267"/>
      <c r="AL49" s="267"/>
      <c r="AM49" s="267"/>
      <c r="AN49" s="267"/>
      <c r="AO49" s="267"/>
      <c r="AP49" s="267"/>
      <c r="AQ49" s="267"/>
      <c r="AR49" s="267"/>
    </row>
    <row r="50" spans="1:44" ht="15.75">
      <c r="A50" s="267"/>
      <c r="B50" s="520" t="s">
        <v>92</v>
      </c>
      <c r="C50" s="544"/>
      <c r="D50" s="544"/>
      <c r="E50" s="544"/>
      <c r="F50" s="544"/>
      <c r="G50" s="544"/>
      <c r="H50" s="544"/>
      <c r="I50" s="544"/>
      <c r="J50" s="544"/>
      <c r="K50" s="544"/>
      <c r="L50" s="544"/>
      <c r="M50" s="544"/>
      <c r="N50" s="544"/>
      <c r="O50" s="544"/>
      <c r="P50" s="544"/>
      <c r="Q50" s="544"/>
      <c r="R50" s="544"/>
      <c r="S50" s="544"/>
      <c r="T50" s="544"/>
      <c r="U50" s="544"/>
      <c r="V50" s="544"/>
      <c r="W50" s="544"/>
      <c r="X50" s="544"/>
      <c r="Y50" s="544"/>
      <c r="Z50" s="544"/>
      <c r="AA50" s="544"/>
      <c r="AB50" s="544"/>
      <c r="AC50" s="544"/>
      <c r="AD50" s="544"/>
      <c r="AE50" s="544"/>
      <c r="AF50" s="544"/>
      <c r="AG50" s="544"/>
      <c r="AH50" s="544"/>
      <c r="AI50" s="544"/>
      <c r="AJ50" s="267"/>
      <c r="AK50" s="267"/>
      <c r="AL50" s="267"/>
      <c r="AM50" s="267"/>
      <c r="AN50" s="267"/>
      <c r="AO50" s="267"/>
      <c r="AP50" s="267"/>
      <c r="AQ50" s="267"/>
      <c r="AR50" s="267"/>
    </row>
    <row r="51" spans="1:44" ht="15.75">
      <c r="A51" s="267"/>
      <c r="B51" s="521" t="s">
        <v>132</v>
      </c>
      <c r="C51" s="544"/>
      <c r="D51" s="544"/>
      <c r="E51" s="544"/>
      <c r="F51" s="544"/>
      <c r="G51" s="544"/>
      <c r="H51" s="544"/>
      <c r="I51" s="522">
        <f t="shared" ref="I51:AI51" si="29">I11-I43</f>
        <v>1452</v>
      </c>
      <c r="J51" s="522">
        <f t="shared" si="29"/>
        <v>1565</v>
      </c>
      <c r="K51" s="522">
        <f t="shared" si="29"/>
        <v>1587</v>
      </c>
      <c r="L51" s="522">
        <f t="shared" si="29"/>
        <v>1792</v>
      </c>
      <c r="M51" s="522">
        <f t="shared" si="29"/>
        <v>2356</v>
      </c>
      <c r="N51" s="522">
        <f t="shared" si="29"/>
        <v>2511</v>
      </c>
      <c r="O51" s="522">
        <f t="shared" si="29"/>
        <v>2078</v>
      </c>
      <c r="P51" s="522">
        <f t="shared" si="29"/>
        <v>2041</v>
      </c>
      <c r="Q51" s="522">
        <f t="shared" si="29"/>
        <v>3023</v>
      </c>
      <c r="R51" s="522">
        <f t="shared" si="29"/>
        <v>3594</v>
      </c>
      <c r="S51" s="522">
        <f t="shared" si="29"/>
        <v>3626</v>
      </c>
      <c r="T51" s="522">
        <f t="shared" si="29"/>
        <v>2956</v>
      </c>
      <c r="U51" s="522">
        <f t="shared" si="29"/>
        <v>2649.4269999999997</v>
      </c>
      <c r="V51" s="522">
        <f t="shared" si="29"/>
        <v>933.01800000000003</v>
      </c>
      <c r="W51" s="522">
        <f t="shared" si="29"/>
        <v>370.99300000000039</v>
      </c>
      <c r="X51" s="522">
        <f t="shared" si="29"/>
        <v>4289.8529999999992</v>
      </c>
      <c r="Y51" s="522">
        <f t="shared" si="29"/>
        <v>6748.6419999999998</v>
      </c>
      <c r="Z51" s="522">
        <f t="shared" si="29"/>
        <v>7600.6554673000028</v>
      </c>
      <c r="AA51" s="522">
        <f t="shared" si="29"/>
        <v>9035.0979620000053</v>
      </c>
      <c r="AB51" s="522">
        <f t="shared" si="29"/>
        <v>10434.048178706402</v>
      </c>
      <c r="AC51" s="522">
        <f t="shared" si="29"/>
        <v>11640.484999369328</v>
      </c>
      <c r="AD51" s="522">
        <f t="shared" si="29"/>
        <v>12808.826894838408</v>
      </c>
      <c r="AE51" s="522">
        <f t="shared" si="29"/>
        <v>13547.758373735154</v>
      </c>
      <c r="AF51" s="522">
        <f t="shared" si="29"/>
        <v>14313.075235453951</v>
      </c>
      <c r="AG51" s="522">
        <f t="shared" si="29"/>
        <v>14979.96140719966</v>
      </c>
      <c r="AH51" s="522">
        <f t="shared" si="29"/>
        <v>15670.291268702656</v>
      </c>
      <c r="AI51" s="522">
        <f t="shared" si="29"/>
        <v>16516.101981944008</v>
      </c>
      <c r="AJ51" s="267"/>
      <c r="AK51" s="267"/>
      <c r="AL51" s="267"/>
      <c r="AM51" s="267"/>
      <c r="AN51" s="267"/>
      <c r="AO51" s="267"/>
      <c r="AP51" s="267"/>
      <c r="AQ51" s="267"/>
      <c r="AR51" s="267"/>
    </row>
    <row r="52" spans="1:44" ht="15.75">
      <c r="A52" s="267"/>
      <c r="B52" s="858" t="s">
        <v>150</v>
      </c>
      <c r="C52" s="838"/>
      <c r="D52" s="838"/>
      <c r="E52" s="838"/>
      <c r="F52" s="838"/>
      <c r="G52" s="838"/>
      <c r="H52" s="838"/>
      <c r="I52" s="860">
        <f t="shared" ref="I52:AI52" si="30">I12-I44</f>
        <v>0</v>
      </c>
      <c r="J52" s="860">
        <f t="shared" si="30"/>
        <v>0</v>
      </c>
      <c r="K52" s="860">
        <f t="shared" si="30"/>
        <v>0</v>
      </c>
      <c r="L52" s="860">
        <f t="shared" si="30"/>
        <v>0</v>
      </c>
      <c r="M52" s="860">
        <f t="shared" si="30"/>
        <v>0</v>
      </c>
      <c r="N52" s="860">
        <f t="shared" si="30"/>
        <v>0</v>
      </c>
      <c r="O52" s="860">
        <f t="shared" si="30"/>
        <v>0</v>
      </c>
      <c r="P52" s="860">
        <f t="shared" si="30"/>
        <v>0</v>
      </c>
      <c r="Q52" s="860">
        <f t="shared" si="30"/>
        <v>0</v>
      </c>
      <c r="R52" s="860">
        <f t="shared" si="30"/>
        <v>0</v>
      </c>
      <c r="S52" s="860">
        <f t="shared" si="30"/>
        <v>0</v>
      </c>
      <c r="T52" s="860">
        <f t="shared" si="30"/>
        <v>0</v>
      </c>
      <c r="U52" s="860">
        <f t="shared" si="30"/>
        <v>0</v>
      </c>
      <c r="V52" s="860">
        <f t="shared" si="30"/>
        <v>0</v>
      </c>
      <c r="W52" s="860">
        <f t="shared" si="30"/>
        <v>0</v>
      </c>
      <c r="X52" s="860">
        <f t="shared" si="30"/>
        <v>0</v>
      </c>
      <c r="Y52" s="860">
        <f t="shared" si="30"/>
        <v>0</v>
      </c>
      <c r="Z52" s="860">
        <f t="shared" si="30"/>
        <v>0</v>
      </c>
      <c r="AA52" s="860">
        <f t="shared" si="30"/>
        <v>0</v>
      </c>
      <c r="AB52" s="860">
        <f t="shared" si="30"/>
        <v>0</v>
      </c>
      <c r="AC52" s="860">
        <f t="shared" si="30"/>
        <v>0</v>
      </c>
      <c r="AD52" s="860">
        <f t="shared" si="30"/>
        <v>0</v>
      </c>
      <c r="AE52" s="860">
        <f t="shared" si="30"/>
        <v>0</v>
      </c>
      <c r="AF52" s="860">
        <f t="shared" si="30"/>
        <v>0</v>
      </c>
      <c r="AG52" s="860">
        <f t="shared" si="30"/>
        <v>0</v>
      </c>
      <c r="AH52" s="860">
        <f t="shared" si="30"/>
        <v>0</v>
      </c>
      <c r="AI52" s="860">
        <f t="shared" si="30"/>
        <v>0</v>
      </c>
      <c r="AJ52" s="267"/>
      <c r="AK52" s="267"/>
      <c r="AL52" s="267"/>
      <c r="AM52" s="267"/>
      <c r="AN52" s="267"/>
      <c r="AO52" s="267"/>
      <c r="AP52" s="267"/>
      <c r="AQ52" s="267"/>
      <c r="AR52" s="267"/>
    </row>
    <row r="53" spans="1:44" ht="15.75">
      <c r="A53" s="267"/>
      <c r="B53" s="521" t="s">
        <v>39</v>
      </c>
      <c r="C53" s="544"/>
      <c r="D53" s="544"/>
      <c r="E53" s="544"/>
      <c r="F53" s="544"/>
      <c r="G53" s="544"/>
      <c r="H53" s="544"/>
      <c r="I53" s="522">
        <f>I51+I52</f>
        <v>1452</v>
      </c>
      <c r="J53" s="522">
        <f>J51+J52</f>
        <v>1565</v>
      </c>
      <c r="K53" s="522">
        <f t="shared" ref="K53:AI53" si="31">K13-K45</f>
        <v>1587</v>
      </c>
      <c r="L53" s="522">
        <f t="shared" si="31"/>
        <v>1792</v>
      </c>
      <c r="M53" s="522">
        <f t="shared" si="31"/>
        <v>2356</v>
      </c>
      <c r="N53" s="522">
        <f t="shared" si="31"/>
        <v>2511</v>
      </c>
      <c r="O53" s="522">
        <f t="shared" si="31"/>
        <v>2078</v>
      </c>
      <c r="P53" s="522">
        <f t="shared" si="31"/>
        <v>2041</v>
      </c>
      <c r="Q53" s="522">
        <f t="shared" si="31"/>
        <v>3023</v>
      </c>
      <c r="R53" s="522">
        <f t="shared" si="31"/>
        <v>3593.8770000000004</v>
      </c>
      <c r="S53" s="522">
        <f t="shared" si="31"/>
        <v>3626</v>
      </c>
      <c r="T53" s="522">
        <f t="shared" si="31"/>
        <v>2956</v>
      </c>
      <c r="U53" s="522">
        <f t="shared" si="31"/>
        <v>2649.4269999999997</v>
      </c>
      <c r="V53" s="522">
        <f t="shared" si="31"/>
        <v>933.01800000000003</v>
      </c>
      <c r="W53" s="522">
        <f t="shared" si="31"/>
        <v>370.99300000000039</v>
      </c>
      <c r="X53" s="522">
        <f t="shared" si="31"/>
        <v>4289.8529999999992</v>
      </c>
      <c r="Y53" s="522">
        <f t="shared" si="31"/>
        <v>6748.6419999999998</v>
      </c>
      <c r="Z53" s="522">
        <f t="shared" si="31"/>
        <v>7600.6554673000028</v>
      </c>
      <c r="AA53" s="522">
        <f t="shared" si="31"/>
        <v>9035.0979620000053</v>
      </c>
      <c r="AB53" s="522">
        <f t="shared" si="31"/>
        <v>10434.048178706402</v>
      </c>
      <c r="AC53" s="522">
        <f t="shared" si="31"/>
        <v>11640.484999369328</v>
      </c>
      <c r="AD53" s="522">
        <f t="shared" si="31"/>
        <v>12808.826894838408</v>
      </c>
      <c r="AE53" s="522">
        <f t="shared" si="31"/>
        <v>13547.758373735154</v>
      </c>
      <c r="AF53" s="522">
        <f t="shared" si="31"/>
        <v>14313.075235453951</v>
      </c>
      <c r="AG53" s="522">
        <f t="shared" si="31"/>
        <v>14979.96140719966</v>
      </c>
      <c r="AH53" s="522">
        <f t="shared" si="31"/>
        <v>15670.291268702656</v>
      </c>
      <c r="AI53" s="522">
        <f t="shared" si="31"/>
        <v>16516.101981944008</v>
      </c>
      <c r="AJ53" s="338">
        <f>U53/S53-1</f>
        <v>-0.26932515168229465</v>
      </c>
      <c r="AK53" s="267"/>
      <c r="AL53" s="267"/>
      <c r="AM53" s="267"/>
      <c r="AN53" s="267"/>
      <c r="AO53" s="267"/>
      <c r="AP53" s="267"/>
      <c r="AQ53" s="267"/>
      <c r="AR53" s="267"/>
    </row>
    <row r="54" spans="1:44" ht="15.75">
      <c r="A54" s="267"/>
      <c r="B54" s="521" t="s">
        <v>148</v>
      </c>
      <c r="C54" s="544"/>
      <c r="D54" s="544"/>
      <c r="E54" s="544"/>
      <c r="F54" s="544"/>
      <c r="G54" s="544"/>
      <c r="H54" s="544"/>
      <c r="I54" s="534">
        <f t="shared" ref="I54:AI54" si="32">I53/I8</f>
        <v>0.21058738216098621</v>
      </c>
      <c r="J54" s="534">
        <f t="shared" si="32"/>
        <v>0.20841656678652284</v>
      </c>
      <c r="K54" s="534">
        <f t="shared" si="32"/>
        <v>0.19238695599466601</v>
      </c>
      <c r="L54" s="534">
        <f t="shared" si="32"/>
        <v>0.19962125431658684</v>
      </c>
      <c r="M54" s="534">
        <f t="shared" si="32"/>
        <v>0.23400874056416368</v>
      </c>
      <c r="N54" s="534">
        <f t="shared" si="32"/>
        <v>0.21882352941176469</v>
      </c>
      <c r="O54" s="534">
        <f t="shared" si="32"/>
        <v>0.14274919282819262</v>
      </c>
      <c r="P54" s="534">
        <f t="shared" si="32"/>
        <v>0.12036327180515421</v>
      </c>
      <c r="Q54" s="534">
        <f t="shared" si="32"/>
        <v>0.17487129056516457</v>
      </c>
      <c r="R54" s="534">
        <f t="shared" si="32"/>
        <v>0.18490826301708171</v>
      </c>
      <c r="S54" s="534">
        <f t="shared" si="32"/>
        <v>0.16783928902055176</v>
      </c>
      <c r="T54" s="534">
        <f t="shared" si="32"/>
        <v>0.13206451324666041</v>
      </c>
      <c r="U54" s="534">
        <f t="shared" si="32"/>
        <v>0.10755163595031256</v>
      </c>
      <c r="V54" s="534">
        <f t="shared" si="32"/>
        <v>3.4358274025332938E-2</v>
      </c>
      <c r="W54" s="534">
        <f t="shared" si="32"/>
        <v>1.2420029902372049E-2</v>
      </c>
      <c r="X54" s="534">
        <f t="shared" si="32"/>
        <v>0.13062552465149496</v>
      </c>
      <c r="Y54" s="534">
        <f t="shared" si="32"/>
        <v>0.1904797414373417</v>
      </c>
      <c r="Z54" s="534">
        <f t="shared" si="32"/>
        <v>0.19750000000000004</v>
      </c>
      <c r="AA54" s="534">
        <f t="shared" si="32"/>
        <v>0.22000000000000006</v>
      </c>
      <c r="AB54" s="534">
        <f t="shared" si="32"/>
        <v>0.24</v>
      </c>
      <c r="AC54" s="534">
        <f t="shared" si="32"/>
        <v>0.25499999999999995</v>
      </c>
      <c r="AD54" s="534">
        <f t="shared" si="32"/>
        <v>0.27</v>
      </c>
      <c r="AE54" s="534">
        <f t="shared" si="32"/>
        <v>0.28000000000000003</v>
      </c>
      <c r="AF54" s="534">
        <f t="shared" si="32"/>
        <v>0.29000000000000004</v>
      </c>
      <c r="AG54" s="534">
        <f t="shared" si="32"/>
        <v>0.29749999999999999</v>
      </c>
      <c r="AH54" s="534">
        <f t="shared" si="32"/>
        <v>0.30499999999999999</v>
      </c>
      <c r="AI54" s="534">
        <f t="shared" si="32"/>
        <v>0.315</v>
      </c>
      <c r="AJ54" s="535"/>
      <c r="AK54" s="267"/>
      <c r="AL54" s="267"/>
      <c r="AM54" s="267"/>
      <c r="AN54" s="267"/>
      <c r="AO54" s="267"/>
      <c r="AP54" s="267"/>
      <c r="AQ54" s="267"/>
      <c r="AR54" s="267"/>
    </row>
    <row r="55" spans="1:44" ht="15.75">
      <c r="A55" s="267"/>
      <c r="B55" s="521"/>
      <c r="C55" s="548"/>
      <c r="D55" s="548"/>
      <c r="E55" s="548"/>
      <c r="F55" s="548"/>
      <c r="G55" s="548"/>
      <c r="H55" s="548"/>
      <c r="I55" s="548"/>
      <c r="J55" s="548"/>
      <c r="K55" s="548"/>
      <c r="L55" s="548"/>
      <c r="M55" s="548"/>
      <c r="N55" s="548"/>
      <c r="O55" s="548"/>
      <c r="P55" s="548"/>
      <c r="Q55" s="548"/>
      <c r="R55" s="527"/>
      <c r="S55" s="548"/>
      <c r="T55" s="548"/>
      <c r="U55" s="548"/>
      <c r="V55" s="548"/>
      <c r="W55" s="548"/>
      <c r="X55" s="548"/>
      <c r="Y55" s="548"/>
      <c r="Z55" s="548"/>
      <c r="AA55" s="548"/>
      <c r="AB55" s="548"/>
      <c r="AC55" s="548"/>
      <c r="AD55" s="548"/>
      <c r="AE55" s="548"/>
      <c r="AF55" s="548"/>
      <c r="AG55" s="548"/>
      <c r="AH55" s="548"/>
      <c r="AI55" s="548"/>
      <c r="AJ55" s="267"/>
      <c r="AK55" s="267"/>
      <c r="AL55" s="267"/>
      <c r="AM55" s="267"/>
      <c r="AN55" s="267"/>
      <c r="AO55" s="267"/>
      <c r="AP55" s="267"/>
      <c r="AQ55" s="267"/>
      <c r="AR55" s="267"/>
    </row>
    <row r="56" spans="1:44" ht="15.75">
      <c r="A56" s="267"/>
      <c r="B56" s="521"/>
      <c r="C56" s="548"/>
      <c r="D56" s="548"/>
      <c r="E56" s="548"/>
      <c r="F56" s="548"/>
      <c r="G56" s="548"/>
      <c r="H56" s="548"/>
      <c r="I56" s="548"/>
      <c r="J56" s="548"/>
      <c r="K56" s="548"/>
      <c r="L56" s="548"/>
      <c r="M56" s="548"/>
      <c r="N56" s="548"/>
      <c r="O56" s="548"/>
      <c r="P56" s="548"/>
      <c r="Q56" s="548"/>
      <c r="R56" s="527"/>
      <c r="S56" s="548"/>
      <c r="T56" s="548"/>
      <c r="U56" s="548"/>
      <c r="V56" s="548"/>
      <c r="W56" s="548"/>
      <c r="X56" s="548"/>
      <c r="Y56" s="548"/>
      <c r="Z56" s="548"/>
      <c r="AA56" s="548"/>
      <c r="AB56" s="548"/>
      <c r="AC56" s="548"/>
      <c r="AD56" s="548"/>
      <c r="AE56" s="548"/>
      <c r="AF56" s="548"/>
      <c r="AG56" s="548"/>
      <c r="AH56" s="548"/>
      <c r="AI56" s="548"/>
      <c r="AJ56" s="267"/>
      <c r="AK56" s="267"/>
      <c r="AL56" s="267"/>
      <c r="AM56" s="267"/>
      <c r="AN56" s="267"/>
      <c r="AO56" s="267"/>
      <c r="AP56" s="267"/>
      <c r="AQ56" s="267"/>
      <c r="AR56" s="267"/>
    </row>
    <row r="57" spans="1:44" ht="15.75">
      <c r="A57" s="267"/>
      <c r="B57" s="521"/>
      <c r="C57" s="548"/>
      <c r="D57" s="548"/>
      <c r="E57" s="548"/>
      <c r="F57" s="548"/>
      <c r="G57" s="548"/>
      <c r="H57" s="548"/>
      <c r="I57" s="548"/>
      <c r="J57" s="548"/>
      <c r="K57" s="548"/>
      <c r="L57" s="548"/>
      <c r="M57" s="548"/>
      <c r="N57" s="548"/>
      <c r="O57" s="548"/>
      <c r="P57" s="548"/>
      <c r="Q57" s="548"/>
      <c r="R57" s="527"/>
      <c r="S57" s="548"/>
      <c r="T57" s="548"/>
      <c r="U57" s="548"/>
      <c r="V57" s="548"/>
      <c r="W57" s="548"/>
      <c r="X57" s="548"/>
      <c r="Y57" s="548"/>
      <c r="Z57" s="548"/>
      <c r="AA57" s="548"/>
      <c r="AB57" s="548"/>
      <c r="AC57" s="548"/>
      <c r="AD57" s="548"/>
      <c r="AE57" s="548"/>
      <c r="AF57" s="548"/>
      <c r="AG57" s="548"/>
      <c r="AH57" s="548"/>
      <c r="AI57" s="548"/>
      <c r="AJ57" s="267"/>
      <c r="AK57" s="267"/>
      <c r="AL57" s="267"/>
      <c r="AM57" s="267"/>
      <c r="AN57" s="267"/>
      <c r="AO57" s="267"/>
      <c r="AP57" s="267"/>
      <c r="AQ57" s="267"/>
      <c r="AR57" s="267"/>
    </row>
    <row r="58" spans="1:44" ht="15.75">
      <c r="A58" s="267"/>
      <c r="B58" s="519" t="s">
        <v>151</v>
      </c>
      <c r="C58" s="519">
        <v>2003</v>
      </c>
      <c r="D58" s="519">
        <f t="shared" ref="D58:AI58" si="33">C58+1</f>
        <v>2004</v>
      </c>
      <c r="E58" s="519">
        <f t="shared" si="33"/>
        <v>2005</v>
      </c>
      <c r="F58" s="519">
        <f t="shared" si="33"/>
        <v>2006</v>
      </c>
      <c r="G58" s="519">
        <f t="shared" si="33"/>
        <v>2007</v>
      </c>
      <c r="H58" s="519">
        <f t="shared" si="33"/>
        <v>2008</v>
      </c>
      <c r="I58" s="519">
        <f t="shared" si="33"/>
        <v>2009</v>
      </c>
      <c r="J58" s="519">
        <f t="shared" si="33"/>
        <v>2010</v>
      </c>
      <c r="K58" s="519">
        <f t="shared" si="33"/>
        <v>2011</v>
      </c>
      <c r="L58" s="519">
        <f t="shared" si="33"/>
        <v>2012</v>
      </c>
      <c r="M58" s="519">
        <f t="shared" si="33"/>
        <v>2013</v>
      </c>
      <c r="N58" s="519">
        <f t="shared" si="33"/>
        <v>2014</v>
      </c>
      <c r="O58" s="519">
        <f t="shared" si="33"/>
        <v>2015</v>
      </c>
      <c r="P58" s="519">
        <f t="shared" si="33"/>
        <v>2016</v>
      </c>
      <c r="Q58" s="519">
        <f t="shared" si="33"/>
        <v>2017</v>
      </c>
      <c r="R58" s="519">
        <f t="shared" si="33"/>
        <v>2018</v>
      </c>
      <c r="S58" s="519">
        <f t="shared" si="33"/>
        <v>2019</v>
      </c>
      <c r="T58" s="519">
        <f t="shared" si="33"/>
        <v>2020</v>
      </c>
      <c r="U58" s="519">
        <f t="shared" si="33"/>
        <v>2021</v>
      </c>
      <c r="V58" s="519">
        <f t="shared" si="33"/>
        <v>2022</v>
      </c>
      <c r="W58" s="519">
        <f t="shared" si="33"/>
        <v>2023</v>
      </c>
      <c r="X58" s="519">
        <f t="shared" si="33"/>
        <v>2024</v>
      </c>
      <c r="Y58" s="519">
        <f t="shared" si="33"/>
        <v>2025</v>
      </c>
      <c r="Z58" s="519">
        <f t="shared" si="33"/>
        <v>2026</v>
      </c>
      <c r="AA58" s="519">
        <f t="shared" si="33"/>
        <v>2027</v>
      </c>
      <c r="AB58" s="519">
        <f t="shared" si="33"/>
        <v>2028</v>
      </c>
      <c r="AC58" s="519">
        <f t="shared" si="33"/>
        <v>2029</v>
      </c>
      <c r="AD58" s="519">
        <f t="shared" si="33"/>
        <v>2030</v>
      </c>
      <c r="AE58" s="519">
        <f t="shared" si="33"/>
        <v>2031</v>
      </c>
      <c r="AF58" s="519">
        <f t="shared" si="33"/>
        <v>2032</v>
      </c>
      <c r="AG58" s="519">
        <f t="shared" si="33"/>
        <v>2033</v>
      </c>
      <c r="AH58" s="519">
        <f t="shared" si="33"/>
        <v>2034</v>
      </c>
      <c r="AI58" s="519">
        <f t="shared" si="33"/>
        <v>2035</v>
      </c>
      <c r="AJ58" s="267"/>
      <c r="AK58" s="267"/>
      <c r="AL58" s="267"/>
      <c r="AM58" s="267"/>
      <c r="AN58" s="267"/>
      <c r="AO58" s="267"/>
      <c r="AP58" s="267"/>
      <c r="AQ58" s="267"/>
      <c r="AR58" s="267"/>
    </row>
    <row r="59" spans="1:44" ht="15.75">
      <c r="A59" s="267"/>
      <c r="B59" s="521"/>
      <c r="C59" s="520"/>
      <c r="D59" s="520"/>
      <c r="E59" s="520"/>
      <c r="F59" s="520"/>
      <c r="G59" s="520"/>
      <c r="H59" s="520"/>
      <c r="I59" s="520"/>
      <c r="J59" s="520"/>
      <c r="K59" s="520"/>
      <c r="L59" s="520"/>
      <c r="M59" s="520"/>
      <c r="N59" s="520"/>
      <c r="O59" s="520"/>
      <c r="P59" s="520"/>
      <c r="Q59" s="520"/>
      <c r="R59" s="520"/>
      <c r="S59" s="520"/>
      <c r="T59" s="520"/>
      <c r="U59" s="520"/>
      <c r="V59" s="520"/>
      <c r="W59" s="520"/>
      <c r="X59" s="520"/>
      <c r="Y59" s="520"/>
      <c r="Z59" s="520"/>
      <c r="AA59" s="520"/>
      <c r="AB59" s="520"/>
      <c r="AC59" s="520"/>
      <c r="AD59" s="520"/>
      <c r="AE59" s="520"/>
      <c r="AF59" s="520"/>
      <c r="AG59" s="520"/>
      <c r="AH59" s="520"/>
      <c r="AI59" s="520"/>
      <c r="AJ59" s="267"/>
      <c r="AK59" s="267"/>
      <c r="AL59" s="267"/>
      <c r="AM59" s="267"/>
      <c r="AN59" s="267"/>
      <c r="AO59" s="267"/>
      <c r="AP59" s="267"/>
      <c r="AQ59" s="267"/>
      <c r="AR59" s="267"/>
    </row>
    <row r="60" spans="1:44" ht="15.75">
      <c r="A60" s="267"/>
      <c r="B60" s="521" t="s">
        <v>152</v>
      </c>
      <c r="C60" s="522"/>
      <c r="D60" s="522"/>
      <c r="E60" s="522"/>
      <c r="F60" s="522"/>
      <c r="G60" s="522"/>
      <c r="H60" s="522"/>
      <c r="I60" s="522"/>
      <c r="J60" s="522"/>
      <c r="K60" s="522"/>
      <c r="L60" s="522">
        <f t="shared" ref="L60:AI60" si="34">L203</f>
        <v>2493</v>
      </c>
      <c r="M60" s="522">
        <f t="shared" si="34"/>
        <v>2606.6999999999998</v>
      </c>
      <c r="N60" s="522">
        <f t="shared" si="34"/>
        <v>3998</v>
      </c>
      <c r="O60" s="522">
        <f t="shared" si="34"/>
        <v>2803</v>
      </c>
      <c r="P60" s="522">
        <f t="shared" si="34"/>
        <v>1154</v>
      </c>
      <c r="Q60" s="522">
        <f t="shared" si="34"/>
        <v>3117</v>
      </c>
      <c r="R60" s="522">
        <f t="shared" si="34"/>
        <v>3331</v>
      </c>
      <c r="S60" s="522">
        <f t="shared" si="34"/>
        <v>2205</v>
      </c>
      <c r="T60" s="522">
        <f t="shared" si="34"/>
        <v>4259</v>
      </c>
      <c r="U60" s="522">
        <f t="shared" si="34"/>
        <v>3703.43</v>
      </c>
      <c r="V60" s="522">
        <f t="shared" si="34"/>
        <v>1384.0360000000001</v>
      </c>
      <c r="W60" s="522">
        <f t="shared" si="34"/>
        <v>1538.769</v>
      </c>
      <c r="X60" s="522">
        <f t="shared" si="34"/>
        <v>4227.5039999999999</v>
      </c>
      <c r="Y60" s="522">
        <f t="shared" si="34"/>
        <v>4944.0309999999999</v>
      </c>
      <c r="Z60" s="522">
        <f t="shared" si="34"/>
        <v>5387.5070144239544</v>
      </c>
      <c r="AA60" s="522">
        <f t="shared" si="34"/>
        <v>6105.7420431115497</v>
      </c>
      <c r="AB60" s="522">
        <f t="shared" si="34"/>
        <v>7248.8657425128331</v>
      </c>
      <c r="AC60" s="522">
        <f t="shared" si="34"/>
        <v>8744.0600360337085</v>
      </c>
      <c r="AD60" s="522">
        <f t="shared" si="34"/>
        <v>10638.61347349079</v>
      </c>
      <c r="AE60" s="522">
        <f t="shared" si="34"/>
        <v>12629.058933006163</v>
      </c>
      <c r="AF60" s="522">
        <f t="shared" si="34"/>
        <v>14774.536971907002</v>
      </c>
      <c r="AG60" s="522">
        <f t="shared" si="34"/>
        <v>16931.857613143628</v>
      </c>
      <c r="AH60" s="522">
        <f t="shared" si="34"/>
        <v>19099.240528300284</v>
      </c>
      <c r="AI60" s="522">
        <f t="shared" si="34"/>
        <v>21441.039650868926</v>
      </c>
      <c r="AJ60" s="267"/>
      <c r="AK60" s="267"/>
      <c r="AL60" s="267"/>
      <c r="AM60" s="267"/>
      <c r="AN60" s="267"/>
      <c r="AO60" s="267"/>
      <c r="AP60" s="267"/>
      <c r="AQ60" s="267"/>
      <c r="AR60" s="267"/>
    </row>
    <row r="61" spans="1:44" ht="15.75">
      <c r="A61" s="267"/>
      <c r="B61" s="521" t="s">
        <v>153</v>
      </c>
      <c r="C61" s="522"/>
      <c r="D61" s="522"/>
      <c r="E61" s="522"/>
      <c r="F61" s="522"/>
      <c r="G61" s="522"/>
      <c r="H61" s="522"/>
      <c r="I61" s="522"/>
      <c r="J61" s="522"/>
      <c r="K61" s="522"/>
      <c r="L61" s="522">
        <f t="shared" ref="L61:AI61" si="35">L219</f>
        <v>0</v>
      </c>
      <c r="M61" s="522">
        <f t="shared" si="35"/>
        <v>0</v>
      </c>
      <c r="N61" s="522">
        <f t="shared" si="35"/>
        <v>0</v>
      </c>
      <c r="O61" s="522">
        <f t="shared" si="35"/>
        <v>0</v>
      </c>
      <c r="P61" s="522">
        <f t="shared" si="35"/>
        <v>0</v>
      </c>
      <c r="Q61" s="522">
        <f t="shared" si="35"/>
        <v>0</v>
      </c>
      <c r="R61" s="522">
        <f t="shared" si="35"/>
        <v>0</v>
      </c>
      <c r="S61" s="522">
        <f t="shared" si="35"/>
        <v>0</v>
      </c>
      <c r="T61" s="522">
        <f t="shared" si="35"/>
        <v>0</v>
      </c>
      <c r="U61" s="522">
        <f t="shared" si="35"/>
        <v>430.80900000000003</v>
      </c>
      <c r="V61" s="522">
        <f t="shared" si="35"/>
        <v>651.93600000000004</v>
      </c>
      <c r="W61" s="522">
        <f t="shared" si="35"/>
        <v>768.37300000000005</v>
      </c>
      <c r="X61" s="522">
        <f t="shared" si="35"/>
        <v>632.96799999999996</v>
      </c>
      <c r="Y61" s="522">
        <f t="shared" si="35"/>
        <v>635.54200000000003</v>
      </c>
      <c r="Z61" s="522">
        <f t="shared" si="35"/>
        <v>589.10271124477163</v>
      </c>
      <c r="AA61" s="522">
        <f t="shared" si="35"/>
        <v>635.54200000000003</v>
      </c>
      <c r="AB61" s="522">
        <f t="shared" si="35"/>
        <v>690.33613307763926</v>
      </c>
      <c r="AC61" s="522">
        <f t="shared" si="35"/>
        <v>736.6935096106688</v>
      </c>
      <c r="AD61" s="522">
        <f t="shared" si="35"/>
        <v>779.86288997654617</v>
      </c>
      <c r="AE61" s="522">
        <f t="shared" si="35"/>
        <v>818.85603447537335</v>
      </c>
      <c r="AF61" s="522">
        <f t="shared" si="35"/>
        <v>850.9856780274074</v>
      </c>
      <c r="AG61" s="522">
        <f t="shared" si="35"/>
        <v>867.93273743988823</v>
      </c>
      <c r="AH61" s="522">
        <f t="shared" si="35"/>
        <v>885.34311645565981</v>
      </c>
      <c r="AI61" s="522">
        <f t="shared" si="35"/>
        <v>903.23422055437663</v>
      </c>
      <c r="AJ61" s="267"/>
      <c r="AK61" s="267"/>
      <c r="AL61" s="267"/>
      <c r="AM61" s="267"/>
      <c r="AN61" s="267"/>
      <c r="AO61" s="267"/>
      <c r="AP61" s="267"/>
      <c r="AQ61" s="267"/>
      <c r="AR61" s="267"/>
    </row>
    <row r="62" spans="1:44" ht="15.75">
      <c r="A62" s="267"/>
      <c r="B62" s="521" t="s">
        <v>154</v>
      </c>
      <c r="C62" s="522"/>
      <c r="D62" s="522"/>
      <c r="E62" s="522"/>
      <c r="F62" s="522"/>
      <c r="G62" s="522"/>
      <c r="H62" s="522"/>
      <c r="I62" s="522"/>
      <c r="J62" s="522"/>
      <c r="K62" s="522"/>
      <c r="L62" s="522">
        <f t="shared" ref="L62:AI62" si="36">L222</f>
        <v>48</v>
      </c>
      <c r="M62" s="522">
        <f t="shared" si="36"/>
        <v>890</v>
      </c>
      <c r="N62" s="522">
        <f t="shared" si="36"/>
        <v>860</v>
      </c>
      <c r="O62" s="522">
        <f t="shared" si="36"/>
        <v>1714</v>
      </c>
      <c r="P62" s="522">
        <f t="shared" si="36"/>
        <v>2309</v>
      </c>
      <c r="Q62" s="522">
        <f t="shared" si="36"/>
        <v>1551</v>
      </c>
      <c r="R62" s="522">
        <f t="shared" si="36"/>
        <v>1949</v>
      </c>
      <c r="S62" s="522">
        <f t="shared" si="36"/>
        <v>1995</v>
      </c>
      <c r="T62" s="522">
        <f t="shared" si="36"/>
        <v>3650</v>
      </c>
      <c r="U62" s="522">
        <f t="shared" si="36"/>
        <v>3277</v>
      </c>
      <c r="V62" s="522">
        <f t="shared" si="36"/>
        <v>3588.6289999999999</v>
      </c>
      <c r="W62" s="522">
        <f t="shared" si="36"/>
        <v>3216.3110000000001</v>
      </c>
      <c r="X62" s="522">
        <f t="shared" si="36"/>
        <v>2972.1019999999999</v>
      </c>
      <c r="Y62" s="522">
        <f t="shared" si="36"/>
        <v>3114.3229999999999</v>
      </c>
      <c r="Z62" s="522">
        <f t="shared" si="36"/>
        <v>2886.7582677336054</v>
      </c>
      <c r="AA62" s="522">
        <f t="shared" si="36"/>
        <v>3114.3229999999999</v>
      </c>
      <c r="AB62" s="522">
        <f t="shared" si="36"/>
        <v>3382.8286674598257</v>
      </c>
      <c r="AC62" s="522">
        <f t="shared" si="36"/>
        <v>3609.9920082877711</v>
      </c>
      <c r="AD62" s="522">
        <f t="shared" si="36"/>
        <v>3821.5333291905599</v>
      </c>
      <c r="AE62" s="522">
        <f t="shared" si="36"/>
        <v>4012.6099956500875</v>
      </c>
      <c r="AF62" s="522">
        <f t="shared" si="36"/>
        <v>4170.0537018031055</v>
      </c>
      <c r="AG62" s="522">
        <f t="shared" si="36"/>
        <v>4253.0987513996006</v>
      </c>
      <c r="AH62" s="522">
        <f t="shared" si="36"/>
        <v>4338.4141889435159</v>
      </c>
      <c r="AI62" s="522">
        <f t="shared" si="36"/>
        <v>4426.0853058642351</v>
      </c>
      <c r="AJ62" s="267"/>
      <c r="AK62" s="267"/>
      <c r="AL62" s="267"/>
      <c r="AM62" s="267"/>
      <c r="AN62" s="267"/>
      <c r="AO62" s="267"/>
      <c r="AP62" s="267"/>
      <c r="AQ62" s="267"/>
      <c r="AR62" s="267"/>
    </row>
    <row r="63" spans="1:44" ht="15.75">
      <c r="A63" s="267"/>
      <c r="B63" s="521" t="s">
        <v>155</v>
      </c>
      <c r="C63" s="860"/>
      <c r="D63" s="860"/>
      <c r="E63" s="860"/>
      <c r="F63" s="860"/>
      <c r="G63" s="860"/>
      <c r="H63" s="860"/>
      <c r="I63" s="860"/>
      <c r="J63" s="860"/>
      <c r="K63" s="860"/>
      <c r="L63" s="860">
        <f t="shared" ref="L63:AI63" si="37">L225</f>
        <v>895</v>
      </c>
      <c r="M63" s="860">
        <f t="shared" si="37"/>
        <v>422.30000000000018</v>
      </c>
      <c r="N63" s="860">
        <f t="shared" si="37"/>
        <v>709</v>
      </c>
      <c r="O63" s="860">
        <f t="shared" si="37"/>
        <v>1548</v>
      </c>
      <c r="P63" s="860">
        <f t="shared" si="37"/>
        <v>1632</v>
      </c>
      <c r="Q63" s="860">
        <f t="shared" si="37"/>
        <v>1318</v>
      </c>
      <c r="R63" s="860">
        <f t="shared" si="37"/>
        <v>895</v>
      </c>
      <c r="S63" s="860">
        <f t="shared" si="37"/>
        <v>1465</v>
      </c>
      <c r="T63" s="860">
        <f t="shared" si="37"/>
        <v>1197</v>
      </c>
      <c r="U63" s="860">
        <f t="shared" si="37"/>
        <v>1260.7609999999995</v>
      </c>
      <c r="V63" s="860">
        <f t="shared" si="37"/>
        <v>1671.501</v>
      </c>
      <c r="W63" s="860">
        <f t="shared" si="37"/>
        <v>1665.374</v>
      </c>
      <c r="X63" s="860">
        <f t="shared" si="37"/>
        <v>1617.2719999999999</v>
      </c>
      <c r="Y63" s="860">
        <f t="shared" si="37"/>
        <v>1746.4670000000001</v>
      </c>
      <c r="Z63" s="860">
        <f t="shared" si="37"/>
        <v>1618.8520110386453</v>
      </c>
      <c r="AA63" s="860">
        <f t="shared" si="37"/>
        <v>1746.4670000000001</v>
      </c>
      <c r="AB63" s="860">
        <f t="shared" si="37"/>
        <v>1897.0410693985691</v>
      </c>
      <c r="AC63" s="860">
        <f t="shared" si="37"/>
        <v>2024.4309638847094</v>
      </c>
      <c r="AD63" s="860">
        <f t="shared" si="37"/>
        <v>2143.0602570226179</v>
      </c>
      <c r="AE63" s="860">
        <f t="shared" si="37"/>
        <v>2250.2132698737487</v>
      </c>
      <c r="AF63" s="860">
        <f t="shared" si="37"/>
        <v>2338.5054082145507</v>
      </c>
      <c r="AG63" s="860">
        <f t="shared" si="37"/>
        <v>2385.0758630561463</v>
      </c>
      <c r="AH63" s="860">
        <f t="shared" si="37"/>
        <v>2432.9195184062846</v>
      </c>
      <c r="AI63" s="860">
        <f t="shared" si="37"/>
        <v>2482.0842044568894</v>
      </c>
      <c r="AJ63" s="267"/>
      <c r="AK63" s="267"/>
      <c r="AL63" s="267"/>
      <c r="AM63" s="267"/>
      <c r="AN63" s="267"/>
      <c r="AO63" s="267"/>
      <c r="AP63" s="267"/>
      <c r="AQ63" s="267"/>
      <c r="AR63" s="267"/>
    </row>
    <row r="64" spans="1:44" ht="15.75">
      <c r="A64" s="267"/>
      <c r="B64" s="521" t="s">
        <v>156</v>
      </c>
      <c r="C64" s="522"/>
      <c r="D64" s="522"/>
      <c r="E64" s="522"/>
      <c r="F64" s="522"/>
      <c r="G64" s="522"/>
      <c r="H64" s="522"/>
      <c r="I64" s="522"/>
      <c r="J64" s="522"/>
      <c r="K64" s="522"/>
      <c r="L64" s="522">
        <f t="shared" ref="L64:AI64" si="38">SUM(L60:L63)</f>
        <v>3436</v>
      </c>
      <c r="M64" s="522">
        <f t="shared" si="38"/>
        <v>3919</v>
      </c>
      <c r="N64" s="522">
        <f t="shared" si="38"/>
        <v>5567</v>
      </c>
      <c r="O64" s="522">
        <f t="shared" si="38"/>
        <v>6065</v>
      </c>
      <c r="P64" s="522">
        <f t="shared" si="38"/>
        <v>5095</v>
      </c>
      <c r="Q64" s="522">
        <f t="shared" si="38"/>
        <v>5986</v>
      </c>
      <c r="R64" s="522">
        <f t="shared" si="38"/>
        <v>6175</v>
      </c>
      <c r="S64" s="522">
        <f t="shared" si="38"/>
        <v>5665</v>
      </c>
      <c r="T64" s="522">
        <f t="shared" si="38"/>
        <v>9106</v>
      </c>
      <c r="U64" s="522">
        <f t="shared" si="38"/>
        <v>8672</v>
      </c>
      <c r="V64" s="522">
        <f t="shared" si="38"/>
        <v>7296.1020000000008</v>
      </c>
      <c r="W64" s="522">
        <f t="shared" si="38"/>
        <v>7188.8269999999993</v>
      </c>
      <c r="X64" s="522">
        <f t="shared" si="38"/>
        <v>9449.8459999999995</v>
      </c>
      <c r="Y64" s="522">
        <f t="shared" si="38"/>
        <v>10440.363000000001</v>
      </c>
      <c r="Z64" s="522">
        <f t="shared" si="38"/>
        <v>10482.220004440976</v>
      </c>
      <c r="AA64" s="522">
        <f t="shared" si="38"/>
        <v>11602.07404311155</v>
      </c>
      <c r="AB64" s="522">
        <f t="shared" si="38"/>
        <v>13219.071612448866</v>
      </c>
      <c r="AC64" s="522">
        <f t="shared" si="38"/>
        <v>15115.176517816857</v>
      </c>
      <c r="AD64" s="522">
        <f t="shared" si="38"/>
        <v>17383.069949680514</v>
      </c>
      <c r="AE64" s="522">
        <f t="shared" si="38"/>
        <v>19710.738233005373</v>
      </c>
      <c r="AF64" s="522">
        <f t="shared" si="38"/>
        <v>22134.081759952067</v>
      </c>
      <c r="AG64" s="522">
        <f t="shared" si="38"/>
        <v>24437.964965039264</v>
      </c>
      <c r="AH64" s="522">
        <f t="shared" si="38"/>
        <v>26755.917352105746</v>
      </c>
      <c r="AI64" s="522">
        <f t="shared" si="38"/>
        <v>29252.443381744426</v>
      </c>
      <c r="AJ64" s="267"/>
      <c r="AK64" s="267"/>
      <c r="AL64" s="267"/>
      <c r="AM64" s="267"/>
      <c r="AN64" s="267"/>
      <c r="AO64" s="267"/>
      <c r="AP64" s="267"/>
      <c r="AQ64" s="267"/>
      <c r="AR64" s="267"/>
    </row>
    <row r="65" spans="1:44" ht="15.75">
      <c r="A65" s="267"/>
      <c r="B65" s="521"/>
      <c r="C65" s="520"/>
      <c r="D65" s="520"/>
      <c r="E65" s="523"/>
      <c r="F65" s="520"/>
      <c r="G65" s="520"/>
      <c r="H65" s="520"/>
      <c r="I65" s="520"/>
      <c r="J65" s="520"/>
      <c r="K65" s="520"/>
      <c r="L65" s="520"/>
      <c r="M65" s="520"/>
      <c r="N65" s="520"/>
      <c r="O65" s="520"/>
      <c r="P65" s="520"/>
      <c r="Q65" s="520"/>
      <c r="R65" s="520"/>
      <c r="S65" s="520"/>
      <c r="T65" s="520"/>
      <c r="U65" s="520"/>
      <c r="V65" s="520"/>
      <c r="W65" s="520"/>
      <c r="X65" s="520"/>
      <c r="Y65" s="520"/>
      <c r="Z65" s="520"/>
      <c r="AA65" s="520"/>
      <c r="AB65" s="520"/>
      <c r="AC65" s="520"/>
      <c r="AD65" s="520"/>
      <c r="AE65" s="520"/>
      <c r="AF65" s="520"/>
      <c r="AG65" s="520"/>
      <c r="AH65" s="520"/>
      <c r="AI65" s="520"/>
      <c r="AJ65" s="267"/>
      <c r="AK65" s="267"/>
      <c r="AL65" s="267"/>
      <c r="AM65" s="267"/>
      <c r="AN65" s="267"/>
      <c r="AO65" s="267"/>
      <c r="AP65" s="267"/>
      <c r="AQ65" s="267"/>
      <c r="AR65" s="267"/>
    </row>
    <row r="66" spans="1:44" ht="15.75">
      <c r="A66" s="267"/>
      <c r="B66" s="521" t="s">
        <v>157</v>
      </c>
      <c r="C66" s="522"/>
      <c r="D66" s="522"/>
      <c r="E66" s="522"/>
      <c r="F66" s="522"/>
      <c r="G66" s="522"/>
      <c r="H66" s="522"/>
      <c r="I66" s="522"/>
      <c r="J66" s="522"/>
      <c r="K66" s="522"/>
      <c r="L66" s="522">
        <f t="shared" ref="L66:AI66" si="39">L121</f>
        <v>11571</v>
      </c>
      <c r="M66" s="522">
        <f t="shared" si="39"/>
        <v>12486</v>
      </c>
      <c r="N66" s="522">
        <f t="shared" si="39"/>
        <v>14321</v>
      </c>
      <c r="O66" s="522">
        <f t="shared" si="39"/>
        <v>17658</v>
      </c>
      <c r="P66" s="522">
        <f t="shared" si="39"/>
        <v>21522</v>
      </c>
      <c r="Q66" s="522">
        <f t="shared" si="39"/>
        <v>24385</v>
      </c>
      <c r="R66" s="522">
        <f t="shared" si="39"/>
        <v>26890</v>
      </c>
      <c r="S66" s="522">
        <f t="shared" si="39"/>
        <v>30623</v>
      </c>
      <c r="T66" s="522">
        <f t="shared" si="39"/>
        <v>33804</v>
      </c>
      <c r="U66" s="522">
        <f t="shared" si="39"/>
        <v>39071.879999999997</v>
      </c>
      <c r="V66" s="522">
        <f t="shared" si="39"/>
        <v>46236.025999999998</v>
      </c>
      <c r="W66" s="522">
        <f t="shared" si="39"/>
        <v>53417.510999999999</v>
      </c>
      <c r="X66" s="522">
        <f t="shared" si="39"/>
        <v>55563.957999999999</v>
      </c>
      <c r="Y66" s="522">
        <f t="shared" si="39"/>
        <v>56099.911999999997</v>
      </c>
      <c r="Z66" s="522">
        <f t="shared" si="39"/>
        <v>54396.712811176287</v>
      </c>
      <c r="AA66" s="522">
        <f t="shared" si="39"/>
        <v>54609.672472779523</v>
      </c>
      <c r="AB66" s="522">
        <f t="shared" si="39"/>
        <v>55026.607398304972</v>
      </c>
      <c r="AC66" s="522">
        <f t="shared" si="39"/>
        <v>55415.335691472763</v>
      </c>
      <c r="AD66" s="522">
        <f t="shared" si="39"/>
        <v>55657.090648408339</v>
      </c>
      <c r="AE66" s="522">
        <f t="shared" si="39"/>
        <v>55814.856145193015</v>
      </c>
      <c r="AF66" s="522">
        <f t="shared" si="39"/>
        <v>55899.321595469126</v>
      </c>
      <c r="AG66" s="522">
        <f t="shared" si="39"/>
        <v>56044.962149536936</v>
      </c>
      <c r="AH66" s="522">
        <f t="shared" si="39"/>
        <v>56241.397933290282</v>
      </c>
      <c r="AI66" s="522">
        <f t="shared" si="39"/>
        <v>56349.009422018979</v>
      </c>
      <c r="AJ66" s="267"/>
      <c r="AK66" s="267"/>
      <c r="AL66" s="267"/>
      <c r="AM66" s="267"/>
      <c r="AN66" s="267"/>
      <c r="AO66" s="267"/>
      <c r="AP66" s="267"/>
      <c r="AQ66" s="267"/>
      <c r="AR66" s="267"/>
    </row>
    <row r="67" spans="1:44" ht="15.75">
      <c r="A67" s="267"/>
      <c r="B67" s="521" t="s">
        <v>158</v>
      </c>
      <c r="C67" s="522"/>
      <c r="D67" s="522"/>
      <c r="E67" s="522"/>
      <c r="F67" s="522"/>
      <c r="G67" s="522"/>
      <c r="H67" s="522"/>
      <c r="I67" s="522"/>
      <c r="J67" s="522"/>
      <c r="K67" s="522"/>
      <c r="L67" s="522">
        <f t="shared" ref="L67:AI67" si="40">L154+L161</f>
        <v>4726</v>
      </c>
      <c r="M67" s="522">
        <f t="shared" si="40"/>
        <v>4677</v>
      </c>
      <c r="N67" s="522">
        <f t="shared" si="40"/>
        <v>4552.0596881959909</v>
      </c>
      <c r="O67" s="522">
        <f t="shared" si="40"/>
        <v>4762.2678865680227</v>
      </c>
      <c r="P67" s="522">
        <f t="shared" si="40"/>
        <v>4378</v>
      </c>
      <c r="Q67" s="522">
        <f t="shared" si="40"/>
        <v>4378</v>
      </c>
      <c r="R67" s="522">
        <f t="shared" si="40"/>
        <v>4454.7997321671892</v>
      </c>
      <c r="S67" s="522">
        <f t="shared" si="40"/>
        <v>4458.3277269033379</v>
      </c>
      <c r="T67" s="522">
        <f t="shared" si="40"/>
        <v>4411.8127848212271</v>
      </c>
      <c r="U67" s="522">
        <f t="shared" si="40"/>
        <v>4427.8680000000004</v>
      </c>
      <c r="V67" s="522">
        <f t="shared" si="40"/>
        <v>4428.4660000000003</v>
      </c>
      <c r="W67" s="522">
        <f t="shared" si="40"/>
        <v>4371.9229999999998</v>
      </c>
      <c r="X67" s="522">
        <f t="shared" si="40"/>
        <v>4369.1000000000004</v>
      </c>
      <c r="Y67" s="522">
        <f t="shared" si="40"/>
        <v>4366.26</v>
      </c>
      <c r="Z67" s="522">
        <f t="shared" si="40"/>
        <v>4377.7979999999998</v>
      </c>
      <c r="AA67" s="522">
        <f t="shared" si="40"/>
        <v>4378</v>
      </c>
      <c r="AB67" s="522">
        <f t="shared" si="40"/>
        <v>4378</v>
      </c>
      <c r="AC67" s="522">
        <f t="shared" si="40"/>
        <v>4378</v>
      </c>
      <c r="AD67" s="522">
        <f t="shared" si="40"/>
        <v>4378</v>
      </c>
      <c r="AE67" s="522">
        <f t="shared" si="40"/>
        <v>4378</v>
      </c>
      <c r="AF67" s="522">
        <f t="shared" si="40"/>
        <v>4378</v>
      </c>
      <c r="AG67" s="522">
        <f t="shared" si="40"/>
        <v>4378</v>
      </c>
      <c r="AH67" s="522">
        <f t="shared" si="40"/>
        <v>4378</v>
      </c>
      <c r="AI67" s="522">
        <f t="shared" si="40"/>
        <v>4378</v>
      </c>
      <c r="AJ67" s="267"/>
      <c r="AK67" s="267"/>
      <c r="AL67" s="267"/>
      <c r="AM67" s="267"/>
      <c r="AN67" s="267"/>
      <c r="AO67" s="267"/>
      <c r="AP67" s="267"/>
      <c r="AQ67" s="267"/>
      <c r="AR67" s="267"/>
    </row>
    <row r="68" spans="1:44" ht="15.75">
      <c r="A68" s="267"/>
      <c r="B68" s="521" t="s">
        <v>159</v>
      </c>
      <c r="C68" s="522"/>
      <c r="D68" s="522"/>
      <c r="E68" s="522"/>
      <c r="F68" s="522"/>
      <c r="G68" s="522"/>
      <c r="H68" s="522"/>
      <c r="I68" s="522"/>
      <c r="J68" s="522"/>
      <c r="K68" s="522"/>
      <c r="L68" s="522">
        <f t="shared" ref="L68:AI68" si="41">L205</f>
        <v>925</v>
      </c>
      <c r="M68" s="522">
        <f t="shared" si="41"/>
        <v>1013</v>
      </c>
      <c r="N68" s="522">
        <f t="shared" si="41"/>
        <v>804.94031180400907</v>
      </c>
      <c r="O68" s="522">
        <f t="shared" si="41"/>
        <v>844.73211343197727</v>
      </c>
      <c r="P68" s="522">
        <f t="shared" si="41"/>
        <v>1668</v>
      </c>
      <c r="Q68" s="522">
        <f t="shared" si="41"/>
        <v>1706</v>
      </c>
      <c r="R68" s="522">
        <f t="shared" si="41"/>
        <v>1888.2002678328108</v>
      </c>
      <c r="S68" s="522">
        <f t="shared" si="41"/>
        <v>2561.6722730966621</v>
      </c>
      <c r="T68" s="522">
        <f t="shared" si="41"/>
        <v>2508.1872151787729</v>
      </c>
      <c r="U68" s="522">
        <f t="shared" si="41"/>
        <v>2033.4720000000034</v>
      </c>
      <c r="V68" s="522">
        <f t="shared" si="41"/>
        <v>2171.9630000000034</v>
      </c>
      <c r="W68" s="522">
        <f t="shared" si="41"/>
        <v>3506.0110000000013</v>
      </c>
      <c r="X68" s="522">
        <f t="shared" si="41"/>
        <v>4145.2520000000059</v>
      </c>
      <c r="Y68" s="522">
        <f t="shared" si="41"/>
        <v>3526.967000000006</v>
      </c>
      <c r="Z68" s="522">
        <f t="shared" si="41"/>
        <v>3526.967000000006</v>
      </c>
      <c r="AA68" s="522">
        <f t="shared" si="41"/>
        <v>3526.967000000006</v>
      </c>
      <c r="AB68" s="522">
        <f t="shared" si="41"/>
        <v>3526.967000000006</v>
      </c>
      <c r="AC68" s="522">
        <f t="shared" si="41"/>
        <v>3526.967000000006</v>
      </c>
      <c r="AD68" s="522">
        <f t="shared" si="41"/>
        <v>3526.967000000006</v>
      </c>
      <c r="AE68" s="522">
        <f t="shared" si="41"/>
        <v>3526.967000000006</v>
      </c>
      <c r="AF68" s="522">
        <f t="shared" si="41"/>
        <v>3526.967000000006</v>
      </c>
      <c r="AG68" s="522">
        <f t="shared" si="41"/>
        <v>3526.967000000006</v>
      </c>
      <c r="AH68" s="522">
        <f t="shared" si="41"/>
        <v>3526.967000000006</v>
      </c>
      <c r="AI68" s="522">
        <f t="shared" si="41"/>
        <v>3526.967000000006</v>
      </c>
      <c r="AJ68" s="267"/>
      <c r="AK68" s="267"/>
      <c r="AL68" s="267"/>
      <c r="AM68" s="267"/>
      <c r="AN68" s="267"/>
      <c r="AO68" s="267"/>
      <c r="AP68" s="267"/>
      <c r="AQ68" s="267"/>
      <c r="AR68" s="267"/>
    </row>
    <row r="69" spans="1:44" ht="15.75">
      <c r="A69" s="267"/>
      <c r="B69" s="521"/>
      <c r="C69" s="520"/>
      <c r="D69" s="520"/>
      <c r="E69" s="523"/>
      <c r="F69" s="520"/>
      <c r="G69" s="520"/>
      <c r="H69" s="520"/>
      <c r="I69" s="520"/>
      <c r="J69" s="520"/>
      <c r="K69" s="520"/>
      <c r="L69" s="520"/>
      <c r="M69" s="520"/>
      <c r="N69" s="520"/>
      <c r="O69" s="520"/>
      <c r="P69" s="520"/>
      <c r="Q69" s="520"/>
      <c r="R69" s="520"/>
      <c r="S69" s="520"/>
      <c r="T69" s="520"/>
      <c r="U69" s="520"/>
      <c r="V69" s="520"/>
      <c r="W69" s="520"/>
      <c r="X69" s="520"/>
      <c r="Y69" s="520"/>
      <c r="Z69" s="520"/>
      <c r="AA69" s="520"/>
      <c r="AB69" s="520"/>
      <c r="AC69" s="520"/>
      <c r="AD69" s="520"/>
      <c r="AE69" s="520"/>
      <c r="AF69" s="520"/>
      <c r="AG69" s="520"/>
      <c r="AH69" s="520"/>
      <c r="AI69" s="520"/>
      <c r="AJ69" s="267"/>
      <c r="AK69" s="267"/>
      <c r="AL69" s="267"/>
      <c r="AM69" s="267"/>
      <c r="AN69" s="267"/>
      <c r="AO69" s="267"/>
      <c r="AP69" s="267"/>
      <c r="AQ69" s="267"/>
      <c r="AR69" s="267"/>
    </row>
    <row r="70" spans="1:44" ht="15.75">
      <c r="A70" s="267"/>
      <c r="B70" s="520" t="s">
        <v>160</v>
      </c>
      <c r="C70" s="523"/>
      <c r="D70" s="523"/>
      <c r="E70" s="523"/>
      <c r="F70" s="523"/>
      <c r="G70" s="523"/>
      <c r="H70" s="523"/>
      <c r="I70" s="523"/>
      <c r="J70" s="523"/>
      <c r="K70" s="523"/>
      <c r="L70" s="523">
        <f t="shared" ref="L70:AI70" si="42">SUM(L64:L68)</f>
        <v>20658</v>
      </c>
      <c r="M70" s="523">
        <f t="shared" si="42"/>
        <v>22095</v>
      </c>
      <c r="N70" s="523">
        <f t="shared" si="42"/>
        <v>25245</v>
      </c>
      <c r="O70" s="523">
        <f t="shared" si="42"/>
        <v>29330</v>
      </c>
      <c r="P70" s="523">
        <f t="shared" si="42"/>
        <v>32663</v>
      </c>
      <c r="Q70" s="523">
        <f t="shared" si="42"/>
        <v>36455</v>
      </c>
      <c r="R70" s="523">
        <f t="shared" si="42"/>
        <v>39408</v>
      </c>
      <c r="S70" s="523">
        <f t="shared" si="42"/>
        <v>43308</v>
      </c>
      <c r="T70" s="523">
        <f t="shared" si="42"/>
        <v>49830</v>
      </c>
      <c r="U70" s="523">
        <f t="shared" si="42"/>
        <v>54205.22</v>
      </c>
      <c r="V70" s="523">
        <f t="shared" si="42"/>
        <v>60132.557000000001</v>
      </c>
      <c r="W70" s="523">
        <f t="shared" si="42"/>
        <v>68484.271999999997</v>
      </c>
      <c r="X70" s="523">
        <f t="shared" si="42"/>
        <v>73528.156000000003</v>
      </c>
      <c r="Y70" s="523">
        <f t="shared" si="42"/>
        <v>74433.501999999993</v>
      </c>
      <c r="Z70" s="523">
        <f t="shared" si="42"/>
        <v>72783.69781561727</v>
      </c>
      <c r="AA70" s="523">
        <f t="shared" si="42"/>
        <v>74116.713515891082</v>
      </c>
      <c r="AB70" s="523">
        <f t="shared" si="42"/>
        <v>76150.646010753844</v>
      </c>
      <c r="AC70" s="523">
        <f t="shared" si="42"/>
        <v>78435.479209289624</v>
      </c>
      <c r="AD70" s="523">
        <f t="shared" si="42"/>
        <v>80945.12759808886</v>
      </c>
      <c r="AE70" s="523">
        <f t="shared" si="42"/>
        <v>83430.561378198385</v>
      </c>
      <c r="AF70" s="523">
        <f t="shared" si="42"/>
        <v>85938.370355421197</v>
      </c>
      <c r="AG70" s="523">
        <f t="shared" si="42"/>
        <v>88387.894114576207</v>
      </c>
      <c r="AH70" s="523">
        <f t="shared" si="42"/>
        <v>90902.282285396039</v>
      </c>
      <c r="AI70" s="523">
        <f t="shared" si="42"/>
        <v>93506.419803763405</v>
      </c>
      <c r="AJ70" s="267"/>
      <c r="AK70" s="267"/>
      <c r="AL70" s="267"/>
      <c r="AM70" s="267"/>
      <c r="AN70" s="267"/>
      <c r="AO70" s="267"/>
      <c r="AP70" s="267"/>
      <c r="AQ70" s="267"/>
      <c r="AR70" s="267"/>
    </row>
    <row r="71" spans="1:44" ht="15.75">
      <c r="A71" s="267"/>
      <c r="B71" s="521"/>
      <c r="C71" s="520"/>
      <c r="D71" s="520"/>
      <c r="E71" s="523"/>
      <c r="F71" s="520"/>
      <c r="G71" s="523"/>
      <c r="H71" s="523"/>
      <c r="I71" s="523"/>
      <c r="J71" s="523"/>
      <c r="K71" s="520"/>
      <c r="L71" s="520"/>
      <c r="M71" s="523"/>
      <c r="N71" s="523"/>
      <c r="O71" s="520"/>
      <c r="P71" s="520"/>
      <c r="Q71" s="520"/>
      <c r="R71" s="520"/>
      <c r="S71" s="520"/>
      <c r="T71" s="520"/>
      <c r="U71" s="520"/>
      <c r="V71" s="520"/>
      <c r="W71" s="520"/>
      <c r="X71" s="520"/>
      <c r="Y71" s="520"/>
      <c r="Z71" s="520"/>
      <c r="AA71" s="520"/>
      <c r="AB71" s="520"/>
      <c r="AC71" s="520"/>
      <c r="AD71" s="520"/>
      <c r="AE71" s="520"/>
      <c r="AF71" s="520"/>
      <c r="AG71" s="520"/>
      <c r="AH71" s="520"/>
      <c r="AI71" s="520"/>
      <c r="AJ71" s="267"/>
      <c r="AK71" s="267"/>
      <c r="AL71" s="267"/>
      <c r="AM71" s="267"/>
      <c r="AN71" s="267"/>
      <c r="AO71" s="267"/>
      <c r="AP71" s="267"/>
      <c r="AQ71" s="267"/>
      <c r="AR71" s="267"/>
    </row>
    <row r="72" spans="1:44" ht="15.75">
      <c r="A72" s="267"/>
      <c r="B72" s="521" t="s">
        <v>161</v>
      </c>
      <c r="C72" s="522"/>
      <c r="D72" s="522"/>
      <c r="E72" s="522"/>
      <c r="F72" s="522"/>
      <c r="G72" s="522"/>
      <c r="H72" s="522"/>
      <c r="I72" s="522"/>
      <c r="J72" s="522"/>
      <c r="K72" s="522"/>
      <c r="L72" s="522">
        <f t="shared" ref="L72:AI72" si="43">L232</f>
        <v>471</v>
      </c>
      <c r="M72" s="522">
        <f t="shared" si="43"/>
        <v>351</v>
      </c>
      <c r="N72" s="522">
        <f t="shared" si="43"/>
        <v>658</v>
      </c>
      <c r="O72" s="522">
        <f t="shared" si="43"/>
        <v>1132</v>
      </c>
      <c r="P72" s="522">
        <f t="shared" si="43"/>
        <v>1376</v>
      </c>
      <c r="Q72" s="522">
        <f t="shared" si="43"/>
        <v>1953</v>
      </c>
      <c r="R72" s="522">
        <f t="shared" si="43"/>
        <v>2095.4</v>
      </c>
      <c r="S72" s="522">
        <f t="shared" si="43"/>
        <v>1625</v>
      </c>
      <c r="T72" s="522">
        <f t="shared" si="43"/>
        <v>3285.1639999999998</v>
      </c>
      <c r="U72" s="522">
        <f t="shared" si="43"/>
        <v>5296.3190000000004</v>
      </c>
      <c r="V72" s="522">
        <f t="shared" si="43"/>
        <v>4335.5119999999997</v>
      </c>
      <c r="W72" s="522">
        <f t="shared" si="43"/>
        <v>4059.0509999999986</v>
      </c>
      <c r="X72" s="522">
        <f t="shared" si="43"/>
        <v>3880.7659999999996</v>
      </c>
      <c r="Y72" s="522">
        <f t="shared" si="43"/>
        <v>3983.9220000000005</v>
      </c>
      <c r="Z72" s="522">
        <f t="shared" si="43"/>
        <v>3743.8566719999999</v>
      </c>
      <c r="AA72" s="522">
        <f t="shared" si="43"/>
        <v>4074.4166500000001</v>
      </c>
      <c r="AB72" s="522">
        <f t="shared" si="43"/>
        <v>4464.1824516800016</v>
      </c>
      <c r="AC72" s="522">
        <f t="shared" si="43"/>
        <v>4805.0293707000019</v>
      </c>
      <c r="AD72" s="522">
        <f t="shared" si="43"/>
        <v>5130.0736878639818</v>
      </c>
      <c r="AE72" s="522">
        <f t="shared" si="43"/>
        <v>5432.2263330390206</v>
      </c>
      <c r="AF72" s="522">
        <f t="shared" si="43"/>
        <v>5692.8119532615156</v>
      </c>
      <c r="AG72" s="522">
        <f t="shared" si="43"/>
        <v>5854.5670115069779</v>
      </c>
      <c r="AH72" s="522">
        <f t="shared" si="43"/>
        <v>6021.3626852599382</v>
      </c>
      <c r="AI72" s="522">
        <f t="shared" si="43"/>
        <v>6193.3958086909524</v>
      </c>
      <c r="AJ72" s="267"/>
      <c r="AK72" s="267"/>
      <c r="AL72" s="267"/>
      <c r="AM72" s="267"/>
      <c r="AN72" s="267"/>
      <c r="AO72" s="267"/>
      <c r="AP72" s="267"/>
      <c r="AQ72" s="267"/>
      <c r="AR72" s="267"/>
    </row>
    <row r="73" spans="1:44" ht="15.75">
      <c r="A73" s="267"/>
      <c r="B73" s="521" t="s">
        <v>162</v>
      </c>
      <c r="C73" s="522"/>
      <c r="D73" s="522"/>
      <c r="E73" s="522"/>
      <c r="F73" s="522"/>
      <c r="G73" s="522"/>
      <c r="H73" s="522"/>
      <c r="I73" s="522"/>
      <c r="J73" s="522"/>
      <c r="K73" s="522"/>
      <c r="L73" s="522">
        <f t="shared" ref="L73:AI73" si="44">L229</f>
        <v>1131</v>
      </c>
      <c r="M73" s="522">
        <f t="shared" si="44"/>
        <v>1325</v>
      </c>
      <c r="N73" s="522">
        <f t="shared" si="44"/>
        <v>956</v>
      </c>
      <c r="O73" s="522">
        <f t="shared" si="44"/>
        <v>1498</v>
      </c>
      <c r="P73" s="522">
        <f t="shared" si="44"/>
        <v>1922</v>
      </c>
      <c r="Q73" s="522">
        <f t="shared" si="44"/>
        <v>1549</v>
      </c>
      <c r="R73" s="522">
        <f t="shared" si="44"/>
        <v>1976</v>
      </c>
      <c r="S73" s="522">
        <f t="shared" si="44"/>
        <v>838</v>
      </c>
      <c r="T73" s="522">
        <f t="shared" si="44"/>
        <v>1717</v>
      </c>
      <c r="U73" s="522">
        <f t="shared" si="44"/>
        <v>1844</v>
      </c>
      <c r="V73" s="522">
        <f t="shared" si="44"/>
        <v>1191.2049999999999</v>
      </c>
      <c r="W73" s="522">
        <f t="shared" si="44"/>
        <v>1680.923</v>
      </c>
      <c r="X73" s="522">
        <f t="shared" si="44"/>
        <v>1743.4079999999999</v>
      </c>
      <c r="Y73" s="522">
        <f t="shared" si="44"/>
        <v>1622.865</v>
      </c>
      <c r="Z73" s="522">
        <f t="shared" si="44"/>
        <v>1504.2816548461728</v>
      </c>
      <c r="AA73" s="522">
        <f t="shared" si="44"/>
        <v>1622.865</v>
      </c>
      <c r="AB73" s="522">
        <f t="shared" si="44"/>
        <v>1762.7825519116643</v>
      </c>
      <c r="AC73" s="522">
        <f t="shared" si="44"/>
        <v>1881.1567331101926</v>
      </c>
      <c r="AD73" s="522">
        <f t="shared" si="44"/>
        <v>1991.3903234432776</v>
      </c>
      <c r="AE73" s="522">
        <f t="shared" si="44"/>
        <v>2090.9598396154411</v>
      </c>
      <c r="AF73" s="522">
        <f t="shared" si="44"/>
        <v>2173.0033142922866</v>
      </c>
      <c r="AG73" s="522">
        <f t="shared" si="44"/>
        <v>2216.277857238993</v>
      </c>
      <c r="AH73" s="522">
        <f t="shared" si="44"/>
        <v>2260.7354929915164</v>
      </c>
      <c r="AI73" s="522">
        <f t="shared" si="44"/>
        <v>2306.4206666750242</v>
      </c>
      <c r="AJ73" s="267"/>
      <c r="AK73" s="267"/>
      <c r="AL73" s="267"/>
      <c r="AM73" s="267"/>
      <c r="AN73" s="267"/>
      <c r="AO73" s="267"/>
      <c r="AP73" s="267"/>
      <c r="AQ73" s="267"/>
      <c r="AR73" s="267"/>
    </row>
    <row r="74" spans="1:44" ht="15.75">
      <c r="A74" s="267"/>
      <c r="B74" s="521" t="s">
        <v>163</v>
      </c>
      <c r="C74" s="860"/>
      <c r="D74" s="860"/>
      <c r="E74" s="860"/>
      <c r="F74" s="860"/>
      <c r="G74" s="860"/>
      <c r="H74" s="860"/>
      <c r="I74" s="860"/>
      <c r="J74" s="860"/>
      <c r="K74" s="860"/>
      <c r="L74" s="860">
        <f t="shared" ref="L74:AI74" si="45">L199</f>
        <v>2112</v>
      </c>
      <c r="M74" s="860">
        <f t="shared" si="45"/>
        <v>86</v>
      </c>
      <c r="N74" s="860">
        <f t="shared" si="45"/>
        <v>685</v>
      </c>
      <c r="O74" s="860">
        <f t="shared" si="45"/>
        <v>2188</v>
      </c>
      <c r="P74" s="860">
        <f t="shared" si="45"/>
        <v>1573</v>
      </c>
      <c r="Q74" s="860">
        <f t="shared" si="45"/>
        <v>132</v>
      </c>
      <c r="R74" s="860">
        <f t="shared" si="45"/>
        <v>3778.6</v>
      </c>
      <c r="S74" s="860">
        <f t="shared" si="45"/>
        <v>251</v>
      </c>
      <c r="T74" s="860">
        <f t="shared" si="45"/>
        <v>1290.836</v>
      </c>
      <c r="U74" s="860">
        <f t="shared" si="45"/>
        <v>4559.6809999999996</v>
      </c>
      <c r="V74" s="860">
        <f t="shared" si="45"/>
        <v>3414.7280000000001</v>
      </c>
      <c r="W74" s="860">
        <f t="shared" si="45"/>
        <v>5734.1379999999999</v>
      </c>
      <c r="X74" s="860">
        <f t="shared" si="45"/>
        <v>1677.4650000000001</v>
      </c>
      <c r="Y74" s="860">
        <f t="shared" si="45"/>
        <v>2152.0039999999999</v>
      </c>
      <c r="Z74" s="860">
        <f t="shared" si="45"/>
        <v>2152.0039999999999</v>
      </c>
      <c r="AA74" s="860">
        <f t="shared" si="45"/>
        <v>2152.0039999999999</v>
      </c>
      <c r="AB74" s="860">
        <f t="shared" si="45"/>
        <v>2152.0039999999999</v>
      </c>
      <c r="AC74" s="860">
        <f t="shared" si="45"/>
        <v>2152.0039999999999</v>
      </c>
      <c r="AD74" s="860">
        <f t="shared" si="45"/>
        <v>2152.0039999999999</v>
      </c>
      <c r="AE74" s="860">
        <f t="shared" si="45"/>
        <v>2152.0039999999999</v>
      </c>
      <c r="AF74" s="860">
        <f t="shared" si="45"/>
        <v>2152.0039999999999</v>
      </c>
      <c r="AG74" s="860">
        <f t="shared" si="45"/>
        <v>2152.0039999999999</v>
      </c>
      <c r="AH74" s="860">
        <f t="shared" si="45"/>
        <v>2152.0039999999999</v>
      </c>
      <c r="AI74" s="860">
        <f t="shared" si="45"/>
        <v>2152.0039999999999</v>
      </c>
      <c r="AJ74" s="267"/>
      <c r="AK74" s="267"/>
      <c r="AL74" s="267"/>
      <c r="AM74" s="267"/>
      <c r="AN74" s="267"/>
      <c r="AO74" s="267"/>
      <c r="AP74" s="267"/>
      <c r="AQ74" s="267"/>
      <c r="AR74" s="267"/>
    </row>
    <row r="75" spans="1:44" ht="15.75">
      <c r="A75" s="267"/>
      <c r="B75" s="521" t="s">
        <v>164</v>
      </c>
      <c r="C75" s="522"/>
      <c r="D75" s="522"/>
      <c r="E75" s="522"/>
      <c r="F75" s="522"/>
      <c r="G75" s="522"/>
      <c r="H75" s="522"/>
      <c r="I75" s="522"/>
      <c r="J75" s="522"/>
      <c r="K75" s="522"/>
      <c r="L75" s="522">
        <f t="shared" ref="L75:AI75" si="46">SUM(L72:L74)</f>
        <v>3714</v>
      </c>
      <c r="M75" s="522">
        <f t="shared" si="46"/>
        <v>1762</v>
      </c>
      <c r="N75" s="522">
        <f t="shared" si="46"/>
        <v>2299</v>
      </c>
      <c r="O75" s="522">
        <f t="shared" si="46"/>
        <v>4818</v>
      </c>
      <c r="P75" s="522">
        <f t="shared" si="46"/>
        <v>4871</v>
      </c>
      <c r="Q75" s="522">
        <f t="shared" si="46"/>
        <v>3634</v>
      </c>
      <c r="R75" s="522">
        <f t="shared" si="46"/>
        <v>7850</v>
      </c>
      <c r="S75" s="522">
        <f t="shared" si="46"/>
        <v>2714</v>
      </c>
      <c r="T75" s="522">
        <f t="shared" si="46"/>
        <v>6293</v>
      </c>
      <c r="U75" s="522">
        <f t="shared" si="46"/>
        <v>11700</v>
      </c>
      <c r="V75" s="522">
        <f t="shared" si="46"/>
        <v>8941.4449999999997</v>
      </c>
      <c r="W75" s="522">
        <f t="shared" si="46"/>
        <v>11474.111999999997</v>
      </c>
      <c r="X75" s="522">
        <f t="shared" si="46"/>
        <v>7301.6389999999992</v>
      </c>
      <c r="Y75" s="522">
        <f t="shared" si="46"/>
        <v>7758.7910000000002</v>
      </c>
      <c r="Z75" s="522">
        <f t="shared" si="46"/>
        <v>7400.1423268461722</v>
      </c>
      <c r="AA75" s="522">
        <f t="shared" si="46"/>
        <v>7849.2856499999998</v>
      </c>
      <c r="AB75" s="522">
        <f t="shared" si="46"/>
        <v>8378.9690035916647</v>
      </c>
      <c r="AC75" s="522">
        <f t="shared" si="46"/>
        <v>8838.1901038101932</v>
      </c>
      <c r="AD75" s="522">
        <f t="shared" si="46"/>
        <v>9273.4680113072591</v>
      </c>
      <c r="AE75" s="522">
        <f t="shared" si="46"/>
        <v>9675.1901726544602</v>
      </c>
      <c r="AF75" s="522">
        <f t="shared" si="46"/>
        <v>10017.819267553801</v>
      </c>
      <c r="AG75" s="522">
        <f t="shared" si="46"/>
        <v>10222.848868745972</v>
      </c>
      <c r="AH75" s="522">
        <f t="shared" si="46"/>
        <v>10434.102178251454</v>
      </c>
      <c r="AI75" s="522">
        <f t="shared" si="46"/>
        <v>10651.820475365977</v>
      </c>
      <c r="AJ75" s="267"/>
      <c r="AK75" s="267"/>
      <c r="AL75" s="267"/>
      <c r="AM75" s="267"/>
      <c r="AN75" s="267"/>
      <c r="AO75" s="267"/>
      <c r="AP75" s="267"/>
      <c r="AQ75" s="267"/>
      <c r="AR75" s="267"/>
    </row>
    <row r="76" spans="1:44" ht="15.75">
      <c r="A76" s="267"/>
      <c r="B76" s="521"/>
      <c r="C76" s="520"/>
      <c r="D76" s="520"/>
      <c r="E76" s="523"/>
      <c r="F76" s="520"/>
      <c r="G76" s="520"/>
      <c r="H76" s="520"/>
      <c r="I76" s="520"/>
      <c r="J76" s="520"/>
      <c r="K76" s="520"/>
      <c r="L76" s="520"/>
      <c r="M76" s="520"/>
      <c r="N76" s="520"/>
      <c r="O76" s="520"/>
      <c r="P76" s="520"/>
      <c r="Q76" s="520"/>
      <c r="R76" s="520"/>
      <c r="S76" s="520"/>
      <c r="T76" s="520"/>
      <c r="U76" s="520"/>
      <c r="V76" s="520"/>
      <c r="W76" s="520"/>
      <c r="X76" s="520"/>
      <c r="Y76" s="520"/>
      <c r="Z76" s="520"/>
      <c r="AA76" s="520"/>
      <c r="AB76" s="520"/>
      <c r="AC76" s="520"/>
      <c r="AD76" s="520"/>
      <c r="AE76" s="520"/>
      <c r="AF76" s="520"/>
      <c r="AG76" s="520"/>
      <c r="AH76" s="520"/>
      <c r="AI76" s="520"/>
      <c r="AJ76" s="267"/>
      <c r="AK76" s="267"/>
      <c r="AL76" s="267"/>
      <c r="AM76" s="267"/>
      <c r="AN76" s="267"/>
      <c r="AO76" s="267"/>
      <c r="AP76" s="267"/>
      <c r="AQ76" s="267"/>
      <c r="AR76" s="267"/>
    </row>
    <row r="77" spans="1:44" ht="15.75">
      <c r="A77" s="267"/>
      <c r="B77" s="521" t="s">
        <v>165</v>
      </c>
      <c r="C77" s="522"/>
      <c r="D77" s="522"/>
      <c r="E77" s="522"/>
      <c r="F77" s="522"/>
      <c r="G77" s="522"/>
      <c r="H77" s="522"/>
      <c r="I77" s="522"/>
      <c r="J77" s="522"/>
      <c r="K77" s="522"/>
      <c r="L77" s="522">
        <f t="shared" ref="L77:AI77" si="47">L200</f>
        <v>29</v>
      </c>
      <c r="M77" s="522">
        <f t="shared" si="47"/>
        <v>2115</v>
      </c>
      <c r="N77" s="522">
        <f t="shared" si="47"/>
        <v>2215</v>
      </c>
      <c r="O77" s="522">
        <f t="shared" si="47"/>
        <v>1016</v>
      </c>
      <c r="P77" s="522">
        <f t="shared" si="47"/>
        <v>2065</v>
      </c>
      <c r="Q77" s="522">
        <f t="shared" si="47"/>
        <v>3921</v>
      </c>
      <c r="R77" s="522">
        <f t="shared" si="47"/>
        <v>120.3</v>
      </c>
      <c r="S77" s="522">
        <f t="shared" si="47"/>
        <v>6748</v>
      </c>
      <c r="T77" s="522">
        <f t="shared" si="47"/>
        <v>6590.5</v>
      </c>
      <c r="U77" s="522">
        <f t="shared" si="47"/>
        <v>3812</v>
      </c>
      <c r="V77" s="522">
        <f t="shared" si="47"/>
        <v>10811.931</v>
      </c>
      <c r="W77" s="522">
        <f t="shared" si="47"/>
        <v>16035.895</v>
      </c>
      <c r="X77" s="522">
        <f t="shared" si="47"/>
        <v>24510.944</v>
      </c>
      <c r="Y77" s="522">
        <f t="shared" si="47"/>
        <v>24249.041000000001</v>
      </c>
      <c r="Z77" s="522">
        <f t="shared" si="47"/>
        <v>24249.041000000001</v>
      </c>
      <c r="AA77" s="522">
        <f t="shared" si="47"/>
        <v>24249.041000000001</v>
      </c>
      <c r="AB77" s="522">
        <f t="shared" si="47"/>
        <v>24249.041000000001</v>
      </c>
      <c r="AC77" s="522">
        <f t="shared" si="47"/>
        <v>24249.041000000001</v>
      </c>
      <c r="AD77" s="522">
        <f t="shared" si="47"/>
        <v>24249.041000000001</v>
      </c>
      <c r="AE77" s="522">
        <f t="shared" si="47"/>
        <v>24249.041000000001</v>
      </c>
      <c r="AF77" s="522">
        <f t="shared" si="47"/>
        <v>24249.041000000001</v>
      </c>
      <c r="AG77" s="522">
        <f t="shared" si="47"/>
        <v>24249.041000000001</v>
      </c>
      <c r="AH77" s="522">
        <f t="shared" si="47"/>
        <v>24249.041000000001</v>
      </c>
      <c r="AI77" s="522">
        <f t="shared" si="47"/>
        <v>24249.041000000001</v>
      </c>
      <c r="AJ77" s="267"/>
      <c r="AK77" s="267"/>
      <c r="AL77" s="267"/>
      <c r="AM77" s="267"/>
      <c r="AN77" s="267"/>
      <c r="AO77" s="267"/>
      <c r="AP77" s="267"/>
      <c r="AQ77" s="267"/>
      <c r="AR77" s="267"/>
    </row>
    <row r="78" spans="1:44" ht="15.75">
      <c r="A78" s="267"/>
      <c r="B78" s="521" t="s">
        <v>166</v>
      </c>
      <c r="C78" s="522"/>
      <c r="D78" s="522"/>
      <c r="E78" s="522"/>
      <c r="F78" s="522"/>
      <c r="G78" s="522"/>
      <c r="H78" s="522"/>
      <c r="I78" s="522"/>
      <c r="J78" s="522"/>
      <c r="K78" s="522"/>
      <c r="L78" s="522">
        <f t="shared" ref="L78:AI78" si="48">L252+L249</f>
        <v>2007</v>
      </c>
      <c r="M78" s="522">
        <f t="shared" si="48"/>
        <v>2737</v>
      </c>
      <c r="N78" s="522">
        <f t="shared" si="48"/>
        <v>2887</v>
      </c>
      <c r="O78" s="522">
        <f t="shared" si="48"/>
        <v>3315</v>
      </c>
      <c r="P78" s="522">
        <f t="shared" si="48"/>
        <v>2832</v>
      </c>
      <c r="Q78" s="522">
        <f t="shared" si="48"/>
        <v>2800</v>
      </c>
      <c r="R78" s="522">
        <f t="shared" si="48"/>
        <v>2787.7</v>
      </c>
      <c r="S78" s="522">
        <f t="shared" si="48"/>
        <v>2871</v>
      </c>
      <c r="T78" s="522">
        <f t="shared" si="48"/>
        <v>3062.5</v>
      </c>
      <c r="U78" s="522">
        <f t="shared" si="48"/>
        <v>2850</v>
      </c>
      <c r="V78" s="522">
        <f t="shared" si="48"/>
        <v>4189.866</v>
      </c>
      <c r="W78" s="522">
        <f t="shared" si="48"/>
        <v>5119.3319999999985</v>
      </c>
      <c r="X78" s="522">
        <f t="shared" si="48"/>
        <v>5954.2669999999998</v>
      </c>
      <c r="Y78" s="522">
        <f t="shared" si="48"/>
        <v>5954.2669999999998</v>
      </c>
      <c r="Z78" s="522">
        <f t="shared" si="48"/>
        <v>5954.2669999999998</v>
      </c>
      <c r="AA78" s="522">
        <f t="shared" si="48"/>
        <v>5954.2669999999998</v>
      </c>
      <c r="AB78" s="522">
        <f t="shared" si="48"/>
        <v>5954.2669999999998</v>
      </c>
      <c r="AC78" s="522">
        <f t="shared" si="48"/>
        <v>5954.2669999999998</v>
      </c>
      <c r="AD78" s="522">
        <f t="shared" si="48"/>
        <v>5954.2669999999998</v>
      </c>
      <c r="AE78" s="522">
        <f t="shared" si="48"/>
        <v>5954.2669999999998</v>
      </c>
      <c r="AF78" s="522">
        <f t="shared" si="48"/>
        <v>5954.2669999999998</v>
      </c>
      <c r="AG78" s="522">
        <f t="shared" si="48"/>
        <v>5954.2669999999998</v>
      </c>
      <c r="AH78" s="522">
        <f t="shared" si="48"/>
        <v>5954.2669999999998</v>
      </c>
      <c r="AI78" s="522">
        <f t="shared" si="48"/>
        <v>5954.2669999999998</v>
      </c>
      <c r="AJ78" s="267"/>
      <c r="AK78" s="267"/>
      <c r="AL78" s="267"/>
      <c r="AM78" s="267"/>
      <c r="AN78" s="267"/>
      <c r="AO78" s="267"/>
      <c r="AP78" s="267"/>
      <c r="AQ78" s="267"/>
      <c r="AR78" s="267"/>
    </row>
    <row r="79" spans="1:44" ht="15.75">
      <c r="A79" s="267"/>
      <c r="B79" s="521"/>
      <c r="C79" s="520"/>
      <c r="D79" s="520"/>
      <c r="E79" s="523"/>
      <c r="F79" s="520"/>
      <c r="G79" s="520"/>
      <c r="H79" s="520"/>
      <c r="I79" s="520"/>
      <c r="J79" s="520"/>
      <c r="K79" s="520"/>
      <c r="L79" s="520"/>
      <c r="M79" s="520"/>
      <c r="N79" s="520"/>
      <c r="O79" s="520"/>
      <c r="P79" s="520"/>
      <c r="Q79" s="520"/>
      <c r="R79" s="520"/>
      <c r="S79" s="520"/>
      <c r="T79" s="520"/>
      <c r="U79" s="520"/>
      <c r="V79" s="520"/>
      <c r="W79" s="520"/>
      <c r="X79" s="520"/>
      <c r="Y79" s="520"/>
      <c r="Z79" s="520"/>
      <c r="AA79" s="520"/>
      <c r="AB79" s="520"/>
      <c r="AC79" s="520"/>
      <c r="AD79" s="520"/>
      <c r="AE79" s="520"/>
      <c r="AF79" s="520"/>
      <c r="AG79" s="520"/>
      <c r="AH79" s="520"/>
      <c r="AI79" s="520"/>
      <c r="AJ79" s="267"/>
      <c r="AK79" s="267"/>
      <c r="AL79" s="267"/>
      <c r="AM79" s="267"/>
      <c r="AN79" s="267"/>
      <c r="AO79" s="267"/>
      <c r="AP79" s="267"/>
      <c r="AQ79" s="267"/>
      <c r="AR79" s="267"/>
    </row>
    <row r="80" spans="1:44" ht="15.75">
      <c r="A80" s="267"/>
      <c r="B80" s="521" t="s">
        <v>167</v>
      </c>
      <c r="C80" s="522"/>
      <c r="D80" s="522"/>
      <c r="E80" s="522"/>
      <c r="F80" s="522"/>
      <c r="G80" s="522"/>
      <c r="H80" s="522"/>
      <c r="I80" s="522"/>
      <c r="J80" s="522"/>
      <c r="K80" s="522"/>
      <c r="L80" s="522">
        <f t="shared" ref="L80:AI80" si="49">L302</f>
        <v>389</v>
      </c>
      <c r="M80" s="522">
        <f t="shared" si="49"/>
        <v>604</v>
      </c>
      <c r="N80" s="522">
        <f t="shared" si="49"/>
        <v>670</v>
      </c>
      <c r="O80" s="522">
        <f t="shared" si="49"/>
        <v>832</v>
      </c>
      <c r="P80" s="522">
        <f t="shared" si="49"/>
        <v>1102</v>
      </c>
      <c r="Q80" s="522">
        <f t="shared" si="49"/>
        <v>1248</v>
      </c>
      <c r="R80" s="522">
        <f t="shared" si="49"/>
        <v>959</v>
      </c>
      <c r="S80" s="522">
        <f t="shared" si="49"/>
        <v>1331</v>
      </c>
      <c r="T80" s="522">
        <f t="shared" si="49"/>
        <v>1370</v>
      </c>
      <c r="U80" s="522">
        <f t="shared" si="49"/>
        <v>1460.57</v>
      </c>
      <c r="V80" s="522">
        <f t="shared" si="49"/>
        <v>1487.616</v>
      </c>
      <c r="W80" s="522">
        <f t="shared" si="49"/>
        <v>850.94200000000001</v>
      </c>
      <c r="X80" s="522">
        <f t="shared" si="49"/>
        <v>1017.8819999999999</v>
      </c>
      <c r="Y80" s="522">
        <f t="shared" si="49"/>
        <v>1210.308</v>
      </c>
      <c r="Z80" s="522">
        <f t="shared" si="49"/>
        <v>1421.5871999999999</v>
      </c>
      <c r="AA80" s="522">
        <f t="shared" si="49"/>
        <v>1653.99432</v>
      </c>
      <c r="AB80" s="522">
        <f t="shared" si="49"/>
        <v>1909.6421520000001</v>
      </c>
      <c r="AC80" s="522">
        <f t="shared" si="49"/>
        <v>2190.8547672000004</v>
      </c>
      <c r="AD80" s="522">
        <f t="shared" si="49"/>
        <v>2500.1886439200007</v>
      </c>
      <c r="AE80" s="522">
        <f t="shared" si="49"/>
        <v>2840.4559083120007</v>
      </c>
      <c r="AF80" s="522">
        <f t="shared" si="49"/>
        <v>3214.7498991432008</v>
      </c>
      <c r="AG80" s="522">
        <f t="shared" si="49"/>
        <v>3626.473289057521</v>
      </c>
      <c r="AH80" s="522">
        <f t="shared" si="49"/>
        <v>4079.3690179632736</v>
      </c>
      <c r="AI80" s="522">
        <f t="shared" si="49"/>
        <v>4577.5543197596016</v>
      </c>
      <c r="AJ80" s="267"/>
      <c r="AK80" s="267"/>
      <c r="AL80" s="267"/>
      <c r="AM80" s="267"/>
      <c r="AN80" s="267"/>
      <c r="AO80" s="267"/>
      <c r="AP80" s="267"/>
      <c r="AQ80" s="267"/>
      <c r="AR80" s="267"/>
    </row>
    <row r="81" spans="1:44" ht="15.75">
      <c r="A81" s="267"/>
      <c r="B81" s="521" t="s">
        <v>168</v>
      </c>
      <c r="C81" s="522"/>
      <c r="D81" s="522"/>
      <c r="E81" s="522"/>
      <c r="F81" s="522"/>
      <c r="G81" s="522"/>
      <c r="H81" s="522"/>
      <c r="I81" s="522"/>
      <c r="J81" s="522"/>
      <c r="K81" s="522"/>
      <c r="L81" s="522">
        <f t="shared" ref="L81:AI81" si="50">L307</f>
        <v>14518</v>
      </c>
      <c r="M81" s="522">
        <f t="shared" si="50"/>
        <v>14878</v>
      </c>
      <c r="N81" s="522">
        <f t="shared" si="50"/>
        <v>17175</v>
      </c>
      <c r="O81" s="522">
        <f t="shared" si="50"/>
        <v>19348</v>
      </c>
      <c r="P81" s="522">
        <f t="shared" si="50"/>
        <v>21792</v>
      </c>
      <c r="Q81" s="522">
        <f t="shared" si="50"/>
        <v>24852</v>
      </c>
      <c r="R81" s="522">
        <f t="shared" si="50"/>
        <v>27691</v>
      </c>
      <c r="S81" s="522">
        <f t="shared" si="50"/>
        <v>29643</v>
      </c>
      <c r="T81" s="522">
        <f t="shared" si="50"/>
        <v>32515</v>
      </c>
      <c r="U81" s="522">
        <f t="shared" si="50"/>
        <v>34383.03</v>
      </c>
      <c r="V81" s="522">
        <f t="shared" si="50"/>
        <v>34701.697999999997</v>
      </c>
      <c r="W81" s="522">
        <f t="shared" si="50"/>
        <v>35003.990999999995</v>
      </c>
      <c r="X81" s="522">
        <f t="shared" si="50"/>
        <v>34743.423999999999</v>
      </c>
      <c r="Y81" s="522">
        <f t="shared" si="50"/>
        <v>34576.662000000004</v>
      </c>
      <c r="Z81" s="522">
        <f t="shared" si="50"/>
        <v>34663.536421259756</v>
      </c>
      <c r="AA81" s="522">
        <f t="shared" si="50"/>
        <v>35004.34052965451</v>
      </c>
      <c r="AB81" s="522">
        <f t="shared" si="50"/>
        <v>35923.612610907148</v>
      </c>
      <c r="AC81" s="522">
        <f t="shared" si="50"/>
        <v>37119.901682310869</v>
      </c>
      <c r="AD81" s="522">
        <f t="shared" si="50"/>
        <v>38516.504337853818</v>
      </c>
      <c r="AE81" s="522">
        <f t="shared" si="50"/>
        <v>39870.223168658144</v>
      </c>
      <c r="AF81" s="522">
        <f t="shared" si="50"/>
        <v>41248.701985789798</v>
      </c>
      <c r="AG81" s="522">
        <f t="shared" si="50"/>
        <v>42646.076145651023</v>
      </c>
      <c r="AH81" s="522">
        <f t="shared" si="50"/>
        <v>44036.707275752146</v>
      </c>
      <c r="AI81" s="522">
        <f t="shared" si="50"/>
        <v>45438.990397800801</v>
      </c>
      <c r="AJ81" s="267"/>
      <c r="AK81" s="267"/>
      <c r="AL81" s="267"/>
      <c r="AM81" s="267"/>
      <c r="AN81" s="267"/>
      <c r="AO81" s="267"/>
      <c r="AP81" s="267"/>
      <c r="AQ81" s="267"/>
      <c r="AR81" s="267"/>
    </row>
    <row r="82" spans="1:44" ht="15.75">
      <c r="A82" s="267"/>
      <c r="B82" s="521"/>
      <c r="C82" s="520"/>
      <c r="D82" s="520"/>
      <c r="E82" s="549"/>
      <c r="F82" s="520"/>
      <c r="G82" s="520"/>
      <c r="H82" s="520"/>
      <c r="I82" s="520"/>
      <c r="J82" s="520"/>
      <c r="K82" s="520"/>
      <c r="L82" s="520"/>
      <c r="M82" s="520"/>
      <c r="N82" s="520"/>
      <c r="O82" s="520"/>
      <c r="P82" s="520"/>
      <c r="Q82" s="520"/>
      <c r="R82" s="520"/>
      <c r="S82" s="520"/>
      <c r="T82" s="520"/>
      <c r="U82" s="520"/>
      <c r="V82" s="520"/>
      <c r="W82" s="520"/>
      <c r="X82" s="520"/>
      <c r="Y82" s="520"/>
      <c r="Z82" s="520"/>
      <c r="AA82" s="520"/>
      <c r="AB82" s="520"/>
      <c r="AC82" s="520"/>
      <c r="AD82" s="520"/>
      <c r="AE82" s="520"/>
      <c r="AF82" s="520"/>
      <c r="AG82" s="520"/>
      <c r="AH82" s="520"/>
      <c r="AI82" s="520"/>
      <c r="AJ82" s="267"/>
      <c r="AK82" s="267"/>
      <c r="AL82" s="267"/>
      <c r="AM82" s="267"/>
      <c r="AN82" s="267"/>
      <c r="AO82" s="267"/>
      <c r="AP82" s="267"/>
      <c r="AQ82" s="267"/>
      <c r="AR82" s="267"/>
    </row>
    <row r="83" spans="1:44" ht="15.75">
      <c r="A83" s="267"/>
      <c r="B83" s="520" t="s">
        <v>169</v>
      </c>
      <c r="C83" s="523"/>
      <c r="D83" s="523"/>
      <c r="E83" s="523"/>
      <c r="F83" s="523"/>
      <c r="G83" s="523"/>
      <c r="H83" s="523"/>
      <c r="I83" s="523"/>
      <c r="J83" s="523"/>
      <c r="K83" s="523"/>
      <c r="L83" s="523">
        <f t="shared" ref="L83:AI83" si="51">SUM(L75:L81)</f>
        <v>20657</v>
      </c>
      <c r="M83" s="523">
        <f t="shared" si="51"/>
        <v>22096</v>
      </c>
      <c r="N83" s="523">
        <f t="shared" si="51"/>
        <v>25246</v>
      </c>
      <c r="O83" s="523">
        <f t="shared" si="51"/>
        <v>29329</v>
      </c>
      <c r="P83" s="523">
        <f t="shared" si="51"/>
        <v>32662</v>
      </c>
      <c r="Q83" s="523">
        <f t="shared" si="51"/>
        <v>36455</v>
      </c>
      <c r="R83" s="523">
        <f t="shared" si="51"/>
        <v>39408</v>
      </c>
      <c r="S83" s="523">
        <f t="shared" si="51"/>
        <v>43307</v>
      </c>
      <c r="T83" s="523">
        <f t="shared" si="51"/>
        <v>49831</v>
      </c>
      <c r="U83" s="523">
        <f t="shared" si="51"/>
        <v>54205.599999999999</v>
      </c>
      <c r="V83" s="523">
        <f t="shared" si="51"/>
        <v>60132.555999999997</v>
      </c>
      <c r="W83" s="523">
        <f t="shared" si="51"/>
        <v>68484.271999999997</v>
      </c>
      <c r="X83" s="523">
        <f t="shared" si="51"/>
        <v>73528.155999999988</v>
      </c>
      <c r="Y83" s="523">
        <f t="shared" si="51"/>
        <v>73749.069000000003</v>
      </c>
      <c r="Z83" s="523">
        <f t="shared" si="51"/>
        <v>73688.573948105928</v>
      </c>
      <c r="AA83" s="523">
        <f t="shared" si="51"/>
        <v>74710.928499654518</v>
      </c>
      <c r="AB83" s="523">
        <f t="shared" si="51"/>
        <v>76415.531766498811</v>
      </c>
      <c r="AC83" s="523">
        <f t="shared" si="51"/>
        <v>78352.25455332105</v>
      </c>
      <c r="AD83" s="523">
        <f t="shared" si="51"/>
        <v>80493.468993081071</v>
      </c>
      <c r="AE83" s="523">
        <f t="shared" si="51"/>
        <v>82589.177249624598</v>
      </c>
      <c r="AF83" s="523">
        <f t="shared" si="51"/>
        <v>84684.579152486796</v>
      </c>
      <c r="AG83" s="523">
        <f t="shared" si="51"/>
        <v>86698.706303454514</v>
      </c>
      <c r="AH83" s="523">
        <f t="shared" si="51"/>
        <v>88753.486471966869</v>
      </c>
      <c r="AI83" s="523">
        <f t="shared" si="51"/>
        <v>90871.673192926391</v>
      </c>
      <c r="AJ83" s="267"/>
      <c r="AK83" s="267"/>
      <c r="AL83" s="267"/>
      <c r="AM83" s="267"/>
      <c r="AN83" s="267"/>
      <c r="AO83" s="267"/>
      <c r="AP83" s="267"/>
      <c r="AQ83" s="267"/>
      <c r="AR83" s="267"/>
    </row>
    <row r="84" spans="1:44" ht="15.75">
      <c r="A84" s="267"/>
      <c r="B84" s="521" t="s">
        <v>170</v>
      </c>
      <c r="C84" s="522"/>
      <c r="D84" s="522"/>
      <c r="E84" s="522"/>
      <c r="F84" s="522"/>
      <c r="G84" s="522"/>
      <c r="H84" s="522"/>
      <c r="I84" s="522"/>
      <c r="J84" s="522"/>
      <c r="K84" s="522"/>
      <c r="L84" s="522">
        <f t="shared" ref="L84:X84" si="52">IF(L83-L70&lt;2,0,L83-L70)</f>
        <v>0</v>
      </c>
      <c r="M84" s="522">
        <f t="shared" si="52"/>
        <v>0</v>
      </c>
      <c r="N84" s="522">
        <f t="shared" si="52"/>
        <v>0</v>
      </c>
      <c r="O84" s="522">
        <f t="shared" si="52"/>
        <v>0</v>
      </c>
      <c r="P84" s="522">
        <f t="shared" si="52"/>
        <v>0</v>
      </c>
      <c r="Q84" s="522">
        <f t="shared" si="52"/>
        <v>0</v>
      </c>
      <c r="R84" s="522">
        <f t="shared" si="52"/>
        <v>0</v>
      </c>
      <c r="S84" s="522">
        <f t="shared" si="52"/>
        <v>0</v>
      </c>
      <c r="T84" s="522">
        <f t="shared" si="52"/>
        <v>0</v>
      </c>
      <c r="U84" s="522">
        <f t="shared" si="52"/>
        <v>0</v>
      </c>
      <c r="V84" s="522">
        <f t="shared" si="52"/>
        <v>0</v>
      </c>
      <c r="W84" s="522">
        <f t="shared" si="52"/>
        <v>0</v>
      </c>
      <c r="X84" s="522">
        <f t="shared" si="52"/>
        <v>0</v>
      </c>
      <c r="Y84" s="522">
        <f t="shared" ref="Y84:AI84" si="53">IF(Y83-Y70&lt;2,0,Y83-Y70)</f>
        <v>0</v>
      </c>
      <c r="Z84" s="522">
        <f t="shared" si="53"/>
        <v>904.87613248865819</v>
      </c>
      <c r="AA84" s="522">
        <f t="shared" si="53"/>
        <v>594.21498376343516</v>
      </c>
      <c r="AB84" s="522">
        <f t="shared" si="53"/>
        <v>264.88575574496645</v>
      </c>
      <c r="AC84" s="522">
        <f t="shared" si="53"/>
        <v>0</v>
      </c>
      <c r="AD84" s="522">
        <f t="shared" si="53"/>
        <v>0</v>
      </c>
      <c r="AE84" s="522">
        <f t="shared" si="53"/>
        <v>0</v>
      </c>
      <c r="AF84" s="522">
        <f t="shared" si="53"/>
        <v>0</v>
      </c>
      <c r="AG84" s="522">
        <f t="shared" si="53"/>
        <v>0</v>
      </c>
      <c r="AH84" s="522">
        <f t="shared" si="53"/>
        <v>0</v>
      </c>
      <c r="AI84" s="522">
        <f t="shared" si="53"/>
        <v>0</v>
      </c>
      <c r="AJ84" s="267"/>
      <c r="AK84" s="267"/>
      <c r="AL84" s="267"/>
      <c r="AM84" s="267"/>
      <c r="AN84" s="267"/>
      <c r="AO84" s="267"/>
      <c r="AP84" s="267"/>
      <c r="AQ84" s="267"/>
      <c r="AR84" s="267"/>
    </row>
    <row r="85" spans="1:44" ht="15.75">
      <c r="A85" s="267"/>
      <c r="B85" s="521"/>
      <c r="C85" s="522"/>
      <c r="D85" s="522"/>
      <c r="E85" s="522"/>
      <c r="F85" s="522"/>
      <c r="G85" s="522"/>
      <c r="H85" s="522"/>
      <c r="I85" s="550"/>
      <c r="J85" s="522"/>
      <c r="K85" s="522"/>
      <c r="L85" s="550"/>
      <c r="M85" s="550"/>
      <c r="N85" s="550"/>
      <c r="O85" s="550"/>
      <c r="P85" s="550"/>
      <c r="Q85" s="550"/>
      <c r="R85" s="550"/>
      <c r="S85" s="550"/>
      <c r="T85" s="550"/>
      <c r="U85" s="550"/>
      <c r="V85" s="550"/>
      <c r="W85" s="550"/>
      <c r="X85" s="550"/>
      <c r="Y85" s="550"/>
      <c r="Z85" s="550"/>
      <c r="AA85" s="550"/>
      <c r="AB85" s="550"/>
      <c r="AC85" s="550"/>
      <c r="AD85" s="550"/>
      <c r="AE85" s="550"/>
      <c r="AF85" s="550"/>
      <c r="AG85" s="550"/>
      <c r="AH85" s="550"/>
      <c r="AI85" s="550"/>
      <c r="AJ85" s="267"/>
      <c r="AK85" s="267"/>
      <c r="AL85" s="267"/>
      <c r="AM85" s="267"/>
      <c r="AN85" s="267"/>
      <c r="AO85" s="267"/>
      <c r="AP85" s="267"/>
      <c r="AQ85" s="267"/>
      <c r="AR85" s="267"/>
    </row>
    <row r="86" spans="1:44" ht="15.75">
      <c r="A86" s="267"/>
      <c r="B86" s="520" t="s">
        <v>24</v>
      </c>
      <c r="C86" s="523"/>
      <c r="D86" s="523"/>
      <c r="E86" s="523"/>
      <c r="F86" s="523"/>
      <c r="G86" s="523"/>
      <c r="H86" s="523"/>
      <c r="I86" s="523"/>
      <c r="J86" s="523"/>
      <c r="K86" s="523"/>
      <c r="L86" s="523">
        <f t="shared" ref="L86:AI86" si="54">L104</f>
        <v>-352</v>
      </c>
      <c r="M86" s="523">
        <f t="shared" si="54"/>
        <v>-405.69999999999982</v>
      </c>
      <c r="N86" s="523">
        <f t="shared" si="54"/>
        <v>-1098</v>
      </c>
      <c r="O86" s="523">
        <f t="shared" si="54"/>
        <v>401</v>
      </c>
      <c r="P86" s="523">
        <f t="shared" si="54"/>
        <v>2484</v>
      </c>
      <c r="Q86" s="523">
        <f t="shared" si="54"/>
        <v>936</v>
      </c>
      <c r="R86" s="523">
        <f t="shared" si="54"/>
        <v>567.90000000000009</v>
      </c>
      <c r="S86" s="523">
        <f t="shared" si="54"/>
        <v>4794</v>
      </c>
      <c r="T86" s="523">
        <f t="shared" si="54"/>
        <v>3622.3360000000002</v>
      </c>
      <c r="U86" s="523">
        <f t="shared" si="54"/>
        <v>4668.2510000000002</v>
      </c>
      <c r="V86" s="523">
        <f t="shared" si="54"/>
        <v>12842.623</v>
      </c>
      <c r="W86" s="523">
        <f t="shared" si="54"/>
        <v>20231.263999999999</v>
      </c>
      <c r="X86" s="523">
        <f t="shared" si="54"/>
        <v>21960.904999999999</v>
      </c>
      <c r="Y86" s="523">
        <f t="shared" si="54"/>
        <v>21457.014000000003</v>
      </c>
      <c r="Z86" s="523">
        <f t="shared" si="54"/>
        <v>21013.537985576048</v>
      </c>
      <c r="AA86" s="523">
        <f t="shared" si="54"/>
        <v>20295.302956888452</v>
      </c>
      <c r="AB86" s="523">
        <f t="shared" si="54"/>
        <v>19152.179257487169</v>
      </c>
      <c r="AC86" s="523">
        <f t="shared" si="54"/>
        <v>17656.984963966293</v>
      </c>
      <c r="AD86" s="523">
        <f t="shared" si="54"/>
        <v>15762.431526509212</v>
      </c>
      <c r="AE86" s="523">
        <f t="shared" si="54"/>
        <v>13771.986066993839</v>
      </c>
      <c r="AF86" s="523">
        <f t="shared" si="54"/>
        <v>11626.508028093</v>
      </c>
      <c r="AG86" s="523">
        <f t="shared" si="54"/>
        <v>9469.1873868563744</v>
      </c>
      <c r="AH86" s="523">
        <f t="shared" si="54"/>
        <v>7301.8044716997174</v>
      </c>
      <c r="AI86" s="523">
        <f t="shared" si="54"/>
        <v>4960.0053491310746</v>
      </c>
      <c r="AJ86" s="267"/>
      <c r="AK86" s="267"/>
      <c r="AL86" s="267"/>
      <c r="AM86" s="267"/>
      <c r="AN86" s="267"/>
      <c r="AO86" s="267"/>
      <c r="AP86" s="267"/>
      <c r="AQ86" s="267"/>
      <c r="AR86" s="267"/>
    </row>
    <row r="87" spans="1:44" ht="15.75">
      <c r="A87" s="267"/>
      <c r="B87" s="521" t="s">
        <v>171</v>
      </c>
      <c r="C87" s="522"/>
      <c r="D87" s="522"/>
      <c r="E87" s="522"/>
      <c r="F87" s="522"/>
      <c r="G87" s="522"/>
      <c r="H87" s="522"/>
      <c r="I87" s="522"/>
      <c r="J87" s="522"/>
      <c r="K87" s="522"/>
      <c r="L87" s="522">
        <f t="shared" ref="L87:AI87" si="55">L86-K86</f>
        <v>-352</v>
      </c>
      <c r="M87" s="522">
        <f t="shared" si="55"/>
        <v>-53.699999999999818</v>
      </c>
      <c r="N87" s="522">
        <f t="shared" si="55"/>
        <v>-692.30000000000018</v>
      </c>
      <c r="O87" s="522">
        <f t="shared" si="55"/>
        <v>1499</v>
      </c>
      <c r="P87" s="522">
        <f t="shared" si="55"/>
        <v>2083</v>
      </c>
      <c r="Q87" s="522">
        <f t="shared" si="55"/>
        <v>-1548</v>
      </c>
      <c r="R87" s="522">
        <f t="shared" si="55"/>
        <v>-368.09999999999991</v>
      </c>
      <c r="S87" s="522">
        <f t="shared" si="55"/>
        <v>4226.1000000000004</v>
      </c>
      <c r="T87" s="522">
        <f t="shared" si="55"/>
        <v>-1171.6639999999998</v>
      </c>
      <c r="U87" s="522">
        <f t="shared" si="55"/>
        <v>1045.915</v>
      </c>
      <c r="V87" s="522">
        <f t="shared" si="55"/>
        <v>8174.3719999999994</v>
      </c>
      <c r="W87" s="522">
        <f t="shared" si="55"/>
        <v>7388.6409999999996</v>
      </c>
      <c r="X87" s="522">
        <f t="shared" si="55"/>
        <v>1729.6409999999996</v>
      </c>
      <c r="Y87" s="522">
        <f t="shared" si="55"/>
        <v>-503.89099999999598</v>
      </c>
      <c r="Z87" s="522">
        <f t="shared" si="55"/>
        <v>-443.47601442395535</v>
      </c>
      <c r="AA87" s="522">
        <f t="shared" si="55"/>
        <v>-718.23502868759533</v>
      </c>
      <c r="AB87" s="522">
        <f t="shared" si="55"/>
        <v>-1143.1236994012834</v>
      </c>
      <c r="AC87" s="522">
        <f t="shared" si="55"/>
        <v>-1495.1942935208754</v>
      </c>
      <c r="AD87" s="522">
        <f t="shared" si="55"/>
        <v>-1894.5534374570816</v>
      </c>
      <c r="AE87" s="522">
        <f t="shared" si="55"/>
        <v>-1990.4454595153729</v>
      </c>
      <c r="AF87" s="522">
        <f t="shared" si="55"/>
        <v>-2145.4780389008392</v>
      </c>
      <c r="AG87" s="522">
        <f t="shared" si="55"/>
        <v>-2157.3206412366253</v>
      </c>
      <c r="AH87" s="522">
        <f t="shared" si="55"/>
        <v>-2167.382915156657</v>
      </c>
      <c r="AI87" s="522">
        <f t="shared" si="55"/>
        <v>-2341.7991225686428</v>
      </c>
      <c r="AJ87" s="267"/>
      <c r="AK87" s="267"/>
      <c r="AL87" s="267"/>
      <c r="AM87" s="267"/>
      <c r="AN87" s="267"/>
      <c r="AO87" s="267"/>
      <c r="AP87" s="267"/>
      <c r="AQ87" s="267"/>
      <c r="AR87" s="267"/>
    </row>
    <row r="88" spans="1:44" ht="15.75">
      <c r="A88" s="267"/>
      <c r="B88" s="521"/>
      <c r="C88" s="521"/>
      <c r="D88" s="521"/>
      <c r="E88" s="521"/>
      <c r="F88" s="521"/>
      <c r="G88" s="521"/>
      <c r="H88" s="521"/>
      <c r="I88" s="521"/>
      <c r="J88" s="522"/>
      <c r="K88" s="522"/>
      <c r="L88" s="522"/>
      <c r="M88" s="522"/>
      <c r="N88" s="522"/>
      <c r="O88" s="522"/>
      <c r="P88" s="522"/>
      <c r="Q88" s="522"/>
      <c r="R88" s="522"/>
      <c r="S88" s="522"/>
      <c r="T88" s="522"/>
      <c r="U88" s="522"/>
      <c r="V88" s="522"/>
      <c r="W88" s="522"/>
      <c r="X88" s="522"/>
      <c r="Y88" s="522"/>
      <c r="Z88" s="522"/>
      <c r="AA88" s="522"/>
      <c r="AB88" s="522"/>
      <c r="AC88" s="522"/>
      <c r="AD88" s="522"/>
      <c r="AE88" s="522"/>
      <c r="AF88" s="522"/>
      <c r="AG88" s="522"/>
      <c r="AH88" s="522"/>
      <c r="AI88" s="522"/>
      <c r="AJ88" s="267"/>
      <c r="AK88" s="267"/>
      <c r="AL88" s="267"/>
      <c r="AM88" s="267"/>
      <c r="AN88" s="267"/>
      <c r="AO88" s="267"/>
      <c r="AP88" s="267"/>
      <c r="AQ88" s="267"/>
      <c r="AR88" s="267"/>
    </row>
    <row r="89" spans="1:44" ht="15.75">
      <c r="A89" s="267"/>
      <c r="B89" s="521"/>
      <c r="C89" s="521"/>
      <c r="D89" s="521"/>
      <c r="E89" s="521"/>
      <c r="F89" s="521"/>
      <c r="G89" s="521"/>
      <c r="H89" s="521"/>
      <c r="I89" s="521"/>
      <c r="J89" s="522"/>
      <c r="K89" s="522"/>
      <c r="L89" s="522"/>
      <c r="M89" s="522"/>
      <c r="N89" s="522"/>
      <c r="O89" s="522"/>
      <c r="P89" s="522"/>
      <c r="Q89" s="522"/>
      <c r="R89" s="522"/>
      <c r="S89" s="522"/>
      <c r="T89" s="522"/>
      <c r="U89" s="522"/>
      <c r="V89" s="522"/>
      <c r="W89" s="522"/>
      <c r="X89" s="522"/>
      <c r="Y89" s="522"/>
      <c r="Z89" s="522"/>
      <c r="AA89" s="522"/>
      <c r="AB89" s="522"/>
      <c r="AC89" s="522"/>
      <c r="AD89" s="522"/>
      <c r="AE89" s="522"/>
      <c r="AF89" s="522"/>
      <c r="AG89" s="522"/>
      <c r="AH89" s="522"/>
      <c r="AI89" s="522"/>
      <c r="AJ89" s="267"/>
      <c r="AK89" s="267"/>
      <c r="AL89" s="267"/>
      <c r="AM89" s="267"/>
      <c r="AN89" s="267"/>
      <c r="AO89" s="267"/>
      <c r="AP89" s="267"/>
      <c r="AQ89" s="267"/>
      <c r="AR89" s="267"/>
    </row>
    <row r="90" spans="1:44" ht="15.75">
      <c r="A90" s="267"/>
      <c r="B90" s="521"/>
      <c r="C90" s="521"/>
      <c r="D90" s="521"/>
      <c r="E90" s="521"/>
      <c r="F90" s="521"/>
      <c r="G90" s="521"/>
      <c r="H90" s="521"/>
      <c r="I90" s="521"/>
      <c r="J90" s="522"/>
      <c r="K90" s="522"/>
      <c r="L90" s="522"/>
      <c r="M90" s="522"/>
      <c r="N90" s="522"/>
      <c r="O90" s="522"/>
      <c r="P90" s="522"/>
      <c r="Q90" s="522"/>
      <c r="R90" s="522"/>
      <c r="S90" s="522"/>
      <c r="T90" s="522"/>
      <c r="U90" s="522"/>
      <c r="V90" s="522"/>
      <c r="W90" s="522"/>
      <c r="X90" s="522"/>
      <c r="Y90" s="522"/>
      <c r="Z90" s="522"/>
      <c r="AA90" s="522"/>
      <c r="AB90" s="522"/>
      <c r="AC90" s="522"/>
      <c r="AD90" s="522"/>
      <c r="AE90" s="522"/>
      <c r="AF90" s="522"/>
      <c r="AG90" s="522"/>
      <c r="AH90" s="522"/>
      <c r="AI90" s="522"/>
      <c r="AJ90" s="267"/>
      <c r="AK90" s="267"/>
      <c r="AL90" s="267"/>
      <c r="AM90" s="267"/>
      <c r="AN90" s="267"/>
      <c r="AO90" s="267"/>
      <c r="AP90" s="267"/>
      <c r="AQ90" s="267"/>
      <c r="AR90" s="267"/>
    </row>
    <row r="91" spans="1:44" ht="15.75">
      <c r="A91" s="267"/>
      <c r="B91" s="519" t="s">
        <v>172</v>
      </c>
      <c r="C91" s="519">
        <v>2003</v>
      </c>
      <c r="D91" s="519">
        <f t="shared" ref="D91:AI91" si="56">C91+1</f>
        <v>2004</v>
      </c>
      <c r="E91" s="519">
        <f t="shared" si="56"/>
        <v>2005</v>
      </c>
      <c r="F91" s="519">
        <f t="shared" si="56"/>
        <v>2006</v>
      </c>
      <c r="G91" s="519">
        <f t="shared" si="56"/>
        <v>2007</v>
      </c>
      <c r="H91" s="519">
        <f t="shared" si="56"/>
        <v>2008</v>
      </c>
      <c r="I91" s="519">
        <f t="shared" si="56"/>
        <v>2009</v>
      </c>
      <c r="J91" s="519">
        <f t="shared" si="56"/>
        <v>2010</v>
      </c>
      <c r="K91" s="519">
        <f t="shared" si="56"/>
        <v>2011</v>
      </c>
      <c r="L91" s="519">
        <f t="shared" si="56"/>
        <v>2012</v>
      </c>
      <c r="M91" s="519">
        <f t="shared" si="56"/>
        <v>2013</v>
      </c>
      <c r="N91" s="519">
        <f t="shared" si="56"/>
        <v>2014</v>
      </c>
      <c r="O91" s="519">
        <f t="shared" si="56"/>
        <v>2015</v>
      </c>
      <c r="P91" s="519">
        <f t="shared" si="56"/>
        <v>2016</v>
      </c>
      <c r="Q91" s="519">
        <f t="shared" si="56"/>
        <v>2017</v>
      </c>
      <c r="R91" s="519">
        <f t="shared" si="56"/>
        <v>2018</v>
      </c>
      <c r="S91" s="519">
        <f t="shared" si="56"/>
        <v>2019</v>
      </c>
      <c r="T91" s="519">
        <f t="shared" si="56"/>
        <v>2020</v>
      </c>
      <c r="U91" s="519">
        <f t="shared" si="56"/>
        <v>2021</v>
      </c>
      <c r="V91" s="519">
        <f t="shared" si="56"/>
        <v>2022</v>
      </c>
      <c r="W91" s="519">
        <f t="shared" si="56"/>
        <v>2023</v>
      </c>
      <c r="X91" s="519">
        <f t="shared" si="56"/>
        <v>2024</v>
      </c>
      <c r="Y91" s="519">
        <f t="shared" si="56"/>
        <v>2025</v>
      </c>
      <c r="Z91" s="519">
        <f t="shared" si="56"/>
        <v>2026</v>
      </c>
      <c r="AA91" s="519">
        <f t="shared" si="56"/>
        <v>2027</v>
      </c>
      <c r="AB91" s="519">
        <f t="shared" si="56"/>
        <v>2028</v>
      </c>
      <c r="AC91" s="519">
        <f t="shared" si="56"/>
        <v>2029</v>
      </c>
      <c r="AD91" s="519">
        <f t="shared" si="56"/>
        <v>2030</v>
      </c>
      <c r="AE91" s="519">
        <f t="shared" si="56"/>
        <v>2031</v>
      </c>
      <c r="AF91" s="519">
        <f t="shared" si="56"/>
        <v>2032</v>
      </c>
      <c r="AG91" s="519">
        <f t="shared" si="56"/>
        <v>2033</v>
      </c>
      <c r="AH91" s="519">
        <f t="shared" si="56"/>
        <v>2034</v>
      </c>
      <c r="AI91" s="519">
        <f t="shared" si="56"/>
        <v>2035</v>
      </c>
      <c r="AJ91" s="267"/>
      <c r="AK91" s="267"/>
      <c r="AL91" s="267"/>
      <c r="AM91" s="267"/>
      <c r="AN91" s="267"/>
      <c r="AO91" s="267"/>
      <c r="AP91" s="267"/>
      <c r="AQ91" s="267"/>
      <c r="AR91" s="267"/>
    </row>
    <row r="92" spans="1:44" ht="15.75">
      <c r="A92" s="267"/>
      <c r="B92" s="521" t="s">
        <v>92</v>
      </c>
      <c r="C92" s="522"/>
      <c r="D92" s="522"/>
      <c r="E92" s="522"/>
      <c r="F92" s="522"/>
      <c r="G92" s="522"/>
      <c r="H92" s="522"/>
      <c r="I92" s="522"/>
      <c r="J92" s="522"/>
      <c r="K92" s="522"/>
      <c r="L92" s="522">
        <f t="shared" ref="L92:AI92" si="57">L53</f>
        <v>1792</v>
      </c>
      <c r="M92" s="522">
        <f t="shared" si="57"/>
        <v>2356</v>
      </c>
      <c r="N92" s="522">
        <f t="shared" si="57"/>
        <v>2511</v>
      </c>
      <c r="O92" s="522">
        <f t="shared" si="57"/>
        <v>2078</v>
      </c>
      <c r="P92" s="522">
        <f t="shared" si="57"/>
        <v>2041</v>
      </c>
      <c r="Q92" s="522">
        <f t="shared" si="57"/>
        <v>3023</v>
      </c>
      <c r="R92" s="522">
        <f t="shared" si="57"/>
        <v>3593.8770000000004</v>
      </c>
      <c r="S92" s="522">
        <f t="shared" si="57"/>
        <v>3626</v>
      </c>
      <c r="T92" s="522">
        <f t="shared" si="57"/>
        <v>2956</v>
      </c>
      <c r="U92" s="522">
        <f t="shared" si="57"/>
        <v>2649.4269999999997</v>
      </c>
      <c r="V92" s="522">
        <f t="shared" si="57"/>
        <v>933.01800000000003</v>
      </c>
      <c r="W92" s="522">
        <f t="shared" si="57"/>
        <v>370.99300000000039</v>
      </c>
      <c r="X92" s="522">
        <f t="shared" si="57"/>
        <v>4289.8529999999992</v>
      </c>
      <c r="Y92" s="522">
        <f t="shared" si="57"/>
        <v>6748.6419999999998</v>
      </c>
      <c r="Z92" s="522">
        <f t="shared" si="57"/>
        <v>7600.6554673000028</v>
      </c>
      <c r="AA92" s="522">
        <f t="shared" si="57"/>
        <v>9035.0979620000053</v>
      </c>
      <c r="AB92" s="522">
        <f t="shared" si="57"/>
        <v>10434.048178706402</v>
      </c>
      <c r="AC92" s="522">
        <f t="shared" si="57"/>
        <v>11640.484999369328</v>
      </c>
      <c r="AD92" s="522">
        <f t="shared" si="57"/>
        <v>12808.826894838408</v>
      </c>
      <c r="AE92" s="522">
        <f t="shared" si="57"/>
        <v>13547.758373735154</v>
      </c>
      <c r="AF92" s="522">
        <f t="shared" si="57"/>
        <v>14313.075235453951</v>
      </c>
      <c r="AG92" s="522">
        <f t="shared" si="57"/>
        <v>14979.96140719966</v>
      </c>
      <c r="AH92" s="522">
        <f t="shared" si="57"/>
        <v>15670.291268702656</v>
      </c>
      <c r="AI92" s="522">
        <f t="shared" si="57"/>
        <v>16516.101981944008</v>
      </c>
      <c r="AJ92" s="267"/>
      <c r="AK92" s="267"/>
      <c r="AL92" s="267"/>
      <c r="AM92" s="267"/>
      <c r="AN92" s="267"/>
      <c r="AO92" s="267"/>
      <c r="AP92" s="267"/>
      <c r="AQ92" s="267"/>
      <c r="AR92" s="267"/>
    </row>
    <row r="93" spans="1:44" ht="15.75">
      <c r="A93" s="267"/>
      <c r="B93" s="521" t="s">
        <v>173</v>
      </c>
      <c r="C93" s="522"/>
      <c r="D93" s="522"/>
      <c r="E93" s="522"/>
      <c r="F93" s="522"/>
      <c r="G93" s="522"/>
      <c r="H93" s="522"/>
      <c r="I93" s="522"/>
      <c r="J93" s="522"/>
      <c r="K93" s="522"/>
      <c r="L93" s="522">
        <f>L174</f>
        <v>112</v>
      </c>
      <c r="M93" s="522">
        <f>M174</f>
        <v>34</v>
      </c>
      <c r="N93" s="522">
        <f t="shared" ref="N93:AI93" si="58">-N174</f>
        <v>36.900000000000006</v>
      </c>
      <c r="O93" s="522">
        <f t="shared" si="58"/>
        <v>80.733000000000004</v>
      </c>
      <c r="P93" s="522">
        <f t="shared" si="58"/>
        <v>113</v>
      </c>
      <c r="Q93" s="522">
        <f t="shared" si="58"/>
        <v>-2.5</v>
      </c>
      <c r="R93" s="522">
        <f t="shared" si="58"/>
        <v>-29.299999999999997</v>
      </c>
      <c r="S93" s="522">
        <f t="shared" si="58"/>
        <v>-413</v>
      </c>
      <c r="T93" s="522">
        <f t="shared" si="58"/>
        <v>-545</v>
      </c>
      <c r="U93" s="522">
        <f t="shared" si="58"/>
        <v>-697</v>
      </c>
      <c r="V93" s="522">
        <f t="shared" si="58"/>
        <v>-1258.9899999999998</v>
      </c>
      <c r="W93" s="522">
        <f t="shared" si="58"/>
        <v>-1906.258</v>
      </c>
      <c r="X93" s="522">
        <f t="shared" si="58"/>
        <v>-2535.7079999999996</v>
      </c>
      <c r="Y93" s="522">
        <f t="shared" si="58"/>
        <v>-2104.5239999999999</v>
      </c>
      <c r="Z93" s="522">
        <f t="shared" si="58"/>
        <v>-2049.7963986196419</v>
      </c>
      <c r="AA93" s="522">
        <f t="shared" si="58"/>
        <v>-2021.1214665676478</v>
      </c>
      <c r="AB93" s="522">
        <f t="shared" si="58"/>
        <v>-1955.6667391230112</v>
      </c>
      <c r="AC93" s="522">
        <f t="shared" si="58"/>
        <v>-1856.3554404004174</v>
      </c>
      <c r="AD93" s="522">
        <f t="shared" si="58"/>
        <v>-1757.7900475162949</v>
      </c>
      <c r="AE93" s="522">
        <f t="shared" si="58"/>
        <v>-1654.702478980947</v>
      </c>
      <c r="AF93" s="522">
        <f t="shared" si="58"/>
        <v>-1598.033506574478</v>
      </c>
      <c r="AG93" s="522">
        <f t="shared" si="58"/>
        <v>-1549.623823456421</v>
      </c>
      <c r="AH93" s="522">
        <f t="shared" si="58"/>
        <v>-1511.5308952506296</v>
      </c>
      <c r="AI93" s="522">
        <f t="shared" si="58"/>
        <v>-1420.3220044511982</v>
      </c>
      <c r="AJ93" s="267"/>
      <c r="AK93" s="267"/>
      <c r="AL93" s="267"/>
      <c r="AM93" s="267"/>
      <c r="AN93" s="267"/>
      <c r="AO93" s="267"/>
      <c r="AP93" s="267"/>
      <c r="AQ93" s="267"/>
      <c r="AR93" s="267"/>
    </row>
    <row r="94" spans="1:44" ht="15.75">
      <c r="A94" s="267"/>
      <c r="B94" s="521" t="s">
        <v>3389</v>
      </c>
      <c r="C94" s="522"/>
      <c r="D94" s="522"/>
      <c r="E94" s="522"/>
      <c r="F94" s="522"/>
      <c r="G94" s="522"/>
      <c r="H94" s="522"/>
      <c r="I94" s="522"/>
      <c r="J94" s="522"/>
      <c r="K94" s="522"/>
      <c r="L94" s="522"/>
      <c r="M94" s="522"/>
      <c r="N94" s="522"/>
      <c r="O94" s="522"/>
      <c r="P94" s="522"/>
      <c r="Q94" s="522"/>
      <c r="R94" s="522"/>
      <c r="S94" s="522">
        <f>-S129</f>
        <v>-100</v>
      </c>
      <c r="T94" s="522">
        <f t="shared" ref="T94:AI94" si="59">-T141</f>
        <v>-1735.2650000000001</v>
      </c>
      <c r="U94" s="522">
        <f t="shared" si="59"/>
        <v>-1557.3579999999999</v>
      </c>
      <c r="V94" s="522">
        <f t="shared" si="59"/>
        <v>-1626.65</v>
      </c>
      <c r="W94" s="522">
        <f t="shared" si="59"/>
        <v>-505.54</v>
      </c>
      <c r="X94" s="522">
        <f t="shared" si="59"/>
        <v>-495.41500000000002</v>
      </c>
      <c r="Y94" s="522">
        <f t="shared" si="59"/>
        <v>-520.1857500000001</v>
      </c>
      <c r="Z94" s="522">
        <f t="shared" si="59"/>
        <v>-546.19503750000013</v>
      </c>
      <c r="AA94" s="522">
        <f t="shared" si="59"/>
        <v>-573.5047893750002</v>
      </c>
      <c r="AB94" s="522">
        <f t="shared" si="59"/>
        <v>-602.18002884375028</v>
      </c>
      <c r="AC94" s="522">
        <f t="shared" si="59"/>
        <v>-632.28903028593777</v>
      </c>
      <c r="AD94" s="522">
        <f t="shared" si="59"/>
        <v>-663.90348180023466</v>
      </c>
      <c r="AE94" s="522">
        <f t="shared" si="59"/>
        <v>-697.09865589024639</v>
      </c>
      <c r="AF94" s="522">
        <f t="shared" si="59"/>
        <v>-731.95358868475876</v>
      </c>
      <c r="AG94" s="522">
        <f t="shared" si="59"/>
        <v>-768.55126811899675</v>
      </c>
      <c r="AH94" s="522">
        <f t="shared" si="59"/>
        <v>-806.9788315249466</v>
      </c>
      <c r="AI94" s="522">
        <f t="shared" si="59"/>
        <v>-847.327773101194</v>
      </c>
      <c r="AJ94" s="267"/>
      <c r="AK94" s="267"/>
      <c r="AL94" s="267"/>
      <c r="AM94" s="267"/>
      <c r="AN94" s="267"/>
      <c r="AO94" s="267"/>
      <c r="AP94" s="267"/>
      <c r="AQ94" s="267"/>
      <c r="AR94" s="267"/>
    </row>
    <row r="95" spans="1:44" ht="15.75">
      <c r="A95" s="267"/>
      <c r="B95" s="521" t="s">
        <v>174</v>
      </c>
      <c r="C95" s="522"/>
      <c r="D95" s="522"/>
      <c r="E95" s="522"/>
      <c r="F95" s="522"/>
      <c r="G95" s="522"/>
      <c r="H95" s="522"/>
      <c r="I95" s="522"/>
      <c r="J95" s="522"/>
      <c r="K95" s="522"/>
      <c r="L95" s="522">
        <f t="shared" ref="L95:AI95" si="60">-L284</f>
        <v>-502</v>
      </c>
      <c r="M95" s="522">
        <f t="shared" si="60"/>
        <v>-871.99999999999989</v>
      </c>
      <c r="N95" s="522">
        <f t="shared" si="60"/>
        <v>-785.5</v>
      </c>
      <c r="O95" s="522">
        <f t="shared" si="60"/>
        <v>-959</v>
      </c>
      <c r="P95" s="522">
        <f t="shared" si="60"/>
        <v>-845</v>
      </c>
      <c r="Q95" s="522">
        <f t="shared" si="60"/>
        <v>-1013</v>
      </c>
      <c r="R95" s="522">
        <f t="shared" si="60"/>
        <v>-1347</v>
      </c>
      <c r="S95" s="522">
        <f t="shared" si="60"/>
        <v>-1267</v>
      </c>
      <c r="T95" s="522">
        <f t="shared" si="60"/>
        <v>-1430</v>
      </c>
      <c r="U95" s="522">
        <f t="shared" si="60"/>
        <v>-1645.319</v>
      </c>
      <c r="V95" s="522">
        <f t="shared" si="60"/>
        <v>-1614.981</v>
      </c>
      <c r="W95" s="522">
        <f t="shared" si="60"/>
        <v>-1301.4839999999999</v>
      </c>
      <c r="X95" s="522">
        <f t="shared" si="60"/>
        <v>-1095</v>
      </c>
      <c r="Y95" s="522">
        <f t="shared" si="60"/>
        <v>-1299.261</v>
      </c>
      <c r="Z95" s="522">
        <f t="shared" si="60"/>
        <v>-1429.0995535855532</v>
      </c>
      <c r="AA95" s="522">
        <f t="shared" si="60"/>
        <v>-2132.9916656806081</v>
      </c>
      <c r="AB95" s="522">
        <f t="shared" si="60"/>
        <v>-2632.7421324739876</v>
      </c>
      <c r="AC95" s="522">
        <f t="shared" si="60"/>
        <v>-3015.2875230411705</v>
      </c>
      <c r="AD95" s="522">
        <f t="shared" si="60"/>
        <v>-3350.5363120254701</v>
      </c>
      <c r="AE95" s="522">
        <f t="shared" si="60"/>
        <v>-3577.199163624789</v>
      </c>
      <c r="AF95" s="522">
        <f t="shared" si="60"/>
        <v>-3801.0439548330651</v>
      </c>
      <c r="AG95" s="522">
        <f t="shared" si="60"/>
        <v>-4033.2090784514276</v>
      </c>
      <c r="AH95" s="522">
        <f t="shared" si="60"/>
        <v>-4266.1827970118857</v>
      </c>
      <c r="AI95" s="522">
        <f t="shared" si="60"/>
        <v>-4519.8338687137311</v>
      </c>
      <c r="AJ95" s="267"/>
      <c r="AK95" s="267"/>
      <c r="AL95" s="267"/>
      <c r="AM95" s="267"/>
      <c r="AN95" s="267"/>
      <c r="AO95" s="267"/>
      <c r="AP95" s="267"/>
      <c r="AQ95" s="267"/>
      <c r="AR95" s="267"/>
    </row>
    <row r="96" spans="1:44" ht="15.75">
      <c r="A96" s="267"/>
      <c r="B96" s="521" t="s">
        <v>175</v>
      </c>
      <c r="C96" s="522"/>
      <c r="D96" s="522"/>
      <c r="E96" s="522"/>
      <c r="F96" s="522"/>
      <c r="G96" s="522"/>
      <c r="H96" s="522"/>
      <c r="I96" s="522"/>
      <c r="J96" s="522"/>
      <c r="K96" s="522"/>
      <c r="L96" s="522">
        <f t="shared" ref="L96:T96" si="61">L236</f>
        <v>659</v>
      </c>
      <c r="M96" s="522">
        <f t="shared" si="61"/>
        <v>-295.30000000000018</v>
      </c>
      <c r="N96" s="522">
        <f t="shared" si="61"/>
        <v>-318.69999999999982</v>
      </c>
      <c r="O96" s="522">
        <f t="shared" si="61"/>
        <v>-677</v>
      </c>
      <c r="P96" s="522">
        <f t="shared" si="61"/>
        <v>-11</v>
      </c>
      <c r="Q96" s="522">
        <f t="shared" si="61"/>
        <v>1276</v>
      </c>
      <c r="R96" s="522">
        <f t="shared" si="61"/>
        <v>594.40000000000009</v>
      </c>
      <c r="S96" s="522">
        <f t="shared" si="61"/>
        <v>-2224.4</v>
      </c>
      <c r="T96" s="522">
        <f t="shared" si="61"/>
        <v>1152.1639999999998</v>
      </c>
      <c r="U96" s="522">
        <f>U237</f>
        <v>1058.8350000000009</v>
      </c>
      <c r="V96" s="522">
        <f t="shared" ref="V96:AI96" si="62">V237</f>
        <v>-701.96100000000115</v>
      </c>
      <c r="W96" s="522">
        <f t="shared" si="62"/>
        <v>114.62099999999919</v>
      </c>
      <c r="X96" s="522">
        <f t="shared" si="62"/>
        <v>32.791999999999462</v>
      </c>
      <c r="Y96" s="522">
        <f t="shared" si="62"/>
        <v>0</v>
      </c>
      <c r="Z96" s="522">
        <f t="shared" si="62"/>
        <v>42.970336829149915</v>
      </c>
      <c r="AA96" s="522">
        <f t="shared" si="62"/>
        <v>47.524313170849723</v>
      </c>
      <c r="AB96" s="522">
        <f t="shared" si="62"/>
        <v>55.809483655631652</v>
      </c>
      <c r="AC96" s="522">
        <f t="shared" si="62"/>
        <v>58.310488371413385</v>
      </c>
      <c r="AD96" s="522">
        <f t="shared" si="62"/>
        <v>61.937913090490269</v>
      </c>
      <c r="AE96" s="522">
        <f t="shared" si="62"/>
        <v>64.499337537716656</v>
      </c>
      <c r="AF96" s="522">
        <f t="shared" si="62"/>
        <v>64.763606853486522</v>
      </c>
      <c r="AG96" s="522">
        <f t="shared" si="62"/>
        <v>58.46703734159712</v>
      </c>
      <c r="AH96" s="522">
        <f t="shared" si="62"/>
        <v>60.683837595658474</v>
      </c>
      <c r="AI96" s="522">
        <f t="shared" si="62"/>
        <v>62.99139004448125</v>
      </c>
      <c r="AJ96" s="267"/>
      <c r="AK96" s="267"/>
      <c r="AL96" s="267"/>
      <c r="AM96" s="267"/>
      <c r="AN96" s="267"/>
      <c r="AO96" s="267"/>
      <c r="AP96" s="267"/>
      <c r="AQ96" s="267"/>
      <c r="AR96" s="267"/>
    </row>
    <row r="97" spans="1:44" ht="15.75">
      <c r="A97" s="267"/>
      <c r="B97" s="521" t="s">
        <v>176</v>
      </c>
      <c r="C97" s="522"/>
      <c r="D97" s="522"/>
      <c r="E97" s="522"/>
      <c r="F97" s="522"/>
      <c r="G97" s="522"/>
      <c r="H97" s="522"/>
      <c r="I97" s="522"/>
      <c r="J97" s="522"/>
      <c r="K97" s="522"/>
      <c r="L97" s="522">
        <f t="shared" ref="L97:AI97" si="63">L247+L250</f>
        <v>0</v>
      </c>
      <c r="M97" s="522">
        <f t="shared" si="63"/>
        <v>0</v>
      </c>
      <c r="N97" s="522">
        <f t="shared" si="63"/>
        <v>0</v>
      </c>
      <c r="O97" s="522">
        <f t="shared" si="63"/>
        <v>0</v>
      </c>
      <c r="P97" s="522">
        <f t="shared" si="63"/>
        <v>0</v>
      </c>
      <c r="Q97" s="522">
        <f t="shared" si="63"/>
        <v>0</v>
      </c>
      <c r="R97" s="522">
        <f t="shared" si="63"/>
        <v>0</v>
      </c>
      <c r="S97" s="522">
        <f t="shared" si="63"/>
        <v>0</v>
      </c>
      <c r="T97" s="522">
        <f t="shared" si="63"/>
        <v>0</v>
      </c>
      <c r="U97" s="522">
        <f t="shared" si="63"/>
        <v>0</v>
      </c>
      <c r="V97" s="522">
        <f t="shared" si="63"/>
        <v>0</v>
      </c>
      <c r="W97" s="522">
        <f t="shared" si="63"/>
        <v>0</v>
      </c>
      <c r="X97" s="522">
        <f t="shared" si="63"/>
        <v>0</v>
      </c>
      <c r="Y97" s="522">
        <f t="shared" si="63"/>
        <v>0</v>
      </c>
      <c r="Z97" s="522">
        <f t="shared" si="63"/>
        <v>0</v>
      </c>
      <c r="AA97" s="522">
        <f t="shared" si="63"/>
        <v>0</v>
      </c>
      <c r="AB97" s="522">
        <f t="shared" si="63"/>
        <v>0</v>
      </c>
      <c r="AC97" s="522">
        <f t="shared" si="63"/>
        <v>0</v>
      </c>
      <c r="AD97" s="522">
        <f t="shared" si="63"/>
        <v>0</v>
      </c>
      <c r="AE97" s="522">
        <f t="shared" si="63"/>
        <v>0</v>
      </c>
      <c r="AF97" s="522">
        <f t="shared" si="63"/>
        <v>0</v>
      </c>
      <c r="AG97" s="522">
        <f t="shared" si="63"/>
        <v>0</v>
      </c>
      <c r="AH97" s="522">
        <f t="shared" si="63"/>
        <v>0</v>
      </c>
      <c r="AI97" s="522">
        <f t="shared" si="63"/>
        <v>0</v>
      </c>
      <c r="AJ97" s="267"/>
      <c r="AK97" s="267"/>
      <c r="AL97" s="267"/>
      <c r="AM97" s="267"/>
      <c r="AN97" s="267"/>
      <c r="AO97" s="267"/>
      <c r="AP97" s="267"/>
      <c r="AQ97" s="267"/>
      <c r="AR97" s="267"/>
    </row>
    <row r="98" spans="1:44" ht="15.75">
      <c r="A98" s="267"/>
      <c r="B98" s="521" t="s">
        <v>177</v>
      </c>
      <c r="C98" s="522"/>
      <c r="D98" s="522"/>
      <c r="E98" s="522"/>
      <c r="F98" s="522"/>
      <c r="G98" s="522"/>
      <c r="H98" s="522"/>
      <c r="I98" s="522"/>
      <c r="J98" s="522"/>
      <c r="K98" s="522"/>
      <c r="L98" s="522">
        <f>-L362</f>
        <v>-533.11290791850001</v>
      </c>
      <c r="M98" s="522">
        <f>-M362</f>
        <v>-1568.522957337</v>
      </c>
      <c r="N98" s="522">
        <v>0</v>
      </c>
      <c r="O98" s="522">
        <f t="shared" ref="O98:AI98" si="64">-N362</f>
        <v>-979.55297999999982</v>
      </c>
      <c r="P98" s="522">
        <f t="shared" si="64"/>
        <v>-1168.58952</v>
      </c>
      <c r="Q98" s="522">
        <f t="shared" si="64"/>
        <v>-1391.9963399999999</v>
      </c>
      <c r="R98" s="522">
        <f t="shared" si="64"/>
        <v>-1529.4774599999998</v>
      </c>
      <c r="S98" s="522">
        <f t="shared" si="64"/>
        <v>-1873.1802600000001</v>
      </c>
      <c r="T98" s="522">
        <f t="shared" si="64"/>
        <v>-1529.4774599999998</v>
      </c>
      <c r="U98" s="522">
        <f t="shared" si="64"/>
        <v>-2201.6972799999999</v>
      </c>
      <c r="V98" s="522">
        <f t="shared" si="64"/>
        <v>-2418.08232</v>
      </c>
      <c r="W98" s="522">
        <f t="shared" si="64"/>
        <v>-2538.5477999999998</v>
      </c>
      <c r="X98" s="522">
        <f t="shared" si="64"/>
        <v>-2644.18154</v>
      </c>
      <c r="Y98" s="522">
        <f t="shared" si="64"/>
        <v>-2867.39167</v>
      </c>
      <c r="Z98" s="522">
        <f t="shared" si="64"/>
        <v>-3175.0588000000002</v>
      </c>
      <c r="AA98" s="522">
        <f t="shared" si="64"/>
        <v>-3636.7693248600012</v>
      </c>
      <c r="AB98" s="522">
        <f t="shared" si="64"/>
        <v>-4156.1450625200014</v>
      </c>
      <c r="AC98" s="522">
        <f t="shared" si="64"/>
        <v>-4699.6692004923425</v>
      </c>
      <c r="AD98" s="522">
        <f t="shared" si="64"/>
        <v>-5203.9815291298173</v>
      </c>
      <c r="AE98" s="522">
        <f t="shared" si="64"/>
        <v>-5692.8119532615146</v>
      </c>
      <c r="AF98" s="522">
        <f t="shared" si="64"/>
        <v>-6101.3297533142959</v>
      </c>
      <c r="AG98" s="522">
        <f t="shared" si="64"/>
        <v>-6529.7236332777857</v>
      </c>
      <c r="AH98" s="522">
        <f t="shared" si="64"/>
        <v>-6978.8996673541951</v>
      </c>
      <c r="AI98" s="522">
        <f t="shared" si="64"/>
        <v>-7449.8106031537218</v>
      </c>
      <c r="AJ98" s="267"/>
      <c r="AK98" s="267"/>
      <c r="AL98" s="267"/>
      <c r="AM98" s="267"/>
      <c r="AN98" s="267"/>
      <c r="AO98" s="267"/>
      <c r="AP98" s="267"/>
      <c r="AQ98" s="267"/>
      <c r="AR98" s="267"/>
    </row>
    <row r="99" spans="1:44" ht="15.75">
      <c r="A99" s="267"/>
      <c r="B99" s="521" t="s">
        <v>178</v>
      </c>
      <c r="C99" s="522"/>
      <c r="D99" s="522"/>
      <c r="E99" s="522"/>
      <c r="F99" s="522"/>
      <c r="G99" s="522"/>
      <c r="H99" s="522"/>
      <c r="I99" s="522"/>
      <c r="J99" s="522"/>
      <c r="K99" s="522"/>
      <c r="L99" s="522">
        <f t="shared" ref="L99:AI99" si="65">-L310</f>
        <v>0</v>
      </c>
      <c r="M99" s="522">
        <f t="shared" si="65"/>
        <v>0</v>
      </c>
      <c r="N99" s="522">
        <f t="shared" si="65"/>
        <v>0</v>
      </c>
      <c r="O99" s="522">
        <f t="shared" si="65"/>
        <v>0</v>
      </c>
      <c r="P99" s="522">
        <f t="shared" si="65"/>
        <v>0</v>
      </c>
      <c r="Q99" s="522">
        <f t="shared" si="65"/>
        <v>0</v>
      </c>
      <c r="R99" s="522">
        <f t="shared" si="65"/>
        <v>0</v>
      </c>
      <c r="S99" s="522">
        <f t="shared" si="65"/>
        <v>0</v>
      </c>
      <c r="T99" s="522">
        <f t="shared" si="65"/>
        <v>0</v>
      </c>
      <c r="U99" s="522">
        <f t="shared" si="65"/>
        <v>0</v>
      </c>
      <c r="V99" s="522">
        <f t="shared" si="65"/>
        <v>0</v>
      </c>
      <c r="W99" s="522">
        <f t="shared" si="65"/>
        <v>0</v>
      </c>
      <c r="X99" s="522">
        <f t="shared" si="65"/>
        <v>0</v>
      </c>
      <c r="Y99" s="522">
        <f t="shared" si="65"/>
        <v>0</v>
      </c>
      <c r="Z99" s="522">
        <f t="shared" si="65"/>
        <v>0</v>
      </c>
      <c r="AA99" s="522">
        <f t="shared" si="65"/>
        <v>0</v>
      </c>
      <c r="AB99" s="522">
        <f t="shared" si="65"/>
        <v>0</v>
      </c>
      <c r="AC99" s="522">
        <f t="shared" si="65"/>
        <v>0</v>
      </c>
      <c r="AD99" s="522">
        <f t="shared" si="65"/>
        <v>0</v>
      </c>
      <c r="AE99" s="522">
        <f t="shared" si="65"/>
        <v>0</v>
      </c>
      <c r="AF99" s="522">
        <f t="shared" si="65"/>
        <v>0</v>
      </c>
      <c r="AG99" s="522">
        <f t="shared" si="65"/>
        <v>0</v>
      </c>
      <c r="AH99" s="522">
        <f t="shared" si="65"/>
        <v>0</v>
      </c>
      <c r="AI99" s="522">
        <f t="shared" si="65"/>
        <v>0</v>
      </c>
      <c r="AJ99" s="267"/>
      <c r="AK99" s="267"/>
      <c r="AL99" s="267"/>
      <c r="AM99" s="267"/>
      <c r="AN99" s="267"/>
      <c r="AO99" s="267"/>
      <c r="AP99" s="267"/>
      <c r="AQ99" s="267"/>
      <c r="AR99" s="267"/>
    </row>
    <row r="100" spans="1:44" ht="15.75">
      <c r="A100" s="267"/>
      <c r="B100" s="521" t="s">
        <v>179</v>
      </c>
      <c r="C100" s="522"/>
      <c r="D100" s="522"/>
      <c r="E100" s="522"/>
      <c r="F100" s="522"/>
      <c r="G100" s="522"/>
      <c r="H100" s="522"/>
      <c r="I100" s="522"/>
      <c r="J100" s="522"/>
      <c r="K100" s="522"/>
      <c r="L100" s="522"/>
      <c r="M100" s="522"/>
      <c r="N100" s="522"/>
      <c r="O100" s="522"/>
      <c r="P100" s="522"/>
      <c r="Q100" s="522"/>
      <c r="R100" s="522"/>
      <c r="S100" s="522"/>
      <c r="T100" s="522"/>
      <c r="U100" s="522"/>
      <c r="V100" s="522"/>
      <c r="W100" s="522"/>
      <c r="X100" s="522"/>
      <c r="Y100" s="522"/>
      <c r="Z100" s="359"/>
      <c r="AA100" s="359"/>
      <c r="AB100" s="359"/>
      <c r="AC100" s="359"/>
      <c r="AD100" s="359"/>
      <c r="AE100" s="359"/>
      <c r="AF100" s="359"/>
      <c r="AG100" s="359"/>
      <c r="AH100" s="359"/>
      <c r="AI100" s="359"/>
      <c r="AJ100" s="267"/>
      <c r="AK100" s="267"/>
      <c r="AL100" s="267"/>
      <c r="AM100" s="267"/>
      <c r="AN100" s="267"/>
      <c r="AO100" s="267"/>
      <c r="AP100" s="267"/>
      <c r="AQ100" s="267"/>
      <c r="AR100" s="267"/>
    </row>
    <row r="101" spans="1:44" ht="15.75">
      <c r="A101" s="267"/>
      <c r="B101" s="521" t="s">
        <v>180</v>
      </c>
      <c r="C101" s="860"/>
      <c r="D101" s="860"/>
      <c r="E101" s="860"/>
      <c r="F101" s="860"/>
      <c r="G101" s="860"/>
      <c r="H101" s="860"/>
      <c r="I101" s="860"/>
      <c r="J101" s="860"/>
      <c r="K101" s="860"/>
      <c r="L101" s="860"/>
      <c r="M101" s="860">
        <f t="shared" ref="M101:Y101" si="66">L104-M104-SUM(M92:M100)</f>
        <v>399.52295733699998</v>
      </c>
      <c r="N101" s="860">
        <f t="shared" si="66"/>
        <v>-751.40000000000009</v>
      </c>
      <c r="O101" s="860">
        <f t="shared" si="66"/>
        <v>-1042.1800200000002</v>
      </c>
      <c r="P101" s="860">
        <f t="shared" si="66"/>
        <v>-2212.41048</v>
      </c>
      <c r="Q101" s="860">
        <f t="shared" si="66"/>
        <v>-343.50366000000008</v>
      </c>
      <c r="R101" s="860">
        <f t="shared" si="66"/>
        <v>-914.39954000000057</v>
      </c>
      <c r="S101" s="860">
        <f t="shared" si="66"/>
        <v>-1974.5197400000002</v>
      </c>
      <c r="T101" s="860">
        <f t="shared" si="66"/>
        <v>2303.2424599999999</v>
      </c>
      <c r="U101" s="860">
        <f t="shared" si="66"/>
        <v>1347.1972799999994</v>
      </c>
      <c r="V101" s="860">
        <f t="shared" si="66"/>
        <v>-1486.7256799999977</v>
      </c>
      <c r="W101" s="860">
        <f t="shared" si="66"/>
        <v>-1622.4251999999997</v>
      </c>
      <c r="X101" s="860">
        <f t="shared" si="66"/>
        <v>718.01854000000139</v>
      </c>
      <c r="Y101" s="860">
        <f t="shared" si="66"/>
        <v>546.61141999999609</v>
      </c>
      <c r="Z101" s="860">
        <f t="shared" ref="Z101:AI101" si="67">Z330</f>
        <v>0</v>
      </c>
      <c r="AA101" s="860">
        <f t="shared" si="67"/>
        <v>0</v>
      </c>
      <c r="AB101" s="860">
        <f t="shared" si="67"/>
        <v>0</v>
      </c>
      <c r="AC101" s="860">
        <f t="shared" si="67"/>
        <v>0</v>
      </c>
      <c r="AD101" s="860">
        <f t="shared" si="67"/>
        <v>0</v>
      </c>
      <c r="AE101" s="860">
        <f t="shared" si="67"/>
        <v>0</v>
      </c>
      <c r="AF101" s="860">
        <f t="shared" si="67"/>
        <v>0</v>
      </c>
      <c r="AG101" s="860">
        <f t="shared" si="67"/>
        <v>0</v>
      </c>
      <c r="AH101" s="860">
        <f t="shared" si="67"/>
        <v>0</v>
      </c>
      <c r="AI101" s="860">
        <f t="shared" si="67"/>
        <v>0</v>
      </c>
      <c r="AJ101" s="267"/>
      <c r="AK101" s="267"/>
      <c r="AL101" s="267"/>
      <c r="AM101" s="267"/>
      <c r="AN101" s="267"/>
      <c r="AO101" s="267"/>
      <c r="AP101" s="267"/>
      <c r="AQ101" s="267"/>
      <c r="AR101" s="267"/>
    </row>
    <row r="102" spans="1:44" ht="15.75">
      <c r="A102" s="267"/>
      <c r="B102" s="520" t="s">
        <v>171</v>
      </c>
      <c r="C102" s="523"/>
      <c r="D102" s="523"/>
      <c r="E102" s="523"/>
      <c r="F102" s="523"/>
      <c r="G102" s="523"/>
      <c r="H102" s="523"/>
      <c r="I102" s="523"/>
      <c r="J102" s="523"/>
      <c r="K102" s="523"/>
      <c r="L102" s="523">
        <f t="shared" ref="L102:AI102" si="68">SUM(L92:L101)</f>
        <v>1527.8870920815</v>
      </c>
      <c r="M102" s="523">
        <f t="shared" si="68"/>
        <v>53.699999999999818</v>
      </c>
      <c r="N102" s="523">
        <f t="shared" si="68"/>
        <v>692.30000000000018</v>
      </c>
      <c r="O102" s="523">
        <f t="shared" si="68"/>
        <v>-1499</v>
      </c>
      <c r="P102" s="523">
        <f t="shared" si="68"/>
        <v>-2083</v>
      </c>
      <c r="Q102" s="523">
        <f t="shared" si="68"/>
        <v>1548</v>
      </c>
      <c r="R102" s="523">
        <f t="shared" si="68"/>
        <v>368.09999999999991</v>
      </c>
      <c r="S102" s="523">
        <f t="shared" si="68"/>
        <v>-4226.1000000000004</v>
      </c>
      <c r="T102" s="523">
        <f t="shared" si="68"/>
        <v>1171.6639999999998</v>
      </c>
      <c r="U102" s="523">
        <f t="shared" si="68"/>
        <v>-1045.915</v>
      </c>
      <c r="V102" s="523">
        <f t="shared" si="68"/>
        <v>-8174.3719999999994</v>
      </c>
      <c r="W102" s="523">
        <f t="shared" si="68"/>
        <v>-7388.6409999999996</v>
      </c>
      <c r="X102" s="523">
        <f t="shared" si="68"/>
        <v>-1729.6409999999996</v>
      </c>
      <c r="Y102" s="523">
        <f t="shared" si="68"/>
        <v>503.89099999999598</v>
      </c>
      <c r="Z102" s="523">
        <f t="shared" si="68"/>
        <v>443.47601442395671</v>
      </c>
      <c r="AA102" s="523">
        <f t="shared" si="68"/>
        <v>718.2350286875967</v>
      </c>
      <c r="AB102" s="523">
        <f t="shared" si="68"/>
        <v>1143.1236994012834</v>
      </c>
      <c r="AC102" s="523">
        <f t="shared" si="68"/>
        <v>1495.1942935208735</v>
      </c>
      <c r="AD102" s="523">
        <f t="shared" si="68"/>
        <v>1894.5534374570816</v>
      </c>
      <c r="AE102" s="523">
        <f t="shared" si="68"/>
        <v>1990.4454595153729</v>
      </c>
      <c r="AF102" s="523">
        <f t="shared" si="68"/>
        <v>2145.4780389008392</v>
      </c>
      <c r="AG102" s="523">
        <f t="shared" si="68"/>
        <v>2157.3206412366262</v>
      </c>
      <c r="AH102" s="523">
        <f t="shared" si="68"/>
        <v>2167.382915156657</v>
      </c>
      <c r="AI102" s="523">
        <f t="shared" si="68"/>
        <v>2341.7991225686428</v>
      </c>
      <c r="AJ102" s="522"/>
      <c r="AK102" s="267"/>
      <c r="AL102" s="267"/>
      <c r="AM102" s="267"/>
      <c r="AN102" s="267"/>
      <c r="AO102" s="267"/>
      <c r="AP102" s="267"/>
      <c r="AQ102" s="267"/>
      <c r="AR102" s="267"/>
    </row>
    <row r="103" spans="1:44" ht="15.75">
      <c r="A103" s="267"/>
      <c r="B103" s="520"/>
      <c r="C103" s="523"/>
      <c r="D103" s="523"/>
      <c r="E103" s="523"/>
      <c r="F103" s="523"/>
      <c r="G103" s="523"/>
      <c r="H103" s="523"/>
      <c r="I103" s="523"/>
      <c r="J103" s="523"/>
      <c r="K103" s="523"/>
      <c r="L103" s="523"/>
      <c r="M103" s="523"/>
      <c r="N103" s="523"/>
      <c r="O103" s="523"/>
      <c r="P103" s="523"/>
      <c r="Q103" s="523"/>
      <c r="R103" s="523"/>
      <c r="S103" s="523"/>
      <c r="T103" s="523"/>
      <c r="U103" s="523"/>
      <c r="V103" s="523"/>
      <c r="W103" s="523"/>
      <c r="X103" s="523"/>
      <c r="Y103" s="523"/>
      <c r="Z103" s="523"/>
      <c r="AA103" s="523"/>
      <c r="AB103" s="523"/>
      <c r="AC103" s="523"/>
      <c r="AD103" s="523"/>
      <c r="AE103" s="523"/>
      <c r="AF103" s="523"/>
      <c r="AG103" s="523"/>
      <c r="AH103" s="523"/>
      <c r="AI103" s="523"/>
      <c r="AJ103" s="522"/>
      <c r="AK103" s="267"/>
      <c r="AL103" s="267"/>
      <c r="AM103" s="267"/>
      <c r="AN103" s="267"/>
      <c r="AO103" s="267"/>
      <c r="AP103" s="267"/>
      <c r="AQ103" s="267"/>
      <c r="AR103" s="267"/>
    </row>
    <row r="104" spans="1:44" ht="15.75">
      <c r="A104" s="267"/>
      <c r="B104" s="520" t="s">
        <v>24</v>
      </c>
      <c r="C104" s="523"/>
      <c r="D104" s="523"/>
      <c r="E104" s="523"/>
      <c r="F104" s="523"/>
      <c r="G104" s="523"/>
      <c r="H104" s="523"/>
      <c r="I104" s="523"/>
      <c r="J104" s="523"/>
      <c r="K104" s="523"/>
      <c r="L104" s="523">
        <f t="shared" ref="L104:W104" si="69">L195</f>
        <v>-352</v>
      </c>
      <c r="M104" s="523">
        <f t="shared" si="69"/>
        <v>-405.69999999999982</v>
      </c>
      <c r="N104" s="523">
        <f t="shared" si="69"/>
        <v>-1098</v>
      </c>
      <c r="O104" s="523">
        <f t="shared" si="69"/>
        <v>401</v>
      </c>
      <c r="P104" s="523">
        <f t="shared" si="69"/>
        <v>2484</v>
      </c>
      <c r="Q104" s="523">
        <f t="shared" si="69"/>
        <v>936</v>
      </c>
      <c r="R104" s="523">
        <f t="shared" si="69"/>
        <v>567.90000000000009</v>
      </c>
      <c r="S104" s="523">
        <f t="shared" si="69"/>
        <v>4794</v>
      </c>
      <c r="T104" s="523">
        <f t="shared" si="69"/>
        <v>3622.3360000000002</v>
      </c>
      <c r="U104" s="523">
        <f t="shared" si="69"/>
        <v>4668.2510000000002</v>
      </c>
      <c r="V104" s="523">
        <f t="shared" si="69"/>
        <v>12842.623</v>
      </c>
      <c r="W104" s="523">
        <f t="shared" si="69"/>
        <v>20231.263999999999</v>
      </c>
      <c r="X104" s="523">
        <f>X195</f>
        <v>21960.904999999999</v>
      </c>
      <c r="Y104" s="523">
        <f>Y195</f>
        <v>21457.014000000003</v>
      </c>
      <c r="Z104" s="523">
        <f t="shared" ref="Z104:AI104" si="70">Y104-Z102</f>
        <v>21013.537985576048</v>
      </c>
      <c r="AA104" s="523">
        <f t="shared" si="70"/>
        <v>20295.302956888452</v>
      </c>
      <c r="AB104" s="523">
        <f t="shared" si="70"/>
        <v>19152.179257487169</v>
      </c>
      <c r="AC104" s="523">
        <f t="shared" si="70"/>
        <v>17656.984963966293</v>
      </c>
      <c r="AD104" s="523">
        <f t="shared" si="70"/>
        <v>15762.431526509212</v>
      </c>
      <c r="AE104" s="523">
        <f t="shared" si="70"/>
        <v>13771.986066993839</v>
      </c>
      <c r="AF104" s="523">
        <f t="shared" si="70"/>
        <v>11626.508028093</v>
      </c>
      <c r="AG104" s="523">
        <f t="shared" si="70"/>
        <v>9469.1873868563744</v>
      </c>
      <c r="AH104" s="523">
        <f t="shared" si="70"/>
        <v>7301.8044716997174</v>
      </c>
      <c r="AI104" s="523">
        <f t="shared" si="70"/>
        <v>4960.0053491310746</v>
      </c>
      <c r="AJ104" s="267"/>
      <c r="AK104" s="267"/>
      <c r="AL104" s="267"/>
      <c r="AM104" s="267"/>
      <c r="AN104" s="267"/>
      <c r="AO104" s="267"/>
      <c r="AP104" s="267"/>
      <c r="AQ104" s="267"/>
      <c r="AR104" s="267"/>
    </row>
    <row r="105" spans="1:44" ht="15.75">
      <c r="A105" s="267"/>
      <c r="B105" s="521" t="s">
        <v>181</v>
      </c>
      <c r="C105" s="522"/>
      <c r="D105" s="522"/>
      <c r="E105" s="522"/>
      <c r="F105" s="522"/>
      <c r="G105" s="522"/>
      <c r="H105" s="522"/>
      <c r="I105" s="522"/>
      <c r="J105" s="522"/>
      <c r="K105" s="522"/>
      <c r="L105" s="522">
        <f t="shared" ref="L105:AI105" si="71">L102+L87</f>
        <v>1175.8870920815</v>
      </c>
      <c r="M105" s="522">
        <f t="shared" si="71"/>
        <v>0</v>
      </c>
      <c r="N105" s="522">
        <f t="shared" si="71"/>
        <v>0</v>
      </c>
      <c r="O105" s="522">
        <f t="shared" si="71"/>
        <v>0</v>
      </c>
      <c r="P105" s="522">
        <f t="shared" si="71"/>
        <v>0</v>
      </c>
      <c r="Q105" s="522">
        <f t="shared" si="71"/>
        <v>0</v>
      </c>
      <c r="R105" s="522">
        <f t="shared" si="71"/>
        <v>0</v>
      </c>
      <c r="S105" s="522">
        <f t="shared" si="71"/>
        <v>0</v>
      </c>
      <c r="T105" s="522">
        <f t="shared" si="71"/>
        <v>0</v>
      </c>
      <c r="U105" s="522">
        <f t="shared" si="71"/>
        <v>0</v>
      </c>
      <c r="V105" s="522">
        <f t="shared" si="71"/>
        <v>0</v>
      </c>
      <c r="W105" s="522">
        <f t="shared" si="71"/>
        <v>0</v>
      </c>
      <c r="X105" s="522">
        <f t="shared" si="71"/>
        <v>0</v>
      </c>
      <c r="Y105" s="522">
        <f t="shared" si="71"/>
        <v>0</v>
      </c>
      <c r="Z105" s="522">
        <f t="shared" si="71"/>
        <v>1.3642420526593924E-12</v>
      </c>
      <c r="AA105" s="522">
        <f t="shared" si="71"/>
        <v>1.3642420526593924E-12</v>
      </c>
      <c r="AB105" s="522">
        <f t="shared" si="71"/>
        <v>0</v>
      </c>
      <c r="AC105" s="522">
        <f t="shared" si="71"/>
        <v>-1.8189894035458565E-12</v>
      </c>
      <c r="AD105" s="522">
        <f t="shared" si="71"/>
        <v>0</v>
      </c>
      <c r="AE105" s="522">
        <f t="shared" si="71"/>
        <v>0</v>
      </c>
      <c r="AF105" s="522">
        <f t="shared" si="71"/>
        <v>0</v>
      </c>
      <c r="AG105" s="522">
        <f t="shared" si="71"/>
        <v>0</v>
      </c>
      <c r="AH105" s="522">
        <f t="shared" si="71"/>
        <v>0</v>
      </c>
      <c r="AI105" s="522">
        <f t="shared" si="71"/>
        <v>0</v>
      </c>
      <c r="AJ105" s="267"/>
      <c r="AK105" s="267"/>
      <c r="AL105" s="267"/>
      <c r="AM105" s="267"/>
      <c r="AN105" s="267"/>
      <c r="AO105" s="267"/>
      <c r="AP105" s="267"/>
      <c r="AQ105" s="267"/>
      <c r="AR105" s="267"/>
    </row>
    <row r="106" spans="1:44" ht="15.75">
      <c r="A106" s="267"/>
      <c r="B106" s="521" t="s">
        <v>182</v>
      </c>
      <c r="C106" s="521"/>
      <c r="D106" s="521"/>
      <c r="E106" s="548"/>
      <c r="F106" s="521"/>
      <c r="G106" s="521"/>
      <c r="H106" s="521"/>
      <c r="I106" s="521"/>
      <c r="J106" s="521"/>
      <c r="K106" s="542"/>
      <c r="L106" s="824">
        <f t="shared" ref="L106:X106" si="72">L104/L18</f>
        <v>-9.3195657929573739E-2</v>
      </c>
      <c r="M106" s="824">
        <f t="shared" si="72"/>
        <v>-9.3135904499540817E-2</v>
      </c>
      <c r="N106" s="824">
        <f t="shared" si="72"/>
        <v>-0.22653187538683722</v>
      </c>
      <c r="O106" s="824">
        <f t="shared" si="72"/>
        <v>6.8629128872154721E-2</v>
      </c>
      <c r="P106" s="824">
        <f t="shared" si="72"/>
        <v>0.35921908893709326</v>
      </c>
      <c r="Q106" s="824">
        <f t="shared" si="72"/>
        <v>0.12132209980557355</v>
      </c>
      <c r="R106" s="824">
        <f t="shared" si="72"/>
        <v>6.0757462287364943E-2</v>
      </c>
      <c r="S106" s="824">
        <f t="shared" si="72"/>
        <v>0.47180395630351346</v>
      </c>
      <c r="T106" s="824">
        <f t="shared" si="72"/>
        <v>0.32819932952795144</v>
      </c>
      <c r="U106" s="824">
        <f t="shared" si="72"/>
        <v>0.38529638494552659</v>
      </c>
      <c r="V106" s="824">
        <f t="shared" si="72"/>
        <v>1.0057643430371856</v>
      </c>
      <c r="W106" s="824">
        <f t="shared" si="72"/>
        <v>1.5188644618657081</v>
      </c>
      <c r="X106" s="824">
        <f t="shared" si="72"/>
        <v>1.5011022325378116</v>
      </c>
      <c r="Y106" s="824">
        <f>Y104/Y18</f>
        <v>1.3464462989976052</v>
      </c>
      <c r="Z106" s="824">
        <f t="shared" ref="Z106:AI106" si="73">Z104/Z18</f>
        <v>1.2133964468975067</v>
      </c>
      <c r="AA106" s="824">
        <f t="shared" si="73"/>
        <v>1.074304814521611</v>
      </c>
      <c r="AB106" s="824">
        <f t="shared" si="73"/>
        <v>0.93730027397685278</v>
      </c>
      <c r="AC106" s="824">
        <f t="shared" si="73"/>
        <v>0.81431426449749766</v>
      </c>
      <c r="AD106" s="824">
        <f t="shared" si="73"/>
        <v>0.69220763200682534</v>
      </c>
      <c r="AE106" s="824">
        <f t="shared" si="73"/>
        <v>0.58687475061863714</v>
      </c>
      <c r="AF106" s="824">
        <f t="shared" si="73"/>
        <v>0.48074885613639956</v>
      </c>
      <c r="AG106" s="824">
        <f t="shared" si="73"/>
        <v>0.3799126788886707</v>
      </c>
      <c r="AH106" s="824">
        <f t="shared" si="73"/>
        <v>0.28423854103035967</v>
      </c>
      <c r="AI106" s="824">
        <f t="shared" si="73"/>
        <v>0.18732414743549339</v>
      </c>
      <c r="AJ106" s="267"/>
      <c r="AK106" s="551"/>
      <c r="AL106" s="551"/>
      <c r="AM106" s="551"/>
      <c r="AN106" s="267"/>
      <c r="AO106" s="267"/>
      <c r="AP106" s="267"/>
      <c r="AQ106" s="267"/>
      <c r="AR106" s="267"/>
    </row>
    <row r="107" spans="1:44" ht="15.75">
      <c r="A107" s="267"/>
      <c r="B107" s="521"/>
      <c r="C107" s="521"/>
      <c r="D107" s="521"/>
      <c r="E107" s="548"/>
      <c r="F107" s="521"/>
      <c r="G107" s="521"/>
      <c r="H107" s="521"/>
      <c r="I107" s="521"/>
      <c r="J107" s="521"/>
      <c r="K107" s="542"/>
      <c r="L107" s="521"/>
      <c r="M107" s="522"/>
      <c r="N107" s="522"/>
      <c r="O107" s="522"/>
      <c r="P107" s="522"/>
      <c r="Q107" s="522"/>
      <c r="R107" s="521"/>
      <c r="S107" s="521"/>
      <c r="T107" s="521"/>
      <c r="U107" s="521"/>
      <c r="V107" s="521"/>
      <c r="W107" s="521"/>
      <c r="X107" s="521"/>
      <c r="Y107" s="521"/>
      <c r="Z107" s="521"/>
      <c r="AA107" s="521"/>
      <c r="AB107" s="521"/>
      <c r="AC107" s="521"/>
      <c r="AD107" s="521"/>
      <c r="AE107" s="521"/>
      <c r="AF107" s="521"/>
      <c r="AG107" s="521"/>
      <c r="AH107" s="521"/>
      <c r="AI107" s="521"/>
      <c r="AJ107" s="267"/>
      <c r="AK107" s="551"/>
      <c r="AL107" s="551"/>
      <c r="AM107" s="551"/>
      <c r="AN107" s="267"/>
      <c r="AO107" s="267"/>
      <c r="AP107" s="267"/>
      <c r="AQ107" s="267"/>
      <c r="AR107" s="267"/>
    </row>
    <row r="108" spans="1:44" ht="15.75">
      <c r="A108" s="267"/>
      <c r="B108" s="521"/>
      <c r="C108" s="521"/>
      <c r="D108" s="521"/>
      <c r="E108" s="548"/>
      <c r="F108" s="521"/>
      <c r="G108" s="521"/>
      <c r="H108" s="521"/>
      <c r="I108" s="521"/>
      <c r="J108" s="521"/>
      <c r="K108" s="542"/>
      <c r="L108" s="521"/>
      <c r="M108" s="522"/>
      <c r="N108" s="522"/>
      <c r="O108" s="522"/>
      <c r="P108" s="522"/>
      <c r="Q108" s="522"/>
      <c r="R108" s="521"/>
      <c r="S108" s="521"/>
      <c r="T108" s="521"/>
      <c r="U108" s="521"/>
      <c r="V108" s="521"/>
      <c r="W108" s="521"/>
      <c r="X108" s="521"/>
      <c r="Y108" s="521"/>
      <c r="Z108" s="521"/>
      <c r="AA108" s="521"/>
      <c r="AB108" s="521"/>
      <c r="AC108" s="521"/>
      <c r="AD108" s="521"/>
      <c r="AE108" s="521"/>
      <c r="AF108" s="521"/>
      <c r="AG108" s="521"/>
      <c r="AH108" s="521"/>
      <c r="AI108" s="521"/>
      <c r="AJ108" s="267"/>
      <c r="AK108" s="551"/>
      <c r="AL108" s="551"/>
      <c r="AM108" s="551"/>
      <c r="AN108" s="267"/>
      <c r="AO108" s="267"/>
      <c r="AP108" s="267"/>
      <c r="AQ108" s="267"/>
      <c r="AR108" s="267"/>
    </row>
    <row r="109" spans="1:44" ht="15.75">
      <c r="A109" s="267"/>
      <c r="B109" s="521"/>
      <c r="C109" s="521"/>
      <c r="D109" s="521"/>
      <c r="E109" s="548"/>
      <c r="F109" s="521"/>
      <c r="G109" s="521"/>
      <c r="H109" s="521"/>
      <c r="I109" s="521"/>
      <c r="J109" s="521"/>
      <c r="K109" s="542"/>
      <c r="L109" s="521"/>
      <c r="M109" s="522"/>
      <c r="N109" s="522"/>
      <c r="O109" s="522"/>
      <c r="P109" s="522"/>
      <c r="Q109" s="522"/>
      <c r="R109" s="521"/>
      <c r="S109" s="521"/>
      <c r="T109" s="521"/>
      <c r="U109" s="521"/>
      <c r="V109" s="521"/>
      <c r="W109" s="521"/>
      <c r="X109" s="521"/>
      <c r="Y109" s="521"/>
      <c r="Z109" s="521"/>
      <c r="AA109" s="521"/>
      <c r="AB109" s="521"/>
      <c r="AC109" s="521"/>
      <c r="AD109" s="521"/>
      <c r="AE109" s="521"/>
      <c r="AF109" s="521"/>
      <c r="AG109" s="521"/>
      <c r="AH109" s="521"/>
      <c r="AI109" s="521"/>
      <c r="AJ109" s="267"/>
      <c r="AK109" s="551"/>
      <c r="AL109" s="551"/>
      <c r="AM109" s="551"/>
      <c r="AN109" s="267"/>
      <c r="AO109" s="267"/>
      <c r="AP109" s="267"/>
      <c r="AQ109" s="267"/>
      <c r="AR109" s="267"/>
    </row>
    <row r="110" spans="1:44" ht="15.75">
      <c r="A110" s="267"/>
      <c r="B110" s="519" t="s">
        <v>136</v>
      </c>
      <c r="C110" s="519">
        <v>2003</v>
      </c>
      <c r="D110" s="519">
        <f t="shared" ref="D110:AI110" si="74">C110+1</f>
        <v>2004</v>
      </c>
      <c r="E110" s="519">
        <f t="shared" si="74"/>
        <v>2005</v>
      </c>
      <c r="F110" s="519">
        <f t="shared" si="74"/>
        <v>2006</v>
      </c>
      <c r="G110" s="519">
        <f t="shared" si="74"/>
        <v>2007</v>
      </c>
      <c r="H110" s="519">
        <f t="shared" si="74"/>
        <v>2008</v>
      </c>
      <c r="I110" s="519">
        <f t="shared" si="74"/>
        <v>2009</v>
      </c>
      <c r="J110" s="519">
        <f t="shared" si="74"/>
        <v>2010</v>
      </c>
      <c r="K110" s="519">
        <f t="shared" si="74"/>
        <v>2011</v>
      </c>
      <c r="L110" s="519">
        <f t="shared" si="74"/>
        <v>2012</v>
      </c>
      <c r="M110" s="519">
        <f t="shared" si="74"/>
        <v>2013</v>
      </c>
      <c r="N110" s="519">
        <f t="shared" si="74"/>
        <v>2014</v>
      </c>
      <c r="O110" s="519">
        <f t="shared" si="74"/>
        <v>2015</v>
      </c>
      <c r="P110" s="519">
        <f t="shared" si="74"/>
        <v>2016</v>
      </c>
      <c r="Q110" s="519">
        <f t="shared" si="74"/>
        <v>2017</v>
      </c>
      <c r="R110" s="519">
        <f t="shared" si="74"/>
        <v>2018</v>
      </c>
      <c r="S110" s="519">
        <f t="shared" si="74"/>
        <v>2019</v>
      </c>
      <c r="T110" s="519">
        <f t="shared" si="74"/>
        <v>2020</v>
      </c>
      <c r="U110" s="519">
        <f t="shared" si="74"/>
        <v>2021</v>
      </c>
      <c r="V110" s="519">
        <f t="shared" si="74"/>
        <v>2022</v>
      </c>
      <c r="W110" s="519">
        <f t="shared" si="74"/>
        <v>2023</v>
      </c>
      <c r="X110" s="519">
        <f t="shared" si="74"/>
        <v>2024</v>
      </c>
      <c r="Y110" s="519">
        <f t="shared" si="74"/>
        <v>2025</v>
      </c>
      <c r="Z110" s="519">
        <f t="shared" si="74"/>
        <v>2026</v>
      </c>
      <c r="AA110" s="519">
        <f t="shared" si="74"/>
        <v>2027</v>
      </c>
      <c r="AB110" s="519">
        <f t="shared" si="74"/>
        <v>2028</v>
      </c>
      <c r="AC110" s="519">
        <f t="shared" si="74"/>
        <v>2029</v>
      </c>
      <c r="AD110" s="519">
        <f t="shared" si="74"/>
        <v>2030</v>
      </c>
      <c r="AE110" s="519">
        <f t="shared" si="74"/>
        <v>2031</v>
      </c>
      <c r="AF110" s="519">
        <f t="shared" si="74"/>
        <v>2032</v>
      </c>
      <c r="AG110" s="519">
        <f t="shared" si="74"/>
        <v>2033</v>
      </c>
      <c r="AH110" s="519">
        <f t="shared" si="74"/>
        <v>2034</v>
      </c>
      <c r="AI110" s="519">
        <f t="shared" si="74"/>
        <v>2035</v>
      </c>
      <c r="AJ110" s="267"/>
      <c r="AK110" s="267"/>
      <c r="AL110" s="267"/>
      <c r="AM110" s="267"/>
      <c r="AN110" s="267"/>
      <c r="AO110" s="267"/>
      <c r="AP110" s="267"/>
      <c r="AQ110" s="267"/>
      <c r="AR110" s="267"/>
    </row>
    <row r="111" spans="1:44" ht="15.75">
      <c r="A111" s="267"/>
      <c r="B111" s="521" t="s">
        <v>136</v>
      </c>
      <c r="C111" s="552"/>
      <c r="D111" s="552"/>
      <c r="E111" s="552"/>
      <c r="F111" s="552"/>
      <c r="G111" s="552"/>
      <c r="H111" s="552"/>
      <c r="I111" s="552"/>
      <c r="J111" s="552"/>
      <c r="K111" s="552"/>
      <c r="L111" s="553">
        <v>1057</v>
      </c>
      <c r="M111" s="553">
        <v>1250</v>
      </c>
      <c r="N111" s="553">
        <f>1731.8-N147</f>
        <v>1558.6596881959911</v>
      </c>
      <c r="O111" s="553">
        <f>1952-O147</f>
        <v>1851.2081983720318</v>
      </c>
      <c r="P111" s="553">
        <f>2100-P147</f>
        <v>1877.4840745931269</v>
      </c>
      <c r="Q111" s="553">
        <f>2485-Q147</f>
        <v>2364.6981962095792</v>
      </c>
      <c r="R111" s="553">
        <f>3287.3-R147</f>
        <v>3181.64957479646</v>
      </c>
      <c r="S111" s="553">
        <f>4115-S147</f>
        <v>4070.5279947361491</v>
      </c>
      <c r="T111" s="553">
        <f>4708-T147</f>
        <v>4661.4850579178892</v>
      </c>
      <c r="U111" s="553">
        <f>5298-U147</f>
        <v>4991.6720000000005</v>
      </c>
      <c r="V111" s="553">
        <f>6240.217-V147</f>
        <v>5981.6769999999997</v>
      </c>
      <c r="W111" s="553">
        <f>7199.215-W147</f>
        <v>6853.018</v>
      </c>
      <c r="X111" s="553">
        <f>8457.623-X147</f>
        <v>7954.9509999999991</v>
      </c>
      <c r="Y111" s="553">
        <f>9535.896-Y147</f>
        <v>8803.8250000000007</v>
      </c>
      <c r="Z111" s="554">
        <f t="shared" ref="Z111:AI111" si="75">Z114+Z115</f>
        <v>9663.6387925350573</v>
      </c>
      <c r="AA111" s="554">
        <f t="shared" si="75"/>
        <v>9760.6767804969986</v>
      </c>
      <c r="AB111" s="554">
        <f t="shared" si="75"/>
        <v>9701.8705025970685</v>
      </c>
      <c r="AC111" s="554">
        <f t="shared" si="75"/>
        <v>9775.9425208365865</v>
      </c>
      <c r="AD111" s="554">
        <f t="shared" si="75"/>
        <v>9845.00339211153</v>
      </c>
      <c r="AE111" s="554">
        <f t="shared" si="75"/>
        <v>9887.9532062991002</v>
      </c>
      <c r="AF111" s="554">
        <f t="shared" si="75"/>
        <v>9915.9815820478416</v>
      </c>
      <c r="AG111" s="554">
        <f t="shared" si="75"/>
        <v>9930.9875841609446</v>
      </c>
      <c r="AH111" s="554">
        <f t="shared" si="75"/>
        <v>9956.8618612168393</v>
      </c>
      <c r="AI111" s="554">
        <f t="shared" si="75"/>
        <v>9991.7603407307233</v>
      </c>
      <c r="AJ111" s="267"/>
      <c r="AK111" s="267"/>
      <c r="AL111" s="267"/>
      <c r="AM111" s="267"/>
      <c r="AN111" s="267"/>
      <c r="AO111" s="267"/>
      <c r="AP111" s="267"/>
      <c r="AQ111" s="267"/>
      <c r="AR111" s="267"/>
    </row>
    <row r="112" spans="1:44" ht="15.75">
      <c r="A112" s="267"/>
      <c r="B112" s="521" t="s">
        <v>131</v>
      </c>
      <c r="C112" s="552"/>
      <c r="D112" s="552"/>
      <c r="E112" s="552"/>
      <c r="F112" s="552"/>
      <c r="G112" s="552"/>
      <c r="H112" s="552"/>
      <c r="I112" s="552"/>
      <c r="J112" s="552"/>
      <c r="K112" s="552"/>
      <c r="L112" s="527"/>
      <c r="M112" s="527">
        <f t="shared" ref="M112:AI112" si="76">M111/L111-1</f>
        <v>0.18259224219489112</v>
      </c>
      <c r="N112" s="527">
        <f t="shared" si="76"/>
        <v>0.24692775055679284</v>
      </c>
      <c r="O112" s="527">
        <f t="shared" si="76"/>
        <v>0.18769235670336704</v>
      </c>
      <c r="P112" s="527">
        <f t="shared" si="76"/>
        <v>1.4193906576365878E-2</v>
      </c>
      <c r="Q112" s="527">
        <f t="shared" si="76"/>
        <v>0.25950373066255561</v>
      </c>
      <c r="R112" s="527">
        <f t="shared" si="76"/>
        <v>0.34547807407151909</v>
      </c>
      <c r="S112" s="527">
        <f t="shared" si="76"/>
        <v>0.27937659350701849</v>
      </c>
      <c r="T112" s="527">
        <f t="shared" si="76"/>
        <v>0.14517946171748308</v>
      </c>
      <c r="U112" s="527">
        <f t="shared" si="76"/>
        <v>7.0832993773360498E-2</v>
      </c>
      <c r="V112" s="527">
        <f t="shared" si="76"/>
        <v>0.19833134068103808</v>
      </c>
      <c r="W112" s="527">
        <f t="shared" si="76"/>
        <v>0.14566834685323204</v>
      </c>
      <c r="X112" s="527">
        <f t="shared" si="76"/>
        <v>0.16079528756527406</v>
      </c>
      <c r="Y112" s="527">
        <f t="shared" si="76"/>
        <v>0.10671014818318825</v>
      </c>
      <c r="Z112" s="527">
        <f t="shared" si="76"/>
        <v>9.7663662389365635E-2</v>
      </c>
      <c r="AA112" s="527">
        <f t="shared" si="76"/>
        <v>1.0041557848468052E-2</v>
      </c>
      <c r="AB112" s="527">
        <f t="shared" si="76"/>
        <v>-6.024815617030943E-3</v>
      </c>
      <c r="AC112" s="527">
        <f t="shared" si="76"/>
        <v>7.6348182775363149E-3</v>
      </c>
      <c r="AD112" s="527">
        <f t="shared" si="76"/>
        <v>7.0643696122134614E-3</v>
      </c>
      <c r="AE112" s="527">
        <f t="shared" si="76"/>
        <v>4.3626002426757626E-3</v>
      </c>
      <c r="AF112" s="527">
        <f t="shared" si="76"/>
        <v>2.8345983404216568E-3</v>
      </c>
      <c r="AG112" s="527">
        <f t="shared" si="76"/>
        <v>1.513314843209379E-3</v>
      </c>
      <c r="AH112" s="527">
        <f t="shared" si="76"/>
        <v>2.6054082573985227E-3</v>
      </c>
      <c r="AI112" s="527">
        <f t="shared" si="76"/>
        <v>3.5049677298244486E-3</v>
      </c>
      <c r="AJ112" s="267"/>
      <c r="AK112" s="267"/>
      <c r="AL112" s="267"/>
      <c r="AM112" s="267"/>
      <c r="AN112" s="267"/>
      <c r="AO112" s="267"/>
      <c r="AP112" s="267"/>
      <c r="AQ112" s="267"/>
      <c r="AR112" s="267"/>
    </row>
    <row r="113" spans="1:44" ht="15.75">
      <c r="A113" s="267"/>
      <c r="B113" s="521" t="s">
        <v>183</v>
      </c>
      <c r="C113" s="552"/>
      <c r="D113" s="552"/>
      <c r="E113" s="552"/>
      <c r="F113" s="552"/>
      <c r="G113" s="552"/>
      <c r="H113" s="552"/>
      <c r="I113" s="552"/>
      <c r="J113" s="552"/>
      <c r="K113" s="552"/>
      <c r="L113" s="527">
        <f t="shared" ref="L113:AI113" si="77">L111/L121</f>
        <v>9.1349062310949788E-2</v>
      </c>
      <c r="M113" s="527">
        <f t="shared" si="77"/>
        <v>0.10011212558065033</v>
      </c>
      <c r="N113" s="527">
        <f t="shared" si="77"/>
        <v>0.10883734991941842</v>
      </c>
      <c r="O113" s="527">
        <f t="shared" si="77"/>
        <v>0.10483679909231124</v>
      </c>
      <c r="P113" s="527">
        <f t="shared" si="77"/>
        <v>8.7235576368047907E-2</v>
      </c>
      <c r="Q113" s="527">
        <f t="shared" si="77"/>
        <v>9.6973475341791238E-2</v>
      </c>
      <c r="R113" s="527">
        <f t="shared" si="77"/>
        <v>0.118320921338656</v>
      </c>
      <c r="S113" s="527">
        <f t="shared" si="77"/>
        <v>0.13292388057134014</v>
      </c>
      <c r="T113" s="527">
        <f t="shared" si="77"/>
        <v>0.13789743988634154</v>
      </c>
      <c r="U113" s="527">
        <f t="shared" si="77"/>
        <v>0.12775612537712547</v>
      </c>
      <c r="V113" s="527">
        <f t="shared" si="77"/>
        <v>0.12937264547779256</v>
      </c>
      <c r="W113" s="527">
        <f t="shared" si="77"/>
        <v>0.12829160085725447</v>
      </c>
      <c r="X113" s="527">
        <f t="shared" si="77"/>
        <v>0.14316746477995682</v>
      </c>
      <c r="Y113" s="527">
        <f t="shared" si="77"/>
        <v>0.15693117308276708</v>
      </c>
      <c r="Z113" s="527">
        <f t="shared" si="77"/>
        <v>0.17765115377614468</v>
      </c>
      <c r="AA113" s="527">
        <f t="shared" si="77"/>
        <v>0.17873531077049143</v>
      </c>
      <c r="AB113" s="527">
        <f t="shared" si="77"/>
        <v>0.17631235072100634</v>
      </c>
      <c r="AC113" s="527">
        <f t="shared" si="77"/>
        <v>0.17641222233615189</v>
      </c>
      <c r="AD113" s="527">
        <f t="shared" si="77"/>
        <v>0.17688677718178705</v>
      </c>
      <c r="AE113" s="527">
        <f t="shared" si="77"/>
        <v>0.17715629653469397</v>
      </c>
      <c r="AF113" s="527">
        <f t="shared" si="77"/>
        <v>0.17739001653378872</v>
      </c>
      <c r="AG113" s="527">
        <f t="shared" si="77"/>
        <v>0.17719679348990333</v>
      </c>
      <c r="AH113" s="527">
        <f t="shared" si="77"/>
        <v>0.17703795117303078</v>
      </c>
      <c r="AI113" s="527">
        <f t="shared" si="77"/>
        <v>0.17731918348197859</v>
      </c>
      <c r="AJ113" s="267"/>
      <c r="AK113" s="267"/>
      <c r="AL113" s="267"/>
      <c r="AM113" s="267"/>
      <c r="AN113" s="267"/>
      <c r="AO113" s="267"/>
      <c r="AP113" s="267"/>
      <c r="AQ113" s="267"/>
      <c r="AR113" s="267"/>
    </row>
    <row r="114" spans="1:44" ht="15.75">
      <c r="A114" s="267"/>
      <c r="B114" s="521" t="s">
        <v>184</v>
      </c>
      <c r="C114" s="552"/>
      <c r="D114" s="552"/>
      <c r="E114" s="552"/>
      <c r="F114" s="552"/>
      <c r="G114" s="552"/>
      <c r="H114" s="552"/>
      <c r="I114" s="552"/>
      <c r="J114" s="552"/>
      <c r="K114" s="552"/>
      <c r="L114" s="552">
        <v>0</v>
      </c>
      <c r="M114" s="552">
        <v>0</v>
      </c>
      <c r="N114" s="552">
        <v>0</v>
      </c>
      <c r="O114" s="552">
        <v>0</v>
      </c>
      <c r="P114" s="552">
        <v>0</v>
      </c>
      <c r="Q114" s="552">
        <v>0</v>
      </c>
      <c r="R114" s="552">
        <v>0</v>
      </c>
      <c r="S114" s="552">
        <v>0</v>
      </c>
      <c r="T114" s="552">
        <v>0</v>
      </c>
      <c r="U114" s="552">
        <v>0</v>
      </c>
      <c r="V114" s="552">
        <v>0</v>
      </c>
      <c r="W114" s="552">
        <v>0</v>
      </c>
      <c r="X114" s="552">
        <v>0</v>
      </c>
      <c r="Y114" s="552">
        <v>0</v>
      </c>
      <c r="Z114" s="553">
        <v>0</v>
      </c>
      <c r="AA114" s="553">
        <v>0</v>
      </c>
      <c r="AB114" s="553">
        <v>0</v>
      </c>
      <c r="AC114" s="553">
        <v>0</v>
      </c>
      <c r="AD114" s="553">
        <v>0</v>
      </c>
      <c r="AE114" s="553">
        <v>0</v>
      </c>
      <c r="AF114" s="553">
        <v>0</v>
      </c>
      <c r="AG114" s="553">
        <v>0</v>
      </c>
      <c r="AH114" s="553">
        <v>0</v>
      </c>
      <c r="AI114" s="553">
        <v>0</v>
      </c>
      <c r="AJ114" s="267"/>
      <c r="AK114" s="267"/>
      <c r="AL114" s="267"/>
      <c r="AM114" s="267"/>
      <c r="AN114" s="267"/>
      <c r="AO114" s="267"/>
      <c r="AP114" s="267"/>
      <c r="AQ114" s="267"/>
      <c r="AR114" s="267"/>
    </row>
    <row r="115" spans="1:44" ht="15.75">
      <c r="A115" s="267"/>
      <c r="B115" s="521" t="s">
        <v>185</v>
      </c>
      <c r="C115" s="552"/>
      <c r="D115" s="552"/>
      <c r="E115" s="552"/>
      <c r="F115" s="552"/>
      <c r="G115" s="552"/>
      <c r="H115" s="552"/>
      <c r="I115" s="552"/>
      <c r="J115" s="552"/>
      <c r="K115" s="552"/>
      <c r="L115" s="522">
        <f>L111-L114</f>
        <v>1057</v>
      </c>
      <c r="M115" s="522">
        <f t="shared" ref="M115:Y115" si="78">M111-M114</f>
        <v>1250</v>
      </c>
      <c r="N115" s="522">
        <f t="shared" si="78"/>
        <v>1558.6596881959911</v>
      </c>
      <c r="O115" s="522">
        <f t="shared" si="78"/>
        <v>1851.2081983720318</v>
      </c>
      <c r="P115" s="522">
        <f t="shared" si="78"/>
        <v>1877.4840745931269</v>
      </c>
      <c r="Q115" s="522">
        <f t="shared" si="78"/>
        <v>2364.6981962095792</v>
      </c>
      <c r="R115" s="522">
        <f t="shared" si="78"/>
        <v>3181.64957479646</v>
      </c>
      <c r="S115" s="522">
        <f t="shared" si="78"/>
        <v>4070.5279947361491</v>
      </c>
      <c r="T115" s="522">
        <f t="shared" si="78"/>
        <v>4661.4850579178892</v>
      </c>
      <c r="U115" s="522">
        <f t="shared" si="78"/>
        <v>4991.6720000000005</v>
      </c>
      <c r="V115" s="522">
        <f t="shared" si="78"/>
        <v>5981.6769999999997</v>
      </c>
      <c r="W115" s="522">
        <f t="shared" si="78"/>
        <v>6853.018</v>
      </c>
      <c r="X115" s="522">
        <f t="shared" si="78"/>
        <v>7954.9509999999991</v>
      </c>
      <c r="Y115" s="522">
        <f t="shared" si="78"/>
        <v>8803.8250000000007</v>
      </c>
      <c r="Z115" s="554">
        <f t="shared" ref="Z115:AI115" si="79">Y121/Z116*2</f>
        <v>9663.6387925350573</v>
      </c>
      <c r="AA115" s="554">
        <f t="shared" si="79"/>
        <v>9760.6767804969986</v>
      </c>
      <c r="AB115" s="554">
        <f t="shared" si="79"/>
        <v>9701.8705025970685</v>
      </c>
      <c r="AC115" s="554">
        <f t="shared" si="79"/>
        <v>9775.9425208365865</v>
      </c>
      <c r="AD115" s="554">
        <f t="shared" si="79"/>
        <v>9845.00339211153</v>
      </c>
      <c r="AE115" s="554">
        <f t="shared" si="79"/>
        <v>9887.9532062991002</v>
      </c>
      <c r="AF115" s="554">
        <f t="shared" si="79"/>
        <v>9915.9815820478416</v>
      </c>
      <c r="AG115" s="554">
        <f t="shared" si="79"/>
        <v>9930.9875841609446</v>
      </c>
      <c r="AH115" s="554">
        <f t="shared" si="79"/>
        <v>9956.8618612168393</v>
      </c>
      <c r="AI115" s="554">
        <f t="shared" si="79"/>
        <v>9991.7603407307233</v>
      </c>
      <c r="AJ115" s="267"/>
      <c r="AK115" s="267"/>
      <c r="AL115" s="267"/>
      <c r="AM115" s="267"/>
      <c r="AN115" s="267"/>
      <c r="AO115" s="267"/>
      <c r="AP115" s="267"/>
      <c r="AQ115" s="267"/>
      <c r="AR115" s="267"/>
    </row>
    <row r="116" spans="1:44" ht="15.75">
      <c r="A116" s="267"/>
      <c r="B116" s="521" t="s">
        <v>186</v>
      </c>
      <c r="C116" s="552"/>
      <c r="D116" s="552"/>
      <c r="E116" s="552"/>
      <c r="F116" s="552"/>
      <c r="G116" s="552"/>
      <c r="H116" s="552"/>
      <c r="I116" s="552"/>
      <c r="J116" s="552"/>
      <c r="K116" s="552"/>
      <c r="L116" s="555">
        <f>K121/L115*2</f>
        <v>0</v>
      </c>
      <c r="M116" s="555">
        <f>L121/M115*2</f>
        <v>18.5136</v>
      </c>
      <c r="N116" s="555">
        <f t="shared" ref="N116:AI116" si="80">M116*(1+N117)</f>
        <v>15.921696000000001</v>
      </c>
      <c r="O116" s="555">
        <f t="shared" si="80"/>
        <v>16.7177808</v>
      </c>
      <c r="P116" s="555">
        <f t="shared" si="80"/>
        <v>18.389558880000003</v>
      </c>
      <c r="Q116" s="555">
        <f t="shared" si="80"/>
        <v>18.389558880000003</v>
      </c>
      <c r="R116" s="555">
        <f t="shared" si="80"/>
        <v>15.906968431200003</v>
      </c>
      <c r="S116" s="555">
        <f t="shared" si="80"/>
        <v>14.395806430236004</v>
      </c>
      <c r="T116" s="555">
        <f t="shared" si="80"/>
        <v>14.107890301631283</v>
      </c>
      <c r="U116" s="555">
        <f t="shared" si="80"/>
        <v>13.402495786549718</v>
      </c>
      <c r="V116" s="555">
        <f t="shared" si="80"/>
        <v>12.464321081491237</v>
      </c>
      <c r="W116" s="555">
        <f t="shared" si="80"/>
        <v>12.900572319343429</v>
      </c>
      <c r="X116" s="555">
        <f t="shared" si="80"/>
        <v>12.900572319343429</v>
      </c>
      <c r="Y116" s="555">
        <f t="shared" si="80"/>
        <v>12.900572319343429</v>
      </c>
      <c r="Z116" s="555">
        <f t="shared" si="80"/>
        <v>11.610515087409086</v>
      </c>
      <c r="AA116" s="555">
        <f t="shared" si="80"/>
        <v>11.146094483912721</v>
      </c>
      <c r="AB116" s="555">
        <f t="shared" si="80"/>
        <v>11.257555428751848</v>
      </c>
      <c r="AC116" s="555">
        <f t="shared" si="80"/>
        <v>11.257555428751848</v>
      </c>
      <c r="AD116" s="555">
        <f t="shared" si="80"/>
        <v>11.257555428751848</v>
      </c>
      <c r="AE116" s="555">
        <f t="shared" si="80"/>
        <v>11.257555428751848</v>
      </c>
      <c r="AF116" s="555">
        <f t="shared" si="80"/>
        <v>11.257555428751848</v>
      </c>
      <c r="AG116" s="555">
        <f t="shared" si="80"/>
        <v>11.257555428751848</v>
      </c>
      <c r="AH116" s="555">
        <f t="shared" si="80"/>
        <v>11.257555428751848</v>
      </c>
      <c r="AI116" s="555">
        <f t="shared" si="80"/>
        <v>11.257555428751848</v>
      </c>
      <c r="AJ116" s="267"/>
      <c r="AK116" s="267"/>
      <c r="AL116" s="267"/>
      <c r="AM116" s="267"/>
      <c r="AN116" s="267"/>
      <c r="AO116" s="267"/>
      <c r="AP116" s="267"/>
      <c r="AQ116" s="267"/>
      <c r="AR116" s="267"/>
    </row>
    <row r="117" spans="1:44" ht="15.75">
      <c r="A117" s="267"/>
      <c r="B117" s="521" t="s">
        <v>131</v>
      </c>
      <c r="C117" s="552"/>
      <c r="D117" s="552"/>
      <c r="E117" s="552"/>
      <c r="F117" s="552"/>
      <c r="G117" s="552"/>
      <c r="H117" s="552"/>
      <c r="I117" s="552"/>
      <c r="J117" s="552"/>
      <c r="K117" s="552"/>
      <c r="L117" s="556"/>
      <c r="M117" s="556"/>
      <c r="N117" s="557">
        <v>-0.14000000000000001</v>
      </c>
      <c r="O117" s="557">
        <v>0.05</v>
      </c>
      <c r="P117" s="557">
        <v>0.1</v>
      </c>
      <c r="Q117" s="557">
        <v>0</v>
      </c>
      <c r="R117" s="557">
        <v>-0.13500000000000001</v>
      </c>
      <c r="S117" s="557">
        <v>-9.5000000000000001E-2</v>
      </c>
      <c r="T117" s="557">
        <v>-0.02</v>
      </c>
      <c r="U117" s="557">
        <v>-0.05</v>
      </c>
      <c r="V117" s="557">
        <v>-7.0000000000000007E-2</v>
      </c>
      <c r="W117" s="557">
        <v>3.5000000000000003E-2</v>
      </c>
      <c r="X117" s="557">
        <v>0</v>
      </c>
      <c r="Y117" s="557">
        <v>0</v>
      </c>
      <c r="Z117" s="557">
        <v>-0.1</v>
      </c>
      <c r="AA117" s="557">
        <v>-0.04</v>
      </c>
      <c r="AB117" s="557">
        <v>0.01</v>
      </c>
      <c r="AC117" s="557">
        <v>0</v>
      </c>
      <c r="AD117" s="557">
        <v>0</v>
      </c>
      <c r="AE117" s="557">
        <v>0</v>
      </c>
      <c r="AF117" s="557">
        <v>0</v>
      </c>
      <c r="AG117" s="557">
        <v>0</v>
      </c>
      <c r="AH117" s="557">
        <v>0</v>
      </c>
      <c r="AI117" s="557">
        <v>0</v>
      </c>
      <c r="AJ117" s="267"/>
      <c r="AK117" s="267"/>
      <c r="AL117" s="267"/>
      <c r="AM117" s="267"/>
      <c r="AN117" s="267"/>
      <c r="AO117" s="267"/>
      <c r="AP117" s="267"/>
      <c r="AQ117" s="267"/>
      <c r="AR117" s="267"/>
    </row>
    <row r="118" spans="1:44" ht="15.75">
      <c r="A118" s="267"/>
      <c r="B118" s="521"/>
      <c r="C118" s="552"/>
      <c r="D118" s="552"/>
      <c r="E118" s="552"/>
      <c r="F118" s="552"/>
      <c r="G118" s="552"/>
      <c r="H118" s="552"/>
      <c r="I118" s="552"/>
      <c r="J118" s="552"/>
      <c r="K118" s="552"/>
      <c r="L118" s="521"/>
      <c r="M118" s="521"/>
      <c r="N118" s="521"/>
      <c r="O118" s="521"/>
      <c r="P118" s="521"/>
      <c r="Q118" s="521"/>
      <c r="R118" s="521"/>
      <c r="S118" s="521"/>
      <c r="T118" s="521"/>
      <c r="U118" s="521"/>
      <c r="V118" s="521"/>
      <c r="W118" s="521"/>
      <c r="X118" s="521"/>
      <c r="Y118" s="521"/>
      <c r="Z118" s="521"/>
      <c r="AA118" s="521"/>
      <c r="AB118" s="521"/>
      <c r="AC118" s="521"/>
      <c r="AD118" s="521"/>
      <c r="AE118" s="521"/>
      <c r="AF118" s="521"/>
      <c r="AG118" s="521"/>
      <c r="AH118" s="521"/>
      <c r="AI118" s="521"/>
      <c r="AJ118" s="267"/>
      <c r="AK118" s="267"/>
      <c r="AL118" s="267"/>
      <c r="AM118" s="267"/>
      <c r="AN118" s="267"/>
      <c r="AO118" s="267"/>
      <c r="AP118" s="267"/>
      <c r="AQ118" s="267"/>
      <c r="AR118" s="267"/>
    </row>
    <row r="119" spans="1:44" ht="15.75">
      <c r="A119" s="267"/>
      <c r="B119" s="521" t="s">
        <v>187</v>
      </c>
      <c r="C119" s="552"/>
      <c r="D119" s="552"/>
      <c r="E119" s="552"/>
      <c r="F119" s="552"/>
      <c r="G119" s="552"/>
      <c r="H119" s="552"/>
      <c r="I119" s="552"/>
      <c r="J119" s="552"/>
      <c r="K119" s="552"/>
      <c r="L119" s="522">
        <f>L121+L120</f>
        <v>18070</v>
      </c>
      <c r="M119" s="522">
        <f>M121+M120</f>
        <v>20236</v>
      </c>
      <c r="N119" s="522">
        <f t="shared" ref="N119:U119" si="81">N120+N121</f>
        <v>23629.659688195992</v>
      </c>
      <c r="O119" s="522">
        <f t="shared" si="81"/>
        <v>28817.867886568023</v>
      </c>
      <c r="P119" s="522">
        <f t="shared" si="81"/>
        <v>34559.351961161148</v>
      </c>
      <c r="Q119" s="522">
        <f t="shared" si="81"/>
        <v>39787.05015737073</v>
      </c>
      <c r="R119" s="522">
        <f t="shared" si="81"/>
        <v>45473.699732167188</v>
      </c>
      <c r="S119" s="522">
        <f t="shared" si="81"/>
        <v>53277.227726903337</v>
      </c>
      <c r="T119" s="522">
        <f t="shared" si="81"/>
        <v>61119.712784821226</v>
      </c>
      <c r="U119" s="522">
        <f t="shared" si="81"/>
        <v>71379.264784821222</v>
      </c>
      <c r="V119" s="522">
        <f t="shared" ref="V119:AI119" si="82">U119+V45-V330+V129</f>
        <v>83321.385584821226</v>
      </c>
      <c r="W119" s="522">
        <f t="shared" si="82"/>
        <v>96378.628800821229</v>
      </c>
      <c r="X119" s="522">
        <f t="shared" si="82"/>
        <v>106829.03688114123</v>
      </c>
      <c r="Y119" s="522">
        <f t="shared" si="82"/>
        <v>116129.04512306764</v>
      </c>
      <c r="Z119" s="522">
        <f t="shared" si="82"/>
        <v>125961.20738853257</v>
      </c>
      <c r="AA119" s="522">
        <f t="shared" si="82"/>
        <v>135934.8438306328</v>
      </c>
      <c r="AB119" s="522">
        <f t="shared" si="82"/>
        <v>146053.64925875532</v>
      </c>
      <c r="AC119" s="522">
        <f t="shared" si="82"/>
        <v>156218.3200727597</v>
      </c>
      <c r="AD119" s="522">
        <f t="shared" si="82"/>
        <v>166305.0784218068</v>
      </c>
      <c r="AE119" s="522">
        <f t="shared" si="82"/>
        <v>176350.79712489058</v>
      </c>
      <c r="AF119" s="522">
        <f t="shared" si="82"/>
        <v>186351.24415721453</v>
      </c>
      <c r="AG119" s="522">
        <f t="shared" si="82"/>
        <v>196427.87229544329</v>
      </c>
      <c r="AH119" s="522">
        <f t="shared" si="82"/>
        <v>206581.16994041347</v>
      </c>
      <c r="AI119" s="522">
        <f t="shared" si="82"/>
        <v>216680.54176987289</v>
      </c>
      <c r="AJ119" s="267"/>
      <c r="AK119" s="267"/>
      <c r="AL119" s="267"/>
      <c r="AM119" s="267"/>
      <c r="AN119" s="267"/>
      <c r="AO119" s="267"/>
      <c r="AP119" s="267"/>
      <c r="AQ119" s="267"/>
      <c r="AR119" s="267"/>
    </row>
    <row r="120" spans="1:44" ht="15.75">
      <c r="A120" s="267"/>
      <c r="B120" s="521" t="s">
        <v>188</v>
      </c>
      <c r="C120" s="552"/>
      <c r="D120" s="552"/>
      <c r="E120" s="552"/>
      <c r="F120" s="552"/>
      <c r="G120" s="552"/>
      <c r="H120" s="552"/>
      <c r="I120" s="552"/>
      <c r="J120" s="552"/>
      <c r="K120" s="552"/>
      <c r="L120" s="359">
        <v>6499</v>
      </c>
      <c r="M120" s="359">
        <v>7750</v>
      </c>
      <c r="N120" s="522">
        <f t="shared" ref="N120:AI120" si="83">M120+N111</f>
        <v>9308.6596881959904</v>
      </c>
      <c r="O120" s="522">
        <f t="shared" si="83"/>
        <v>11159.867886568023</v>
      </c>
      <c r="P120" s="522">
        <f t="shared" si="83"/>
        <v>13037.35196116115</v>
      </c>
      <c r="Q120" s="522">
        <f t="shared" si="83"/>
        <v>15402.05015737073</v>
      </c>
      <c r="R120" s="522">
        <f t="shared" si="83"/>
        <v>18583.699732167188</v>
      </c>
      <c r="S120" s="522">
        <f t="shared" si="83"/>
        <v>22654.227726903337</v>
      </c>
      <c r="T120" s="522">
        <f t="shared" si="83"/>
        <v>27315.712784821226</v>
      </c>
      <c r="U120" s="522">
        <f t="shared" si="83"/>
        <v>32307.384784821224</v>
      </c>
      <c r="V120" s="522">
        <f t="shared" si="83"/>
        <v>38289.061784821228</v>
      </c>
      <c r="W120" s="522">
        <f t="shared" si="83"/>
        <v>45142.079784821224</v>
      </c>
      <c r="X120" s="522">
        <f t="shared" si="83"/>
        <v>53097.030784821225</v>
      </c>
      <c r="Y120" s="522">
        <f t="shared" si="83"/>
        <v>61900.855784821222</v>
      </c>
      <c r="Z120" s="522">
        <f t="shared" si="83"/>
        <v>71564.494577356279</v>
      </c>
      <c r="AA120" s="522">
        <f t="shared" si="83"/>
        <v>81325.17135785328</v>
      </c>
      <c r="AB120" s="522">
        <f t="shared" si="83"/>
        <v>91027.04186045035</v>
      </c>
      <c r="AC120" s="522">
        <f t="shared" si="83"/>
        <v>100802.98438128694</v>
      </c>
      <c r="AD120" s="522">
        <f t="shared" si="83"/>
        <v>110647.98777339846</v>
      </c>
      <c r="AE120" s="522">
        <f t="shared" si="83"/>
        <v>120535.94097969757</v>
      </c>
      <c r="AF120" s="522">
        <f t="shared" si="83"/>
        <v>130451.92256174541</v>
      </c>
      <c r="AG120" s="522">
        <f t="shared" si="83"/>
        <v>140382.91014590635</v>
      </c>
      <c r="AH120" s="522">
        <f t="shared" si="83"/>
        <v>150339.77200712319</v>
      </c>
      <c r="AI120" s="522">
        <f t="shared" si="83"/>
        <v>160331.53234785391</v>
      </c>
      <c r="AJ120" s="267"/>
      <c r="AK120" s="267"/>
      <c r="AL120" s="267"/>
      <c r="AM120" s="267"/>
      <c r="AN120" s="267"/>
      <c r="AO120" s="267"/>
      <c r="AP120" s="267"/>
      <c r="AQ120" s="267"/>
      <c r="AR120" s="267"/>
    </row>
    <row r="121" spans="1:44" ht="15.75">
      <c r="A121" s="267"/>
      <c r="B121" s="520" t="s">
        <v>157</v>
      </c>
      <c r="C121" s="552"/>
      <c r="D121" s="552"/>
      <c r="E121" s="552"/>
      <c r="F121" s="552"/>
      <c r="G121" s="552"/>
      <c r="H121" s="552"/>
      <c r="I121" s="552"/>
      <c r="J121" s="552"/>
      <c r="K121" s="552"/>
      <c r="L121" s="558">
        <v>11571</v>
      </c>
      <c r="M121" s="558">
        <v>12486</v>
      </c>
      <c r="N121" s="558">
        <v>14321</v>
      </c>
      <c r="O121" s="558">
        <v>17658</v>
      </c>
      <c r="P121" s="558">
        <v>21522</v>
      </c>
      <c r="Q121" s="558">
        <v>24385</v>
      </c>
      <c r="R121" s="558">
        <v>26890</v>
      </c>
      <c r="S121" s="558">
        <v>30623</v>
      </c>
      <c r="T121" s="558">
        <v>33804</v>
      </c>
      <c r="U121" s="558">
        <v>39071.879999999997</v>
      </c>
      <c r="V121" s="558">
        <v>46236.025999999998</v>
      </c>
      <c r="W121" s="558">
        <v>53417.510999999999</v>
      </c>
      <c r="X121" s="558">
        <v>55563.957999999999</v>
      </c>
      <c r="Y121" s="558">
        <v>56099.911999999997</v>
      </c>
      <c r="Z121" s="523">
        <f t="shared" ref="Z121:AI121" si="84">Z119-Z120</f>
        <v>54396.712811176287</v>
      </c>
      <c r="AA121" s="523">
        <f t="shared" si="84"/>
        <v>54609.672472779523</v>
      </c>
      <c r="AB121" s="523">
        <f t="shared" si="84"/>
        <v>55026.607398304972</v>
      </c>
      <c r="AC121" s="523">
        <f t="shared" si="84"/>
        <v>55415.335691472763</v>
      </c>
      <c r="AD121" s="523">
        <f t="shared" si="84"/>
        <v>55657.090648408339</v>
      </c>
      <c r="AE121" s="523">
        <f t="shared" si="84"/>
        <v>55814.856145193015</v>
      </c>
      <c r="AF121" s="523">
        <f t="shared" si="84"/>
        <v>55899.321595469126</v>
      </c>
      <c r="AG121" s="523">
        <f t="shared" si="84"/>
        <v>56044.962149536936</v>
      </c>
      <c r="AH121" s="523">
        <f t="shared" si="84"/>
        <v>56241.397933290282</v>
      </c>
      <c r="AI121" s="523">
        <f t="shared" si="84"/>
        <v>56349.009422018979</v>
      </c>
      <c r="AJ121" s="267"/>
      <c r="AK121" s="267"/>
      <c r="AL121" s="267"/>
      <c r="AM121" s="267"/>
      <c r="AN121" s="267"/>
      <c r="AO121" s="267"/>
      <c r="AP121" s="267"/>
      <c r="AQ121" s="267"/>
      <c r="AR121" s="267"/>
    </row>
    <row r="122" spans="1:44" ht="15.75">
      <c r="A122" s="267"/>
      <c r="B122" s="521" t="s">
        <v>131</v>
      </c>
      <c r="C122" s="552"/>
      <c r="D122" s="552"/>
      <c r="E122" s="552"/>
      <c r="F122" s="552"/>
      <c r="G122" s="552"/>
      <c r="H122" s="552"/>
      <c r="I122" s="552"/>
      <c r="J122" s="552"/>
      <c r="K122" s="552"/>
      <c r="L122" s="534"/>
      <c r="M122" s="534">
        <f t="shared" ref="M122:AI122" si="85">M121/L121-1</f>
        <v>7.9077002851957401E-2</v>
      </c>
      <c r="N122" s="534">
        <f t="shared" si="85"/>
        <v>0.14696460035239478</v>
      </c>
      <c r="O122" s="534">
        <f t="shared" si="85"/>
        <v>0.23301445429788425</v>
      </c>
      <c r="P122" s="534">
        <f t="shared" si="85"/>
        <v>0.21882432891607206</v>
      </c>
      <c r="Q122" s="534">
        <f t="shared" si="85"/>
        <v>0.13302667038379323</v>
      </c>
      <c r="R122" s="534">
        <f t="shared" si="85"/>
        <v>0.10272708632355965</v>
      </c>
      <c r="S122" s="534">
        <f t="shared" si="85"/>
        <v>0.13882484194867972</v>
      </c>
      <c r="T122" s="534">
        <f t="shared" si="85"/>
        <v>0.10387617150507777</v>
      </c>
      <c r="U122" s="534">
        <f t="shared" si="85"/>
        <v>0.15583599574014895</v>
      </c>
      <c r="V122" s="534">
        <f t="shared" si="85"/>
        <v>0.18335810818419795</v>
      </c>
      <c r="W122" s="534">
        <f t="shared" si="85"/>
        <v>0.15532228050914232</v>
      </c>
      <c r="X122" s="534">
        <f t="shared" si="85"/>
        <v>4.0182460017652355E-2</v>
      </c>
      <c r="Y122" s="534">
        <f t="shared" si="85"/>
        <v>9.6457131437612809E-3</v>
      </c>
      <c r="Z122" s="534">
        <f t="shared" si="85"/>
        <v>-3.0360104465470661E-2</v>
      </c>
      <c r="AA122" s="534">
        <f t="shared" si="85"/>
        <v>3.9149362267987264E-3</v>
      </c>
      <c r="AB122" s="534">
        <f t="shared" si="85"/>
        <v>7.6348182775363149E-3</v>
      </c>
      <c r="AC122" s="534">
        <f t="shared" si="85"/>
        <v>7.0643696122134614E-3</v>
      </c>
      <c r="AD122" s="534">
        <f t="shared" si="85"/>
        <v>4.3626002426757626E-3</v>
      </c>
      <c r="AE122" s="534">
        <f t="shared" si="85"/>
        <v>2.8345983404216568E-3</v>
      </c>
      <c r="AF122" s="534">
        <f t="shared" si="85"/>
        <v>1.513314843209379E-3</v>
      </c>
      <c r="AG122" s="534">
        <f t="shared" si="85"/>
        <v>2.6054082573985227E-3</v>
      </c>
      <c r="AH122" s="534">
        <f t="shared" si="85"/>
        <v>3.5049677298242266E-3</v>
      </c>
      <c r="AI122" s="534">
        <f t="shared" si="85"/>
        <v>1.9133857386748332E-3</v>
      </c>
      <c r="AJ122" s="267"/>
      <c r="AK122" s="267"/>
      <c r="AL122" s="267"/>
      <c r="AM122" s="267"/>
      <c r="AN122" s="267"/>
      <c r="AO122" s="267"/>
      <c r="AP122" s="267"/>
      <c r="AQ122" s="267"/>
      <c r="AR122" s="267"/>
    </row>
    <row r="123" spans="1:44" ht="15.75">
      <c r="A123" s="267"/>
      <c r="B123" s="521"/>
      <c r="C123" s="552"/>
      <c r="D123" s="552"/>
      <c r="E123" s="552"/>
      <c r="F123" s="552"/>
      <c r="G123" s="552"/>
      <c r="H123" s="552"/>
      <c r="I123" s="552"/>
      <c r="J123" s="552"/>
      <c r="K123" s="552"/>
      <c r="L123" s="521"/>
      <c r="M123" s="521"/>
      <c r="N123" s="521"/>
      <c r="O123" s="521"/>
      <c r="P123" s="521"/>
      <c r="Q123" s="521"/>
      <c r="R123" s="521"/>
      <c r="S123" s="521"/>
      <c r="T123" s="521"/>
      <c r="U123" s="521"/>
      <c r="V123" s="521"/>
      <c r="W123" s="521"/>
      <c r="X123" s="521"/>
      <c r="Y123" s="521"/>
      <c r="Z123" s="521"/>
      <c r="AA123" s="521"/>
      <c r="AB123" s="521"/>
      <c r="AC123" s="521"/>
      <c r="AD123" s="521"/>
      <c r="AE123" s="521"/>
      <c r="AF123" s="521"/>
      <c r="AG123" s="521"/>
      <c r="AH123" s="521"/>
      <c r="AI123" s="521"/>
      <c r="AJ123" s="267"/>
      <c r="AK123" s="267"/>
      <c r="AL123" s="267"/>
      <c r="AM123" s="267"/>
      <c r="AN123" s="267"/>
      <c r="AO123" s="267"/>
      <c r="AP123" s="267"/>
      <c r="AQ123" s="267"/>
      <c r="AR123" s="267"/>
    </row>
    <row r="124" spans="1:44" ht="15.75">
      <c r="A124" s="267"/>
      <c r="B124" s="521" t="s">
        <v>189</v>
      </c>
      <c r="C124" s="552"/>
      <c r="D124" s="552"/>
      <c r="E124" s="552"/>
      <c r="F124" s="552"/>
      <c r="G124" s="552"/>
      <c r="H124" s="552"/>
      <c r="I124" s="552"/>
      <c r="J124" s="552"/>
      <c r="K124" s="552"/>
      <c r="L124" s="527">
        <f t="shared" ref="L124:AI124" si="86">L45/L20</f>
        <v>1.8779564806054871</v>
      </c>
      <c r="M124" s="527">
        <f t="shared" si="86"/>
        <v>1.6</v>
      </c>
      <c r="N124" s="527">
        <f t="shared" si="86"/>
        <v>1.4987235621033548</v>
      </c>
      <c r="O124" s="527">
        <f t="shared" si="86"/>
        <v>2.0338068961184232</v>
      </c>
      <c r="P124" s="527">
        <f t="shared" si="86"/>
        <v>2.59602734636045</v>
      </c>
      <c r="Q124" s="527">
        <f t="shared" si="86"/>
        <v>1.9841855537932487</v>
      </c>
      <c r="R124" s="527">
        <f t="shared" si="86"/>
        <v>1.808220190423719</v>
      </c>
      <c r="S124" s="527">
        <f t="shared" si="86"/>
        <v>1.6054428340625126</v>
      </c>
      <c r="T124" s="527">
        <f t="shared" si="86"/>
        <v>1.7335677149224802</v>
      </c>
      <c r="U124" s="527">
        <f t="shared" si="86"/>
        <v>1.8964733660384736</v>
      </c>
      <c r="V124" s="527">
        <f t="shared" si="86"/>
        <v>1.9787093151301884</v>
      </c>
      <c r="W124" s="527">
        <f t="shared" si="86"/>
        <v>1.8895324658420567</v>
      </c>
      <c r="X124" s="527">
        <f t="shared" si="86"/>
        <v>1.2998194457765988</v>
      </c>
      <c r="Y124" s="527">
        <f t="shared" si="86"/>
        <v>1.0435682217672431</v>
      </c>
      <c r="Z124" s="527">
        <f t="shared" si="86"/>
        <v>1.0055522466554103</v>
      </c>
      <c r="AA124" s="527">
        <f t="shared" si="86"/>
        <v>1.0098142501444582</v>
      </c>
      <c r="AB124" s="527">
        <f t="shared" si="86"/>
        <v>1.0306565284069311</v>
      </c>
      <c r="AC124" s="527">
        <f t="shared" si="86"/>
        <v>1.027294437400752</v>
      </c>
      <c r="AD124" s="527">
        <f t="shared" si="86"/>
        <v>1.0119266110350154</v>
      </c>
      <c r="AE124" s="527">
        <f t="shared" si="86"/>
        <v>1.0031291933409143</v>
      </c>
      <c r="AF124" s="527">
        <f t="shared" si="86"/>
        <v>0.99547243887074832</v>
      </c>
      <c r="AG124" s="527">
        <f t="shared" si="86"/>
        <v>1.0013787830913572</v>
      </c>
      <c r="AH124" s="527">
        <f t="shared" si="86"/>
        <v>1.0062116910712435</v>
      </c>
      <c r="AI124" s="527">
        <f t="shared" si="86"/>
        <v>0.99703084533969111</v>
      </c>
      <c r="AJ124" s="267"/>
      <c r="AK124" s="267"/>
      <c r="AL124" s="267"/>
      <c r="AM124" s="267"/>
      <c r="AN124" s="267"/>
      <c r="AO124" s="267"/>
      <c r="AP124" s="267"/>
      <c r="AQ124" s="267"/>
      <c r="AR124" s="267"/>
    </row>
    <row r="125" spans="1:44" ht="15.75">
      <c r="A125" s="267"/>
      <c r="B125" s="521"/>
      <c r="C125" s="552"/>
      <c r="D125" s="552"/>
      <c r="E125" s="552"/>
      <c r="F125" s="552"/>
      <c r="G125" s="552"/>
      <c r="H125" s="552"/>
      <c r="I125" s="552"/>
      <c r="J125" s="552"/>
      <c r="K125" s="552"/>
      <c r="L125" s="527"/>
      <c r="M125" s="527"/>
      <c r="N125" s="527"/>
      <c r="O125" s="527"/>
      <c r="P125" s="527"/>
      <c r="Q125" s="527"/>
      <c r="R125" s="527"/>
      <c r="S125" s="527"/>
      <c r="T125" s="527"/>
      <c r="U125" s="527"/>
      <c r="V125" s="527"/>
      <c r="W125" s="527"/>
      <c r="X125" s="527"/>
      <c r="Y125" s="527"/>
      <c r="Z125" s="527"/>
      <c r="AA125" s="527"/>
      <c r="AB125" s="527"/>
      <c r="AC125" s="527"/>
      <c r="AD125" s="527"/>
      <c r="AE125" s="527"/>
      <c r="AF125" s="527"/>
      <c r="AG125" s="527"/>
      <c r="AH125" s="527"/>
      <c r="AI125" s="527"/>
      <c r="AJ125" s="267"/>
      <c r="AK125" s="267"/>
      <c r="AL125" s="267"/>
      <c r="AM125" s="267"/>
      <c r="AN125" s="267"/>
      <c r="AO125" s="267"/>
      <c r="AP125" s="267"/>
      <c r="AQ125" s="267"/>
      <c r="AR125" s="267"/>
    </row>
    <row r="126" spans="1:44" ht="15.75">
      <c r="A126" s="267"/>
      <c r="B126" s="521" t="s">
        <v>190</v>
      </c>
      <c r="C126" s="552"/>
      <c r="D126" s="552"/>
      <c r="E126" s="552"/>
      <c r="F126" s="552"/>
      <c r="G126" s="552"/>
      <c r="H126" s="552"/>
      <c r="I126" s="552"/>
      <c r="J126" s="552"/>
      <c r="K126" s="552"/>
      <c r="L126" s="527"/>
      <c r="M126" s="527"/>
      <c r="N126" s="527"/>
      <c r="O126" s="527"/>
      <c r="P126" s="527"/>
      <c r="Q126" s="527"/>
      <c r="R126" s="527"/>
      <c r="S126" s="553">
        <v>328</v>
      </c>
      <c r="T126" s="522">
        <f t="shared" ref="T126:AI126" si="87">S126</f>
        <v>328</v>
      </c>
      <c r="U126" s="522">
        <f t="shared" si="87"/>
        <v>328</v>
      </c>
      <c r="V126" s="522">
        <f t="shared" si="87"/>
        <v>328</v>
      </c>
      <c r="W126" s="522">
        <f t="shared" si="87"/>
        <v>328</v>
      </c>
      <c r="X126" s="522">
        <f t="shared" si="87"/>
        <v>328</v>
      </c>
      <c r="Y126" s="522">
        <f t="shared" si="87"/>
        <v>328</v>
      </c>
      <c r="Z126" s="522">
        <f t="shared" si="87"/>
        <v>328</v>
      </c>
      <c r="AA126" s="522">
        <f t="shared" si="87"/>
        <v>328</v>
      </c>
      <c r="AB126" s="522">
        <f t="shared" si="87"/>
        <v>328</v>
      </c>
      <c r="AC126" s="522">
        <f t="shared" si="87"/>
        <v>328</v>
      </c>
      <c r="AD126" s="522">
        <f t="shared" si="87"/>
        <v>328</v>
      </c>
      <c r="AE126" s="522">
        <f t="shared" si="87"/>
        <v>328</v>
      </c>
      <c r="AF126" s="522">
        <f t="shared" si="87"/>
        <v>328</v>
      </c>
      <c r="AG126" s="522">
        <f t="shared" si="87"/>
        <v>328</v>
      </c>
      <c r="AH126" s="522">
        <f t="shared" si="87"/>
        <v>328</v>
      </c>
      <c r="AI126" s="522">
        <f t="shared" si="87"/>
        <v>328</v>
      </c>
      <c r="AJ126" s="267"/>
      <c r="AK126" s="267"/>
      <c r="AL126" s="267"/>
      <c r="AM126" s="267"/>
      <c r="AN126" s="267"/>
      <c r="AO126" s="267"/>
      <c r="AP126" s="267"/>
      <c r="AQ126" s="267"/>
      <c r="AR126" s="267"/>
    </row>
    <row r="127" spans="1:44" ht="15.75">
      <c r="A127" s="267"/>
      <c r="B127" s="521" t="s">
        <v>191</v>
      </c>
      <c r="C127" s="552"/>
      <c r="D127" s="552"/>
      <c r="E127" s="552"/>
      <c r="F127" s="552"/>
      <c r="G127" s="552"/>
      <c r="H127" s="552"/>
      <c r="I127" s="552"/>
      <c r="J127" s="552"/>
      <c r="K127" s="552"/>
      <c r="L127" s="527"/>
      <c r="M127" s="527"/>
      <c r="N127" s="527"/>
      <c r="O127" s="527"/>
      <c r="P127" s="527"/>
      <c r="Q127" s="527"/>
      <c r="R127" s="527"/>
      <c r="S127" s="553">
        <f>160</f>
        <v>160</v>
      </c>
      <c r="T127" s="522">
        <f t="shared" ref="T127:AI127" si="88">T128+T129</f>
        <v>163.19999999999999</v>
      </c>
      <c r="U127" s="522">
        <f t="shared" si="88"/>
        <v>166.464</v>
      </c>
      <c r="V127" s="522">
        <f t="shared" si="88"/>
        <v>169.79328000000001</v>
      </c>
      <c r="W127" s="522">
        <f t="shared" si="88"/>
        <v>173.18914560000002</v>
      </c>
      <c r="X127" s="522">
        <f t="shared" si="88"/>
        <v>176.65292851200002</v>
      </c>
      <c r="Y127" s="522">
        <f t="shared" si="88"/>
        <v>180.18598708224005</v>
      </c>
      <c r="Z127" s="522">
        <f t="shared" si="88"/>
        <v>183.78970682388484</v>
      </c>
      <c r="AA127" s="522">
        <f t="shared" si="88"/>
        <v>187.46550096036253</v>
      </c>
      <c r="AB127" s="522">
        <f t="shared" si="88"/>
        <v>191.21481097956979</v>
      </c>
      <c r="AC127" s="522">
        <f t="shared" si="88"/>
        <v>195.03910719916118</v>
      </c>
      <c r="AD127" s="522">
        <f t="shared" si="88"/>
        <v>198.93988934314439</v>
      </c>
      <c r="AE127" s="522">
        <f t="shared" si="88"/>
        <v>202.9186871300073</v>
      </c>
      <c r="AF127" s="522">
        <f t="shared" si="88"/>
        <v>206.97706087260747</v>
      </c>
      <c r="AG127" s="522">
        <f t="shared" si="88"/>
        <v>211.11660209005959</v>
      </c>
      <c r="AH127" s="522">
        <f t="shared" si="88"/>
        <v>215.33893413186081</v>
      </c>
      <c r="AI127" s="522">
        <f t="shared" si="88"/>
        <v>219.64571281449804</v>
      </c>
      <c r="AJ127" s="267"/>
      <c r="AK127" s="267"/>
      <c r="AL127" s="267"/>
      <c r="AM127" s="267"/>
      <c r="AN127" s="267"/>
      <c r="AO127" s="267"/>
      <c r="AP127" s="267"/>
      <c r="AQ127" s="267"/>
      <c r="AR127" s="267"/>
    </row>
    <row r="128" spans="1:44" ht="15.75">
      <c r="A128" s="267"/>
      <c r="B128" s="559" t="s">
        <v>192</v>
      </c>
      <c r="C128" s="552"/>
      <c r="D128" s="552"/>
      <c r="E128" s="552"/>
      <c r="F128" s="552"/>
      <c r="G128" s="552"/>
      <c r="H128" s="552"/>
      <c r="I128" s="552"/>
      <c r="J128" s="552"/>
      <c r="K128" s="552"/>
      <c r="L128" s="527"/>
      <c r="M128" s="527"/>
      <c r="N128" s="527"/>
      <c r="O128" s="527"/>
      <c r="P128" s="527"/>
      <c r="Q128" s="527"/>
      <c r="R128" s="527"/>
      <c r="S128" s="522">
        <f>S127-S129</f>
        <v>60</v>
      </c>
      <c r="T128" s="560">
        <f t="shared" ref="T128:AI128" si="89">S128*1.02</f>
        <v>61.2</v>
      </c>
      <c r="U128" s="560">
        <f t="shared" si="89"/>
        <v>62.424000000000007</v>
      </c>
      <c r="V128" s="560">
        <f t="shared" si="89"/>
        <v>63.672480000000007</v>
      </c>
      <c r="W128" s="560">
        <f t="shared" si="89"/>
        <v>64.945929600000014</v>
      </c>
      <c r="X128" s="560">
        <f t="shared" si="89"/>
        <v>66.244848192000021</v>
      </c>
      <c r="Y128" s="560">
        <f t="shared" si="89"/>
        <v>67.569745155840025</v>
      </c>
      <c r="Z128" s="560">
        <f t="shared" si="89"/>
        <v>68.921140058956823</v>
      </c>
      <c r="AA128" s="560">
        <f t="shared" si="89"/>
        <v>70.299562860135964</v>
      </c>
      <c r="AB128" s="560">
        <f t="shared" si="89"/>
        <v>71.705554117338679</v>
      </c>
      <c r="AC128" s="560">
        <f t="shared" si="89"/>
        <v>73.139665199685453</v>
      </c>
      <c r="AD128" s="560">
        <f t="shared" si="89"/>
        <v>74.602458503679159</v>
      </c>
      <c r="AE128" s="560">
        <f t="shared" si="89"/>
        <v>76.094507673752744</v>
      </c>
      <c r="AF128" s="560">
        <f t="shared" si="89"/>
        <v>77.6163978272278</v>
      </c>
      <c r="AG128" s="560">
        <f t="shared" si="89"/>
        <v>79.168725783772359</v>
      </c>
      <c r="AH128" s="560">
        <f t="shared" si="89"/>
        <v>80.752100299447804</v>
      </c>
      <c r="AI128" s="560">
        <f t="shared" si="89"/>
        <v>82.367142305436758</v>
      </c>
      <c r="AJ128" s="267"/>
      <c r="AK128" s="267"/>
      <c r="AL128" s="267"/>
      <c r="AM128" s="267"/>
      <c r="AN128" s="267"/>
      <c r="AO128" s="267"/>
      <c r="AP128" s="267"/>
      <c r="AQ128" s="267"/>
      <c r="AR128" s="267"/>
    </row>
    <row r="129" spans="1:44" ht="15.75">
      <c r="A129" s="267"/>
      <c r="B129" s="559" t="s">
        <v>193</v>
      </c>
      <c r="C129" s="552"/>
      <c r="D129" s="552"/>
      <c r="E129" s="552"/>
      <c r="F129" s="552"/>
      <c r="G129" s="552"/>
      <c r="H129" s="552"/>
      <c r="I129" s="552"/>
      <c r="J129" s="552"/>
      <c r="K129" s="552"/>
      <c r="L129" s="527"/>
      <c r="M129" s="527"/>
      <c r="N129" s="527"/>
      <c r="O129" s="527"/>
      <c r="P129" s="527"/>
      <c r="Q129" s="527"/>
      <c r="R129" s="527"/>
      <c r="S129" s="553">
        <v>100</v>
      </c>
      <c r="T129" s="560">
        <f t="shared" ref="T129:AI129" si="90">S129*1.02</f>
        <v>102</v>
      </c>
      <c r="U129" s="560">
        <f t="shared" si="90"/>
        <v>104.04</v>
      </c>
      <c r="V129" s="560">
        <f t="shared" si="90"/>
        <v>106.1208</v>
      </c>
      <c r="W129" s="560">
        <f t="shared" si="90"/>
        <v>108.243216</v>
      </c>
      <c r="X129" s="560">
        <f t="shared" si="90"/>
        <v>110.40808032000001</v>
      </c>
      <c r="Y129" s="560">
        <f t="shared" si="90"/>
        <v>112.61624192640001</v>
      </c>
      <c r="Z129" s="560">
        <f t="shared" si="90"/>
        <v>114.868566764928</v>
      </c>
      <c r="AA129" s="560">
        <f t="shared" si="90"/>
        <v>117.16593810022657</v>
      </c>
      <c r="AB129" s="560">
        <f t="shared" si="90"/>
        <v>119.5092568622311</v>
      </c>
      <c r="AC129" s="560">
        <f t="shared" si="90"/>
        <v>121.89944199947573</v>
      </c>
      <c r="AD129" s="560">
        <f t="shared" si="90"/>
        <v>124.33743083946524</v>
      </c>
      <c r="AE129" s="560">
        <f t="shared" si="90"/>
        <v>126.82417945625456</v>
      </c>
      <c r="AF129" s="560">
        <f t="shared" si="90"/>
        <v>129.36066304537965</v>
      </c>
      <c r="AG129" s="560">
        <f t="shared" si="90"/>
        <v>131.94787630628724</v>
      </c>
      <c r="AH129" s="560">
        <f t="shared" si="90"/>
        <v>134.58683383241299</v>
      </c>
      <c r="AI129" s="560">
        <f t="shared" si="90"/>
        <v>137.27857050906127</v>
      </c>
      <c r="AJ129" s="267"/>
      <c r="AK129" s="267"/>
      <c r="AL129" s="267"/>
      <c r="AM129" s="267"/>
      <c r="AN129" s="267"/>
      <c r="AO129" s="267"/>
      <c r="AP129" s="267"/>
      <c r="AQ129" s="267"/>
      <c r="AR129" s="267"/>
    </row>
    <row r="130" spans="1:44" ht="15.75">
      <c r="A130" s="267"/>
      <c r="B130" s="521" t="s">
        <v>194</v>
      </c>
      <c r="C130" s="552"/>
      <c r="D130" s="552"/>
      <c r="E130" s="552"/>
      <c r="F130" s="552"/>
      <c r="G130" s="552"/>
      <c r="H130" s="552"/>
      <c r="I130" s="552"/>
      <c r="J130" s="552"/>
      <c r="K130" s="552"/>
      <c r="L130" s="527"/>
      <c r="M130" s="527"/>
      <c r="N130" s="527"/>
      <c r="O130" s="527"/>
      <c r="P130" s="527"/>
      <c r="Q130" s="527"/>
      <c r="R130" s="527"/>
      <c r="S130" s="550">
        <f>S126/S127</f>
        <v>2.0499999999999998</v>
      </c>
      <c r="T130" s="527"/>
      <c r="U130" s="527"/>
      <c r="V130" s="527"/>
      <c r="W130" s="527"/>
      <c r="X130" s="527"/>
      <c r="Y130" s="527"/>
      <c r="Z130" s="527"/>
      <c r="AA130" s="527"/>
      <c r="AB130" s="527"/>
      <c r="AC130" s="527"/>
      <c r="AD130" s="527"/>
      <c r="AE130" s="527"/>
      <c r="AF130" s="527"/>
      <c r="AG130" s="527"/>
      <c r="AH130" s="527"/>
      <c r="AI130" s="527"/>
      <c r="AJ130" s="267"/>
      <c r="AK130" s="267"/>
      <c r="AL130" s="267"/>
      <c r="AM130" s="267"/>
      <c r="AN130" s="267"/>
      <c r="AO130" s="267"/>
      <c r="AP130" s="267"/>
      <c r="AQ130" s="267"/>
      <c r="AR130" s="267"/>
    </row>
    <row r="131" spans="1:44" ht="15.75">
      <c r="A131" s="267"/>
      <c r="B131" s="521"/>
      <c r="C131" s="521"/>
      <c r="D131" s="521"/>
      <c r="E131" s="521"/>
      <c r="F131" s="521"/>
      <c r="G131" s="521"/>
      <c r="H131" s="521"/>
      <c r="I131" s="521"/>
      <c r="J131" s="521"/>
      <c r="K131" s="521"/>
      <c r="L131" s="521"/>
      <c r="M131" s="521"/>
      <c r="N131" s="521"/>
      <c r="O131" s="521"/>
      <c r="P131" s="521"/>
      <c r="Q131" s="521"/>
      <c r="R131" s="521"/>
      <c r="S131" s="521"/>
      <c r="T131" s="521"/>
      <c r="U131" s="521"/>
      <c r="V131" s="521"/>
      <c r="W131" s="521"/>
      <c r="X131" s="521"/>
      <c r="Y131" s="521"/>
      <c r="Z131" s="521"/>
      <c r="AA131" s="521"/>
      <c r="AB131" s="521"/>
      <c r="AC131" s="521"/>
      <c r="AD131" s="521"/>
      <c r="AE131" s="521"/>
      <c r="AF131" s="521"/>
      <c r="AG131" s="521"/>
      <c r="AH131" s="521"/>
      <c r="AI131" s="521"/>
      <c r="AJ131" s="267"/>
      <c r="AK131" s="267"/>
      <c r="AL131" s="267"/>
      <c r="AM131" s="267"/>
      <c r="AN131" s="267"/>
      <c r="AO131" s="267"/>
      <c r="AP131" s="267"/>
      <c r="AQ131" s="267"/>
      <c r="AR131" s="267"/>
    </row>
    <row r="132" spans="1:44" ht="15.75">
      <c r="A132" s="267"/>
      <c r="B132" s="521" t="s">
        <v>195</v>
      </c>
      <c r="C132" s="521"/>
      <c r="D132" s="521"/>
      <c r="E132" s="521"/>
      <c r="F132" s="521"/>
      <c r="G132" s="521"/>
      <c r="H132" s="521"/>
      <c r="I132" s="521"/>
      <c r="J132" s="521"/>
      <c r="K132" s="521"/>
      <c r="L132" s="521"/>
      <c r="M132" s="521"/>
      <c r="N132" s="521"/>
      <c r="O132" s="521"/>
      <c r="P132" s="521"/>
      <c r="Q132" s="521"/>
      <c r="R132" s="521"/>
      <c r="S132" s="521"/>
      <c r="T132" s="818">
        <v>273.678</v>
      </c>
      <c r="U132" s="818">
        <v>1288.6780000000001</v>
      </c>
      <c r="V132" s="818">
        <v>1627.759</v>
      </c>
      <c r="W132" s="818">
        <v>1178.4580000000001</v>
      </c>
      <c r="X132" s="818">
        <v>385.416</v>
      </c>
      <c r="Y132" s="359">
        <f t="shared" ref="Y132:AI132" si="91">X132</f>
        <v>385.416</v>
      </c>
      <c r="Z132" s="359">
        <f t="shared" si="91"/>
        <v>385.416</v>
      </c>
      <c r="AA132" s="359">
        <f t="shared" si="91"/>
        <v>385.416</v>
      </c>
      <c r="AB132" s="359">
        <f t="shared" si="91"/>
        <v>385.416</v>
      </c>
      <c r="AC132" s="359">
        <f t="shared" si="91"/>
        <v>385.416</v>
      </c>
      <c r="AD132" s="359">
        <f t="shared" si="91"/>
        <v>385.416</v>
      </c>
      <c r="AE132" s="359">
        <f t="shared" si="91"/>
        <v>385.416</v>
      </c>
      <c r="AF132" s="359">
        <f t="shared" si="91"/>
        <v>385.416</v>
      </c>
      <c r="AG132" s="359">
        <f t="shared" si="91"/>
        <v>385.416</v>
      </c>
      <c r="AH132" s="359">
        <f t="shared" si="91"/>
        <v>385.416</v>
      </c>
      <c r="AI132" s="359">
        <f t="shared" si="91"/>
        <v>385.416</v>
      </c>
      <c r="AJ132" s="267"/>
      <c r="AK132" s="267"/>
      <c r="AL132" s="267"/>
      <c r="AM132" s="267"/>
      <c r="AN132" s="267"/>
      <c r="AO132" s="267"/>
      <c r="AP132" s="267"/>
      <c r="AQ132" s="267"/>
      <c r="AR132" s="267"/>
    </row>
    <row r="133" spans="1:44" ht="15.75">
      <c r="A133" s="267"/>
      <c r="B133" s="521" t="s">
        <v>196</v>
      </c>
      <c r="C133" s="521"/>
      <c r="D133" s="521"/>
      <c r="E133" s="521"/>
      <c r="F133" s="521"/>
      <c r="G133" s="521"/>
      <c r="H133" s="521"/>
      <c r="I133" s="521"/>
      <c r="J133" s="521"/>
      <c r="K133" s="521"/>
      <c r="L133" s="521"/>
      <c r="M133" s="521"/>
      <c r="N133" s="521"/>
      <c r="O133" s="521"/>
      <c r="P133" s="521"/>
      <c r="Q133" s="521"/>
      <c r="R133" s="521"/>
      <c r="S133" s="521"/>
      <c r="T133" s="818">
        <v>59.134</v>
      </c>
      <c r="U133" s="818">
        <v>49.537999999999997</v>
      </c>
      <c r="V133" s="818">
        <f>124.968</f>
        <v>124.968</v>
      </c>
      <c r="W133" s="818">
        <f>85.829</f>
        <v>85.828999999999994</v>
      </c>
      <c r="X133" s="818">
        <v>69.944000000000003</v>
      </c>
      <c r="Y133" s="359">
        <f t="shared" ref="Y133:AI133" si="92">X133</f>
        <v>69.944000000000003</v>
      </c>
      <c r="Z133" s="359">
        <f t="shared" si="92"/>
        <v>69.944000000000003</v>
      </c>
      <c r="AA133" s="359">
        <f t="shared" si="92"/>
        <v>69.944000000000003</v>
      </c>
      <c r="AB133" s="359">
        <f t="shared" si="92"/>
        <v>69.944000000000003</v>
      </c>
      <c r="AC133" s="359">
        <f t="shared" si="92"/>
        <v>69.944000000000003</v>
      </c>
      <c r="AD133" s="359">
        <f t="shared" si="92"/>
        <v>69.944000000000003</v>
      </c>
      <c r="AE133" s="359">
        <f t="shared" si="92"/>
        <v>69.944000000000003</v>
      </c>
      <c r="AF133" s="359">
        <f t="shared" si="92"/>
        <v>69.944000000000003</v>
      </c>
      <c r="AG133" s="359">
        <f t="shared" si="92"/>
        <v>69.944000000000003</v>
      </c>
      <c r="AH133" s="359">
        <f t="shared" si="92"/>
        <v>69.944000000000003</v>
      </c>
      <c r="AI133" s="359">
        <f t="shared" si="92"/>
        <v>69.944000000000003</v>
      </c>
      <c r="AJ133" s="267"/>
      <c r="AK133" s="267"/>
      <c r="AL133" s="267"/>
      <c r="AM133" s="267"/>
      <c r="AN133" s="267"/>
      <c r="AO133" s="267"/>
      <c r="AP133" s="267"/>
      <c r="AQ133" s="267"/>
      <c r="AR133" s="267"/>
    </row>
    <row r="134" spans="1:44" ht="15.75">
      <c r="A134" s="267"/>
      <c r="B134" s="521" t="s">
        <v>197</v>
      </c>
      <c r="C134" s="521"/>
      <c r="D134" s="521"/>
      <c r="E134" s="521"/>
      <c r="F134" s="521"/>
      <c r="G134" s="521"/>
      <c r="H134" s="521"/>
      <c r="I134" s="521"/>
      <c r="J134" s="521"/>
      <c r="K134" s="521"/>
      <c r="L134" s="521"/>
      <c r="M134" s="521"/>
      <c r="N134" s="521"/>
      <c r="O134" s="521"/>
      <c r="P134" s="521"/>
      <c r="Q134" s="521"/>
      <c r="R134" s="521"/>
      <c r="S134" s="521"/>
      <c r="T134" s="818">
        <v>615.11400000000003</v>
      </c>
      <c r="U134" s="818">
        <v>1033.8599999999999</v>
      </c>
      <c r="V134" s="818">
        <f>1629.898</f>
        <v>1629.8979999999999</v>
      </c>
      <c r="W134" s="818">
        <f>2255.739</f>
        <v>2255.739</v>
      </c>
      <c r="X134" s="818">
        <v>3072.0189999999998</v>
      </c>
      <c r="Y134" s="359"/>
      <c r="Z134" s="359"/>
      <c r="AA134" s="359"/>
      <c r="AB134" s="359"/>
      <c r="AC134" s="359"/>
      <c r="AD134" s="359"/>
      <c r="AE134" s="359"/>
      <c r="AF134" s="359"/>
      <c r="AG134" s="359"/>
      <c r="AH134" s="359"/>
      <c r="AI134" s="359"/>
      <c r="AJ134" s="267"/>
      <c r="AK134" s="267"/>
      <c r="AL134" s="267"/>
      <c r="AM134" s="267"/>
      <c r="AN134" s="267"/>
      <c r="AO134" s="267"/>
      <c r="AP134" s="267"/>
      <c r="AQ134" s="267"/>
      <c r="AR134" s="267"/>
    </row>
    <row r="135" spans="1:44" ht="15.75">
      <c r="A135" s="267"/>
      <c r="B135" s="521" t="s">
        <v>198</v>
      </c>
      <c r="C135" s="521"/>
      <c r="D135" s="521"/>
      <c r="E135" s="521"/>
      <c r="F135" s="521"/>
      <c r="G135" s="521"/>
      <c r="H135" s="521"/>
      <c r="I135" s="521"/>
      <c r="J135" s="521"/>
      <c r="K135" s="521"/>
      <c r="L135" s="521"/>
      <c r="M135" s="521"/>
      <c r="N135" s="521"/>
      <c r="O135" s="521"/>
      <c r="P135" s="521"/>
      <c r="Q135" s="521"/>
      <c r="R135" s="521"/>
      <c r="S135" s="521"/>
      <c r="T135" s="818">
        <f>615.114-T133</f>
        <v>555.98</v>
      </c>
      <c r="U135" s="818">
        <f>1033.86-U133</f>
        <v>984.32199999999989</v>
      </c>
      <c r="V135" s="818">
        <f>1629.898-V133</f>
        <v>1504.9299999999998</v>
      </c>
      <c r="W135" s="818">
        <f>2255.739-W133</f>
        <v>2169.91</v>
      </c>
      <c r="X135" s="818">
        <f>3072.019-X133</f>
        <v>3002.0749999999998</v>
      </c>
      <c r="Y135" s="359"/>
      <c r="Z135" s="359"/>
      <c r="AA135" s="359"/>
      <c r="AB135" s="359"/>
      <c r="AC135" s="359"/>
      <c r="AD135" s="359"/>
      <c r="AE135" s="359"/>
      <c r="AF135" s="359"/>
      <c r="AG135" s="359"/>
      <c r="AH135" s="359"/>
      <c r="AI135" s="359"/>
      <c r="AJ135" s="267"/>
      <c r="AK135" s="267"/>
      <c r="AL135" s="267"/>
      <c r="AM135" s="267"/>
      <c r="AN135" s="267"/>
      <c r="AO135" s="267"/>
      <c r="AP135" s="267"/>
      <c r="AQ135" s="267"/>
      <c r="AR135" s="267"/>
    </row>
    <row r="136" spans="1:44" ht="15.75">
      <c r="A136" s="267"/>
      <c r="B136" s="521" t="s">
        <v>199</v>
      </c>
      <c r="C136" s="521"/>
      <c r="D136" s="521"/>
      <c r="E136" s="521"/>
      <c r="F136" s="521"/>
      <c r="G136" s="521"/>
      <c r="H136" s="521"/>
      <c r="I136" s="521"/>
      <c r="J136" s="521"/>
      <c r="K136" s="521"/>
      <c r="L136" s="521"/>
      <c r="M136" s="521"/>
      <c r="N136" s="521"/>
      <c r="O136" s="521"/>
      <c r="P136" s="521"/>
      <c r="Q136" s="521"/>
      <c r="R136" s="521"/>
      <c r="S136" s="521"/>
      <c r="T136" s="818">
        <v>145.99299999999999</v>
      </c>
      <c r="U136" s="818">
        <v>191.12899999999999</v>
      </c>
      <c r="V136" s="818">
        <v>370.90800000000002</v>
      </c>
      <c r="W136" s="818">
        <v>349.48099999999999</v>
      </c>
      <c r="X136" s="818">
        <v>536.31100000000004</v>
      </c>
      <c r="Y136" s="359"/>
      <c r="Z136" s="359"/>
      <c r="AA136" s="359"/>
      <c r="AB136" s="359"/>
      <c r="AC136" s="359"/>
      <c r="AD136" s="359"/>
      <c r="AE136" s="359"/>
      <c r="AF136" s="359"/>
      <c r="AG136" s="359"/>
      <c r="AH136" s="359"/>
      <c r="AI136" s="359"/>
      <c r="AJ136" s="522"/>
      <c r="AK136" s="267"/>
      <c r="AL136" s="267"/>
      <c r="AM136" s="267"/>
      <c r="AN136" s="267"/>
      <c r="AO136" s="267"/>
      <c r="AP136" s="267"/>
      <c r="AQ136" s="267"/>
      <c r="AR136" s="267"/>
    </row>
    <row r="137" spans="1:44" ht="15.75">
      <c r="A137" s="267"/>
      <c r="B137" s="521"/>
      <c r="C137" s="521"/>
      <c r="D137" s="521"/>
      <c r="E137" s="521"/>
      <c r="F137" s="521"/>
      <c r="G137" s="521"/>
      <c r="H137" s="521"/>
      <c r="I137" s="521"/>
      <c r="J137" s="521"/>
      <c r="K137" s="521"/>
      <c r="L137" s="521"/>
      <c r="M137" s="521"/>
      <c r="N137" s="521"/>
      <c r="O137" s="521"/>
      <c r="P137" s="521"/>
      <c r="Q137" s="521"/>
      <c r="R137" s="521"/>
      <c r="S137" s="521"/>
      <c r="T137" s="521"/>
      <c r="U137" s="818"/>
      <c r="V137" s="818"/>
      <c r="W137" s="522"/>
      <c r="X137" s="522"/>
      <c r="Y137" s="522"/>
      <c r="Z137" s="522"/>
      <c r="AA137" s="522"/>
      <c r="AB137" s="522"/>
      <c r="AC137" s="522"/>
      <c r="AD137" s="522"/>
      <c r="AE137" s="522"/>
      <c r="AF137" s="522"/>
      <c r="AG137" s="522"/>
      <c r="AH137" s="522"/>
      <c r="AI137" s="522"/>
      <c r="AJ137" s="522"/>
      <c r="AK137" s="267"/>
      <c r="AL137" s="267"/>
      <c r="AM137" s="267"/>
      <c r="AN137" s="267"/>
      <c r="AO137" s="267"/>
      <c r="AP137" s="267"/>
      <c r="AQ137" s="267"/>
      <c r="AR137" s="267"/>
    </row>
    <row r="138" spans="1:44" ht="15.75">
      <c r="A138" s="267"/>
      <c r="B138" s="521" t="s">
        <v>200</v>
      </c>
      <c r="C138" s="521"/>
      <c r="D138" s="521"/>
      <c r="E138" s="521"/>
      <c r="F138" s="521"/>
      <c r="G138" s="521"/>
      <c r="H138" s="521"/>
      <c r="I138" s="521"/>
      <c r="J138" s="521"/>
      <c r="K138" s="521"/>
      <c r="L138" s="521"/>
      <c r="M138" s="521"/>
      <c r="N138" s="521"/>
      <c r="O138" s="521"/>
      <c r="P138" s="521"/>
      <c r="Q138" s="521"/>
      <c r="R138" s="521"/>
      <c r="S138" s="818">
        <v>661.80700000000002</v>
      </c>
      <c r="T138" s="818">
        <v>516.08100000000002</v>
      </c>
      <c r="U138" s="818">
        <v>609.22</v>
      </c>
      <c r="V138" s="818">
        <v>1211.463</v>
      </c>
      <c r="W138" s="818">
        <v>1923.895</v>
      </c>
      <c r="X138" s="818">
        <v>2857.7469999999998</v>
      </c>
      <c r="Y138" s="522">
        <f t="shared" ref="Y138:AI138" si="93">Y133+Y135</f>
        <v>69.944000000000003</v>
      </c>
      <c r="Z138" s="522">
        <f t="shared" si="93"/>
        <v>69.944000000000003</v>
      </c>
      <c r="AA138" s="522">
        <f t="shared" si="93"/>
        <v>69.944000000000003</v>
      </c>
      <c r="AB138" s="522">
        <f t="shared" si="93"/>
        <v>69.944000000000003</v>
      </c>
      <c r="AC138" s="522">
        <f t="shared" si="93"/>
        <v>69.944000000000003</v>
      </c>
      <c r="AD138" s="522">
        <f t="shared" si="93"/>
        <v>69.944000000000003</v>
      </c>
      <c r="AE138" s="522">
        <f t="shared" si="93"/>
        <v>69.944000000000003</v>
      </c>
      <c r="AF138" s="522">
        <f t="shared" si="93"/>
        <v>69.944000000000003</v>
      </c>
      <c r="AG138" s="522">
        <f t="shared" si="93"/>
        <v>69.944000000000003</v>
      </c>
      <c r="AH138" s="522">
        <f t="shared" si="93"/>
        <v>69.944000000000003</v>
      </c>
      <c r="AI138" s="522">
        <f t="shared" si="93"/>
        <v>69.944000000000003</v>
      </c>
      <c r="AJ138" s="267"/>
      <c r="AK138" s="267"/>
      <c r="AL138" s="267"/>
      <c r="AM138" s="267"/>
      <c r="AN138" s="267"/>
      <c r="AO138" s="267"/>
      <c r="AP138" s="267"/>
      <c r="AQ138" s="267"/>
      <c r="AR138" s="267"/>
    </row>
    <row r="139" spans="1:44" ht="15.75">
      <c r="A139" s="267"/>
      <c r="B139" s="521" t="s">
        <v>201</v>
      </c>
      <c r="C139" s="521"/>
      <c r="D139" s="521"/>
      <c r="E139" s="521"/>
      <c r="F139" s="521"/>
      <c r="G139" s="521"/>
      <c r="H139" s="521"/>
      <c r="I139" s="521"/>
      <c r="J139" s="521"/>
      <c r="K139" s="521"/>
      <c r="L139" s="521"/>
      <c r="M139" s="521"/>
      <c r="N139" s="521"/>
      <c r="O139" s="521"/>
      <c r="P139" s="521"/>
      <c r="Q139" s="521"/>
      <c r="R139" s="521"/>
      <c r="S139" s="818">
        <v>309.31099999999998</v>
      </c>
      <c r="T139" s="818">
        <v>145.99299999999999</v>
      </c>
      <c r="U139" s="818">
        <v>188.137</v>
      </c>
      <c r="V139" s="818">
        <v>284.786</v>
      </c>
      <c r="W139" s="818">
        <v>259.61200000000002</v>
      </c>
      <c r="X139" s="818">
        <v>544.84900000000005</v>
      </c>
      <c r="Y139" s="521"/>
      <c r="Z139" s="521"/>
      <c r="AA139" s="521"/>
      <c r="AB139" s="521"/>
      <c r="AC139" s="521"/>
      <c r="AD139" s="521"/>
      <c r="AE139" s="521"/>
      <c r="AF139" s="521"/>
      <c r="AG139" s="521"/>
      <c r="AH139" s="521"/>
      <c r="AI139" s="521"/>
      <c r="AJ139" s="267"/>
      <c r="AK139" s="267"/>
      <c r="AL139" s="267"/>
      <c r="AM139" s="267"/>
      <c r="AN139" s="267"/>
      <c r="AO139" s="267"/>
      <c r="AP139" s="267"/>
      <c r="AQ139" s="267"/>
      <c r="AR139" s="267"/>
    </row>
    <row r="140" spans="1:44" ht="15.75">
      <c r="A140" s="267"/>
      <c r="B140" s="521"/>
      <c r="C140" s="521"/>
      <c r="D140" s="521"/>
      <c r="E140" s="521"/>
      <c r="F140" s="521"/>
      <c r="G140" s="521"/>
      <c r="H140" s="521"/>
      <c r="I140" s="521"/>
      <c r="J140" s="521"/>
      <c r="K140" s="521"/>
      <c r="L140" s="521"/>
      <c r="M140" s="521"/>
      <c r="N140" s="521"/>
      <c r="O140" s="521"/>
      <c r="P140" s="521"/>
      <c r="Q140" s="521"/>
      <c r="R140" s="521"/>
      <c r="S140" s="521"/>
      <c r="T140" s="521"/>
      <c r="U140" s="521"/>
      <c r="V140" s="522"/>
      <c r="W140" s="522"/>
      <c r="X140" s="521"/>
      <c r="Y140" s="521"/>
      <c r="Z140" s="521"/>
      <c r="AA140" s="521"/>
      <c r="AB140" s="521"/>
      <c r="AC140" s="521"/>
      <c r="AD140" s="521"/>
      <c r="AE140" s="521"/>
      <c r="AF140" s="521"/>
      <c r="AG140" s="521"/>
      <c r="AH140" s="521"/>
      <c r="AI140" s="521"/>
      <c r="AJ140" s="267"/>
      <c r="AK140" s="267"/>
      <c r="AL140" s="267"/>
      <c r="AM140" s="267"/>
      <c r="AN140" s="267"/>
      <c r="AO140" s="267"/>
      <c r="AP140" s="267"/>
      <c r="AQ140" s="267"/>
      <c r="AR140" s="267"/>
    </row>
    <row r="141" spans="1:44" ht="15.75">
      <c r="A141" s="267"/>
      <c r="B141" s="521" t="s">
        <v>202</v>
      </c>
      <c r="C141" s="521"/>
      <c r="D141" s="521"/>
      <c r="E141" s="521"/>
      <c r="F141" s="521"/>
      <c r="G141" s="521"/>
      <c r="H141" s="521"/>
      <c r="I141" s="521"/>
      <c r="J141" s="521"/>
      <c r="K141" s="521"/>
      <c r="L141" s="521"/>
      <c r="M141" s="521"/>
      <c r="N141" s="521"/>
      <c r="O141" s="521"/>
      <c r="P141" s="521"/>
      <c r="Q141" s="521"/>
      <c r="R141" s="521"/>
      <c r="S141" s="818">
        <v>409.11500000000001</v>
      </c>
      <c r="T141" s="818">
        <v>1735.2650000000001</v>
      </c>
      <c r="U141" s="818">
        <v>1557.3579999999999</v>
      </c>
      <c r="V141" s="818">
        <v>1626.65</v>
      </c>
      <c r="W141" s="818">
        <v>505.54</v>
      </c>
      <c r="X141" s="818">
        <v>495.41500000000002</v>
      </c>
      <c r="Y141" s="522">
        <f t="shared" ref="Y141:AI141" si="94">X141*(1+Y142)</f>
        <v>520.1857500000001</v>
      </c>
      <c r="Z141" s="522">
        <f t="shared" si="94"/>
        <v>546.19503750000013</v>
      </c>
      <c r="AA141" s="522">
        <f t="shared" si="94"/>
        <v>573.5047893750002</v>
      </c>
      <c r="AB141" s="522">
        <f t="shared" si="94"/>
        <v>602.18002884375028</v>
      </c>
      <c r="AC141" s="522">
        <f t="shared" si="94"/>
        <v>632.28903028593777</v>
      </c>
      <c r="AD141" s="522">
        <f t="shared" si="94"/>
        <v>663.90348180023466</v>
      </c>
      <c r="AE141" s="522">
        <f t="shared" si="94"/>
        <v>697.09865589024639</v>
      </c>
      <c r="AF141" s="522">
        <f t="shared" si="94"/>
        <v>731.95358868475876</v>
      </c>
      <c r="AG141" s="522">
        <f t="shared" si="94"/>
        <v>768.55126811899675</v>
      </c>
      <c r="AH141" s="522">
        <f t="shared" si="94"/>
        <v>806.9788315249466</v>
      </c>
      <c r="AI141" s="522">
        <f t="shared" si="94"/>
        <v>847.327773101194</v>
      </c>
      <c r="AJ141" s="267"/>
      <c r="AK141" s="267"/>
      <c r="AL141" s="267"/>
      <c r="AM141" s="267"/>
      <c r="AN141" s="267"/>
      <c r="AO141" s="267"/>
      <c r="AP141" s="267"/>
      <c r="AQ141" s="267"/>
      <c r="AR141" s="267"/>
    </row>
    <row r="142" spans="1:44" ht="15.75">
      <c r="A142" s="267"/>
      <c r="B142" s="521" t="s">
        <v>131</v>
      </c>
      <c r="C142" s="521"/>
      <c r="D142" s="521"/>
      <c r="E142" s="521"/>
      <c r="F142" s="521"/>
      <c r="G142" s="521"/>
      <c r="H142" s="521"/>
      <c r="I142" s="521"/>
      <c r="J142" s="521"/>
      <c r="K142" s="521"/>
      <c r="L142" s="521"/>
      <c r="M142" s="521"/>
      <c r="N142" s="521"/>
      <c r="O142" s="521"/>
      <c r="P142" s="521"/>
      <c r="Q142" s="521"/>
      <c r="R142" s="521"/>
      <c r="S142" s="521"/>
      <c r="T142" s="819">
        <f>T141/S141-1</f>
        <v>3.2415091111301226</v>
      </c>
      <c r="U142" s="819">
        <f>U141/T141-1</f>
        <v>-0.10252439829075111</v>
      </c>
      <c r="V142" s="819">
        <f>V141/U141-1</f>
        <v>4.4493302118074451E-2</v>
      </c>
      <c r="W142" s="819">
        <f>W141/V141-1</f>
        <v>-0.68921402883226257</v>
      </c>
      <c r="X142" s="819">
        <f>X141/W141-1</f>
        <v>-2.0028088776357977E-2</v>
      </c>
      <c r="Y142" s="820">
        <v>0.05</v>
      </c>
      <c r="Z142" s="820">
        <v>0.05</v>
      </c>
      <c r="AA142" s="820">
        <v>0.05</v>
      </c>
      <c r="AB142" s="820">
        <v>0.05</v>
      </c>
      <c r="AC142" s="820">
        <v>0.05</v>
      </c>
      <c r="AD142" s="820">
        <v>0.05</v>
      </c>
      <c r="AE142" s="820">
        <v>0.05</v>
      </c>
      <c r="AF142" s="820">
        <v>0.05</v>
      </c>
      <c r="AG142" s="820">
        <v>0.05</v>
      </c>
      <c r="AH142" s="820">
        <v>0.05</v>
      </c>
      <c r="AI142" s="820">
        <v>0.05</v>
      </c>
      <c r="AJ142" s="267"/>
      <c r="AK142" s="267"/>
      <c r="AL142" s="267"/>
      <c r="AM142" s="267"/>
      <c r="AN142" s="267"/>
      <c r="AO142" s="267"/>
      <c r="AP142" s="267"/>
      <c r="AQ142" s="267"/>
      <c r="AR142" s="267"/>
    </row>
    <row r="143" spans="1:44" ht="15.75">
      <c r="A143" s="267"/>
      <c r="B143" s="521"/>
      <c r="C143" s="521"/>
      <c r="D143" s="521"/>
      <c r="E143" s="521"/>
      <c r="F143" s="521"/>
      <c r="G143" s="521"/>
      <c r="H143" s="521"/>
      <c r="I143" s="521"/>
      <c r="J143" s="521"/>
      <c r="K143" s="521"/>
      <c r="L143" s="521"/>
      <c r="M143" s="521"/>
      <c r="N143" s="521"/>
      <c r="O143" s="521"/>
      <c r="P143" s="521"/>
      <c r="Q143" s="521"/>
      <c r="R143" s="521"/>
      <c r="S143" s="521"/>
      <c r="T143" s="521"/>
      <c r="U143" s="521"/>
      <c r="V143" s="521"/>
      <c r="W143" s="521"/>
      <c r="X143" s="521"/>
      <c r="Y143" s="521"/>
      <c r="Z143" s="521"/>
      <c r="AA143" s="521"/>
      <c r="AB143" s="521"/>
      <c r="AC143" s="521"/>
      <c r="AD143" s="521"/>
      <c r="AE143" s="521"/>
      <c r="AF143" s="521"/>
      <c r="AG143" s="521"/>
      <c r="AH143" s="521"/>
      <c r="AI143" s="521"/>
      <c r="AJ143" s="267"/>
      <c r="AK143" s="267"/>
      <c r="AL143" s="267"/>
      <c r="AM143" s="267"/>
      <c r="AN143" s="267"/>
      <c r="AO143" s="267"/>
      <c r="AP143" s="267"/>
      <c r="AQ143" s="267"/>
      <c r="AR143" s="267"/>
    </row>
    <row r="144" spans="1:44" ht="15.75">
      <c r="A144" s="267"/>
      <c r="B144" s="521"/>
      <c r="C144" s="521"/>
      <c r="D144" s="521"/>
      <c r="E144" s="521"/>
      <c r="F144" s="521"/>
      <c r="G144" s="521"/>
      <c r="H144" s="521"/>
      <c r="I144" s="521"/>
      <c r="J144" s="521"/>
      <c r="K144" s="521"/>
      <c r="L144" s="521"/>
      <c r="M144" s="521"/>
      <c r="N144" s="521"/>
      <c r="O144" s="521"/>
      <c r="P144" s="521"/>
      <c r="Q144" s="521"/>
      <c r="R144" s="521"/>
      <c r="S144" s="521"/>
      <c r="T144" s="521"/>
      <c r="U144" s="521"/>
      <c r="V144" s="521"/>
      <c r="W144" s="521"/>
      <c r="X144" s="521"/>
      <c r="Y144" s="521"/>
      <c r="Z144" s="521"/>
      <c r="AA144" s="521"/>
      <c r="AB144" s="521"/>
      <c r="AC144" s="521"/>
      <c r="AD144" s="521"/>
      <c r="AE144" s="521"/>
      <c r="AF144" s="521"/>
      <c r="AG144" s="521"/>
      <c r="AH144" s="521"/>
      <c r="AI144" s="521"/>
      <c r="AJ144" s="267"/>
      <c r="AK144" s="267"/>
      <c r="AL144" s="267"/>
      <c r="AM144" s="267"/>
      <c r="AN144" s="267"/>
      <c r="AO144" s="267"/>
      <c r="AP144" s="267"/>
      <c r="AQ144" s="267"/>
      <c r="AR144" s="267"/>
    </row>
    <row r="145" spans="1:44" ht="15.75">
      <c r="A145" s="267"/>
      <c r="B145" s="521"/>
      <c r="C145" s="521"/>
      <c r="D145" s="521"/>
      <c r="E145" s="521"/>
      <c r="F145" s="521"/>
      <c r="G145" s="521"/>
      <c r="H145" s="521"/>
      <c r="I145" s="521"/>
      <c r="J145" s="521"/>
      <c r="K145" s="521"/>
      <c r="L145" s="521"/>
      <c r="M145" s="521"/>
      <c r="N145" s="521"/>
      <c r="O145" s="521"/>
      <c r="P145" s="521"/>
      <c r="Q145" s="521"/>
      <c r="R145" s="521"/>
      <c r="S145" s="521"/>
      <c r="T145" s="521"/>
      <c r="U145" s="521"/>
      <c r="V145" s="521"/>
      <c r="W145" s="521"/>
      <c r="X145" s="521"/>
      <c r="Y145" s="521"/>
      <c r="Z145" s="521"/>
      <c r="AA145" s="521"/>
      <c r="AB145" s="521"/>
      <c r="AC145" s="521"/>
      <c r="AD145" s="521"/>
      <c r="AE145" s="521"/>
      <c r="AF145" s="521"/>
      <c r="AG145" s="521"/>
      <c r="AH145" s="521"/>
      <c r="AI145" s="521"/>
      <c r="AJ145" s="267"/>
      <c r="AK145" s="267"/>
      <c r="AL145" s="267"/>
      <c r="AM145" s="267"/>
      <c r="AN145" s="267"/>
      <c r="AO145" s="267"/>
      <c r="AP145" s="267"/>
      <c r="AQ145" s="267"/>
      <c r="AR145" s="267"/>
    </row>
    <row r="146" spans="1:44" ht="15.75">
      <c r="A146" s="267"/>
      <c r="B146" s="519" t="s">
        <v>137</v>
      </c>
      <c r="C146" s="519">
        <v>2003</v>
      </c>
      <c r="D146" s="519">
        <f t="shared" ref="D146:AI146" si="95">C146+1</f>
        <v>2004</v>
      </c>
      <c r="E146" s="519">
        <f t="shared" si="95"/>
        <v>2005</v>
      </c>
      <c r="F146" s="519">
        <f t="shared" si="95"/>
        <v>2006</v>
      </c>
      <c r="G146" s="519">
        <f t="shared" si="95"/>
        <v>2007</v>
      </c>
      <c r="H146" s="519">
        <f t="shared" si="95"/>
        <v>2008</v>
      </c>
      <c r="I146" s="519">
        <f t="shared" si="95"/>
        <v>2009</v>
      </c>
      <c r="J146" s="519">
        <f t="shared" si="95"/>
        <v>2010</v>
      </c>
      <c r="K146" s="519">
        <f t="shared" si="95"/>
        <v>2011</v>
      </c>
      <c r="L146" s="519">
        <f t="shared" si="95"/>
        <v>2012</v>
      </c>
      <c r="M146" s="519">
        <f t="shared" si="95"/>
        <v>2013</v>
      </c>
      <c r="N146" s="519">
        <f t="shared" si="95"/>
        <v>2014</v>
      </c>
      <c r="O146" s="519">
        <f t="shared" si="95"/>
        <v>2015</v>
      </c>
      <c r="P146" s="519">
        <f t="shared" si="95"/>
        <v>2016</v>
      </c>
      <c r="Q146" s="519">
        <f t="shared" si="95"/>
        <v>2017</v>
      </c>
      <c r="R146" s="519">
        <f t="shared" si="95"/>
        <v>2018</v>
      </c>
      <c r="S146" s="519">
        <f t="shared" si="95"/>
        <v>2019</v>
      </c>
      <c r="T146" s="519">
        <f t="shared" si="95"/>
        <v>2020</v>
      </c>
      <c r="U146" s="519">
        <f t="shared" si="95"/>
        <v>2021</v>
      </c>
      <c r="V146" s="519">
        <f t="shared" si="95"/>
        <v>2022</v>
      </c>
      <c r="W146" s="519">
        <f t="shared" si="95"/>
        <v>2023</v>
      </c>
      <c r="X146" s="519">
        <f t="shared" si="95"/>
        <v>2024</v>
      </c>
      <c r="Y146" s="519">
        <f t="shared" si="95"/>
        <v>2025</v>
      </c>
      <c r="Z146" s="519">
        <f t="shared" si="95"/>
        <v>2026</v>
      </c>
      <c r="AA146" s="519">
        <f t="shared" si="95"/>
        <v>2027</v>
      </c>
      <c r="AB146" s="519">
        <f t="shared" si="95"/>
        <v>2028</v>
      </c>
      <c r="AC146" s="519">
        <f t="shared" si="95"/>
        <v>2029</v>
      </c>
      <c r="AD146" s="519">
        <f t="shared" si="95"/>
        <v>2030</v>
      </c>
      <c r="AE146" s="519">
        <f t="shared" si="95"/>
        <v>2031</v>
      </c>
      <c r="AF146" s="519">
        <f t="shared" si="95"/>
        <v>2032</v>
      </c>
      <c r="AG146" s="519">
        <f t="shared" si="95"/>
        <v>2033</v>
      </c>
      <c r="AH146" s="519">
        <f t="shared" si="95"/>
        <v>2034</v>
      </c>
      <c r="AI146" s="519">
        <f t="shared" si="95"/>
        <v>2035</v>
      </c>
      <c r="AJ146" s="267"/>
      <c r="AK146" s="267"/>
      <c r="AL146" s="267"/>
      <c r="AM146" s="267"/>
      <c r="AN146" s="267"/>
      <c r="AO146" s="267"/>
      <c r="AP146" s="267"/>
      <c r="AQ146" s="267"/>
      <c r="AR146" s="267"/>
    </row>
    <row r="147" spans="1:44" ht="15.75">
      <c r="A147" s="267"/>
      <c r="B147" s="521" t="s">
        <v>137</v>
      </c>
      <c r="C147" s="552"/>
      <c r="D147" s="552"/>
      <c r="E147" s="552"/>
      <c r="F147" s="552"/>
      <c r="G147" s="552"/>
      <c r="H147" s="552"/>
      <c r="I147" s="552"/>
      <c r="J147" s="552"/>
      <c r="K147" s="552"/>
      <c r="L147" s="553">
        <v>309</v>
      </c>
      <c r="M147" s="553">
        <v>260</v>
      </c>
      <c r="N147" s="522">
        <f t="shared" ref="N147:T147" si="96">N149+N148</f>
        <v>173.14031180400892</v>
      </c>
      <c r="O147" s="522">
        <f t="shared" si="96"/>
        <v>100.79180162796816</v>
      </c>
      <c r="P147" s="522">
        <f t="shared" si="96"/>
        <v>222.51592540687301</v>
      </c>
      <c r="Q147" s="522">
        <f t="shared" si="96"/>
        <v>120.30180379042088</v>
      </c>
      <c r="R147" s="522">
        <f t="shared" si="96"/>
        <v>105.65042520354027</v>
      </c>
      <c r="S147" s="522">
        <f t="shared" si="96"/>
        <v>44.472005263851067</v>
      </c>
      <c r="T147" s="522">
        <f t="shared" si="96"/>
        <v>46.514942082111013</v>
      </c>
      <c r="U147" s="359">
        <v>306.32799999999997</v>
      </c>
      <c r="V147" s="359">
        <v>258.54000000000002</v>
      </c>
      <c r="W147" s="359">
        <v>346.197</v>
      </c>
      <c r="X147" s="359">
        <v>502.67200000000003</v>
      </c>
      <c r="Y147" s="359">
        <v>732.07100000000003</v>
      </c>
      <c r="Z147" s="522">
        <f t="shared" ref="Z147:AI147" si="97">Z149+Z148</f>
        <v>0.20200000000000001</v>
      </c>
      <c r="AA147" s="522">
        <f t="shared" si="97"/>
        <v>-0.20200000000022555</v>
      </c>
      <c r="AB147" s="522">
        <f t="shared" si="97"/>
        <v>0</v>
      </c>
      <c r="AC147" s="522">
        <f t="shared" si="97"/>
        <v>0</v>
      </c>
      <c r="AD147" s="522">
        <f t="shared" si="97"/>
        <v>0</v>
      </c>
      <c r="AE147" s="522">
        <f t="shared" si="97"/>
        <v>0</v>
      </c>
      <c r="AF147" s="522">
        <f t="shared" si="97"/>
        <v>0</v>
      </c>
      <c r="AG147" s="522">
        <f t="shared" si="97"/>
        <v>0</v>
      </c>
      <c r="AH147" s="522">
        <f t="shared" si="97"/>
        <v>0</v>
      </c>
      <c r="AI147" s="522">
        <f t="shared" si="97"/>
        <v>0</v>
      </c>
      <c r="AJ147" s="267"/>
      <c r="AK147" s="267"/>
      <c r="AL147" s="267"/>
      <c r="AM147" s="267"/>
      <c r="AN147" s="267"/>
      <c r="AO147" s="267"/>
      <c r="AP147" s="267"/>
      <c r="AQ147" s="267"/>
      <c r="AR147" s="267"/>
    </row>
    <row r="148" spans="1:44" ht="15.75">
      <c r="A148" s="267"/>
      <c r="B148" s="521" t="s">
        <v>203</v>
      </c>
      <c r="C148" s="552"/>
      <c r="D148" s="552"/>
      <c r="E148" s="552"/>
      <c r="F148" s="552"/>
      <c r="G148" s="552"/>
      <c r="H148" s="552"/>
      <c r="I148" s="552"/>
      <c r="J148" s="552"/>
      <c r="K148" s="552"/>
      <c r="L148" s="553">
        <v>0</v>
      </c>
      <c r="M148" s="553">
        <v>0</v>
      </c>
      <c r="N148" s="553">
        <v>0</v>
      </c>
      <c r="O148" s="553">
        <v>0</v>
      </c>
      <c r="P148" s="553">
        <v>0</v>
      </c>
      <c r="Q148" s="553">
        <v>0</v>
      </c>
      <c r="R148" s="553">
        <v>0</v>
      </c>
      <c r="S148" s="553">
        <v>0</v>
      </c>
      <c r="T148" s="553">
        <v>0</v>
      </c>
      <c r="U148" s="553">
        <v>0</v>
      </c>
      <c r="V148" s="553">
        <v>0</v>
      </c>
      <c r="W148" s="553">
        <v>0</v>
      </c>
      <c r="X148" s="553">
        <v>0</v>
      </c>
      <c r="Y148" s="553">
        <v>0</v>
      </c>
      <c r="Z148" s="553">
        <v>0</v>
      </c>
      <c r="AA148" s="553">
        <v>0</v>
      </c>
      <c r="AB148" s="553">
        <v>0</v>
      </c>
      <c r="AC148" s="553">
        <v>0</v>
      </c>
      <c r="AD148" s="553">
        <v>0</v>
      </c>
      <c r="AE148" s="553">
        <v>0</v>
      </c>
      <c r="AF148" s="553">
        <v>0</v>
      </c>
      <c r="AG148" s="553">
        <v>0</v>
      </c>
      <c r="AH148" s="553">
        <v>0</v>
      </c>
      <c r="AI148" s="553">
        <v>0</v>
      </c>
      <c r="AJ148" s="267"/>
      <c r="AK148" s="267"/>
      <c r="AL148" s="267"/>
      <c r="AM148" s="267"/>
      <c r="AN148" s="267"/>
      <c r="AO148" s="267"/>
      <c r="AP148" s="267"/>
      <c r="AQ148" s="267"/>
      <c r="AR148" s="267"/>
    </row>
    <row r="149" spans="1:44" ht="15.75">
      <c r="A149" s="267"/>
      <c r="B149" s="521" t="s">
        <v>204</v>
      </c>
      <c r="C149" s="552"/>
      <c r="D149" s="552"/>
      <c r="E149" s="552"/>
      <c r="F149" s="552"/>
      <c r="G149" s="552"/>
      <c r="H149" s="552"/>
      <c r="I149" s="552"/>
      <c r="J149" s="552"/>
      <c r="K149" s="552"/>
      <c r="L149" s="522">
        <f>L147-L148</f>
        <v>309</v>
      </c>
      <c r="M149" s="522">
        <f>M147-M148</f>
        <v>260</v>
      </c>
      <c r="N149" s="554">
        <f t="shared" ref="N149:T149" si="98">N150*M154</f>
        <v>173.14031180400892</v>
      </c>
      <c r="O149" s="554">
        <f t="shared" si="98"/>
        <v>100.79180162796816</v>
      </c>
      <c r="P149" s="554">
        <f t="shared" si="98"/>
        <v>222.51592540687301</v>
      </c>
      <c r="Q149" s="554">
        <f t="shared" si="98"/>
        <v>120.30180379042088</v>
      </c>
      <c r="R149" s="554">
        <f t="shared" si="98"/>
        <v>105.65042520354027</v>
      </c>
      <c r="S149" s="554">
        <f t="shared" si="98"/>
        <v>44.472005263851067</v>
      </c>
      <c r="T149" s="554">
        <f t="shared" si="98"/>
        <v>46.514942082111013</v>
      </c>
      <c r="U149" s="554">
        <f>U147-U148</f>
        <v>306.32799999999997</v>
      </c>
      <c r="V149" s="554">
        <f>V147-V148</f>
        <v>258.54000000000002</v>
      </c>
      <c r="W149" s="554">
        <f>W147-W148</f>
        <v>346.197</v>
      </c>
      <c r="X149" s="554">
        <f>X147-X148</f>
        <v>502.67200000000003</v>
      </c>
      <c r="Y149" s="554">
        <f>Y147-Y148</f>
        <v>732.07100000000003</v>
      </c>
      <c r="Z149" s="554">
        <f t="shared" ref="Z149:AI149" si="99">Z150*Y154</f>
        <v>0.20200000000000001</v>
      </c>
      <c r="AA149" s="554">
        <f t="shared" si="99"/>
        <v>-0.20200000000022555</v>
      </c>
      <c r="AB149" s="554">
        <f t="shared" si="99"/>
        <v>0</v>
      </c>
      <c r="AC149" s="554">
        <f t="shared" si="99"/>
        <v>0</v>
      </c>
      <c r="AD149" s="554">
        <f t="shared" si="99"/>
        <v>0</v>
      </c>
      <c r="AE149" s="554">
        <f t="shared" si="99"/>
        <v>0</v>
      </c>
      <c r="AF149" s="554">
        <f t="shared" si="99"/>
        <v>0</v>
      </c>
      <c r="AG149" s="554">
        <f t="shared" si="99"/>
        <v>0</v>
      </c>
      <c r="AH149" s="554">
        <f t="shared" si="99"/>
        <v>0</v>
      </c>
      <c r="AI149" s="554">
        <f t="shared" si="99"/>
        <v>0</v>
      </c>
      <c r="AJ149" s="267"/>
      <c r="AK149" s="267"/>
      <c r="AL149" s="267"/>
      <c r="AM149" s="267"/>
      <c r="AN149" s="267"/>
      <c r="AO149" s="267"/>
      <c r="AP149" s="267"/>
      <c r="AQ149" s="267"/>
      <c r="AR149" s="267"/>
    </row>
    <row r="150" spans="1:44" ht="15.75">
      <c r="A150" s="267"/>
      <c r="B150" s="521" t="s">
        <v>205</v>
      </c>
      <c r="C150" s="552"/>
      <c r="D150" s="552"/>
      <c r="E150" s="552"/>
      <c r="F150" s="552"/>
      <c r="G150" s="552"/>
      <c r="H150" s="552"/>
      <c r="I150" s="552"/>
      <c r="J150" s="552"/>
      <c r="K150" s="552"/>
      <c r="L150" s="527"/>
      <c r="M150" s="527">
        <f>M149/L154</f>
        <v>0.57906458797327398</v>
      </c>
      <c r="N150" s="557">
        <f t="shared" ref="N150:U150" si="100">M150</f>
        <v>0.57906458797327398</v>
      </c>
      <c r="O150" s="557">
        <f t="shared" si="100"/>
        <v>0.57906458797327398</v>
      </c>
      <c r="P150" s="557">
        <f t="shared" si="100"/>
        <v>0.57906458797327398</v>
      </c>
      <c r="Q150" s="557">
        <f t="shared" si="100"/>
        <v>0.57906458797327398</v>
      </c>
      <c r="R150" s="557">
        <f t="shared" si="100"/>
        <v>0.57906458797327398</v>
      </c>
      <c r="S150" s="557">
        <f t="shared" si="100"/>
        <v>0.57906458797327398</v>
      </c>
      <c r="T150" s="557">
        <f t="shared" si="100"/>
        <v>0.57906458797327398</v>
      </c>
      <c r="U150" s="557">
        <f t="shared" si="100"/>
        <v>0.57906458797327398</v>
      </c>
      <c r="V150" s="527">
        <f>V149/U154</f>
        <v>5.1844870458009149</v>
      </c>
      <c r="W150" s="527">
        <f>W149/V154</f>
        <v>6.9143981305797997</v>
      </c>
      <c r="X150" s="527">
        <f>X149/W154</f>
        <v>85.70707587382779</v>
      </c>
      <c r="Y150" s="527">
        <f>Y149/X154</f>
        <v>240.65450361604209</v>
      </c>
      <c r="Z150" s="557">
        <v>1</v>
      </c>
      <c r="AA150" s="557">
        <v>1</v>
      </c>
      <c r="AB150" s="557">
        <v>1</v>
      </c>
      <c r="AC150" s="557">
        <v>1</v>
      </c>
      <c r="AD150" s="557">
        <v>1</v>
      </c>
      <c r="AE150" s="557">
        <v>1</v>
      </c>
      <c r="AF150" s="557">
        <v>1</v>
      </c>
      <c r="AG150" s="557">
        <v>1</v>
      </c>
      <c r="AH150" s="557">
        <v>1</v>
      </c>
      <c r="AI150" s="557">
        <v>1</v>
      </c>
      <c r="AJ150" s="267"/>
      <c r="AK150" s="267"/>
      <c r="AL150" s="267"/>
      <c r="AM150" s="267"/>
      <c r="AN150" s="267"/>
      <c r="AO150" s="267"/>
      <c r="AP150" s="267"/>
      <c r="AQ150" s="267"/>
      <c r="AR150" s="267"/>
    </row>
    <row r="151" spans="1:44" ht="15.75">
      <c r="A151" s="267"/>
      <c r="B151" s="521"/>
      <c r="C151" s="552"/>
      <c r="D151" s="552"/>
      <c r="E151" s="552"/>
      <c r="F151" s="552"/>
      <c r="G151" s="552"/>
      <c r="H151" s="552"/>
      <c r="I151" s="552"/>
      <c r="J151" s="552"/>
      <c r="K151" s="552"/>
      <c r="L151" s="521"/>
      <c r="M151" s="521"/>
      <c r="N151" s="521"/>
      <c r="O151" s="521"/>
      <c r="P151" s="521"/>
      <c r="Q151" s="521"/>
      <c r="R151" s="521"/>
      <c r="S151" s="521"/>
      <c r="T151" s="521"/>
      <c r="U151" s="521"/>
      <c r="V151" s="521"/>
      <c r="W151" s="521"/>
      <c r="X151" s="521"/>
      <c r="Y151" s="521"/>
      <c r="Z151" s="521"/>
      <c r="AA151" s="521"/>
      <c r="AB151" s="521"/>
      <c r="AC151" s="521"/>
      <c r="AD151" s="521"/>
      <c r="AE151" s="521"/>
      <c r="AF151" s="521"/>
      <c r="AG151" s="521"/>
      <c r="AH151" s="521"/>
      <c r="AI151" s="521"/>
      <c r="AJ151" s="267"/>
      <c r="AK151" s="267"/>
      <c r="AL151" s="267"/>
      <c r="AM151" s="267"/>
      <c r="AN151" s="267"/>
      <c r="AO151" s="267"/>
      <c r="AP151" s="267"/>
      <c r="AQ151" s="267"/>
      <c r="AR151" s="267"/>
    </row>
    <row r="152" spans="1:44" ht="15.75">
      <c r="A152" s="267"/>
      <c r="B152" s="521" t="s">
        <v>206</v>
      </c>
      <c r="C152" s="552"/>
      <c r="D152" s="552"/>
      <c r="E152" s="552"/>
      <c r="F152" s="552"/>
      <c r="G152" s="552"/>
      <c r="H152" s="552"/>
      <c r="I152" s="552"/>
      <c r="J152" s="552"/>
      <c r="K152" s="552"/>
      <c r="L152" s="522">
        <f>L154+L153</f>
        <v>758</v>
      </c>
      <c r="M152" s="522">
        <f>M154+M153</f>
        <v>868</v>
      </c>
      <c r="N152" s="522">
        <f t="shared" ref="N152:T152" si="101">M152+N156+N157</f>
        <v>916.2</v>
      </c>
      <c r="O152" s="522">
        <f t="shared" si="101"/>
        <v>1227.2</v>
      </c>
      <c r="P152" s="522">
        <f t="shared" si="101"/>
        <v>1273.2</v>
      </c>
      <c r="Q152" s="522">
        <f t="shared" si="101"/>
        <v>1368.2</v>
      </c>
      <c r="R152" s="522">
        <f t="shared" si="101"/>
        <v>1368.2</v>
      </c>
      <c r="S152" s="522">
        <f t="shared" si="101"/>
        <v>1416.2</v>
      </c>
      <c r="T152" s="522">
        <f t="shared" si="101"/>
        <v>1416.2</v>
      </c>
      <c r="U152" s="359">
        <v>2039.3009999999999</v>
      </c>
      <c r="V152" s="359">
        <v>2095.02</v>
      </c>
      <c r="W152" s="359">
        <v>2095.02</v>
      </c>
      <c r="X152" s="359">
        <v>2095.02</v>
      </c>
      <c r="Y152" s="359">
        <v>2095.02</v>
      </c>
      <c r="Z152" s="522">
        <f t="shared" ref="Z152:AI152" si="102">Y152+Z156+Z157</f>
        <v>2095.02</v>
      </c>
      <c r="AA152" s="522">
        <f t="shared" si="102"/>
        <v>2095.02</v>
      </c>
      <c r="AB152" s="522">
        <f t="shared" si="102"/>
        <v>2095.02</v>
      </c>
      <c r="AC152" s="522">
        <f t="shared" si="102"/>
        <v>2095.02</v>
      </c>
      <c r="AD152" s="522">
        <f t="shared" si="102"/>
        <v>2095.02</v>
      </c>
      <c r="AE152" s="522">
        <f t="shared" si="102"/>
        <v>2095.02</v>
      </c>
      <c r="AF152" s="522">
        <f t="shared" si="102"/>
        <v>2095.02</v>
      </c>
      <c r="AG152" s="522">
        <f t="shared" si="102"/>
        <v>2095.02</v>
      </c>
      <c r="AH152" s="522">
        <f t="shared" si="102"/>
        <v>2095.02</v>
      </c>
      <c r="AI152" s="522">
        <f t="shared" si="102"/>
        <v>2095.02</v>
      </c>
      <c r="AJ152" s="267"/>
      <c r="AK152" s="267"/>
      <c r="AL152" s="267"/>
      <c r="AM152" s="267"/>
      <c r="AN152" s="267"/>
      <c r="AO152" s="267"/>
      <c r="AP152" s="267"/>
      <c r="AQ152" s="267"/>
      <c r="AR152" s="267"/>
    </row>
    <row r="153" spans="1:44" ht="15.75">
      <c r="A153" s="267"/>
      <c r="B153" s="521" t="s">
        <v>207</v>
      </c>
      <c r="C153" s="552"/>
      <c r="D153" s="552"/>
      <c r="E153" s="552"/>
      <c r="F153" s="552"/>
      <c r="G153" s="552"/>
      <c r="H153" s="552"/>
      <c r="I153" s="552"/>
      <c r="J153" s="552"/>
      <c r="K153" s="552"/>
      <c r="L153" s="522">
        <f t="shared" ref="L153:T153" si="103">K153+L147</f>
        <v>309</v>
      </c>
      <c r="M153" s="522">
        <f t="shared" si="103"/>
        <v>569</v>
      </c>
      <c r="N153" s="522">
        <f t="shared" si="103"/>
        <v>742.14031180400889</v>
      </c>
      <c r="O153" s="522">
        <f t="shared" si="103"/>
        <v>842.93211343197709</v>
      </c>
      <c r="P153" s="522">
        <f t="shared" si="103"/>
        <v>1065.4480388388502</v>
      </c>
      <c r="Q153" s="522">
        <f t="shared" si="103"/>
        <v>1185.7498426292709</v>
      </c>
      <c r="R153" s="522">
        <f t="shared" si="103"/>
        <v>1291.4002678328111</v>
      </c>
      <c r="S153" s="522">
        <f t="shared" si="103"/>
        <v>1335.8722730966622</v>
      </c>
      <c r="T153" s="522">
        <f t="shared" si="103"/>
        <v>1382.3872151787732</v>
      </c>
      <c r="U153" s="359">
        <v>1989.434</v>
      </c>
      <c r="V153" s="359">
        <v>2045.1010000000001</v>
      </c>
      <c r="W153" s="359">
        <v>2089.357</v>
      </c>
      <c r="X153" s="359">
        <v>2092.1799999999998</v>
      </c>
      <c r="Y153" s="359">
        <v>2095.02</v>
      </c>
      <c r="Z153" s="522">
        <f t="shared" ref="Z153:AI153" si="104">Y153+Z147</f>
        <v>2095.2220000000002</v>
      </c>
      <c r="AA153" s="522">
        <f t="shared" si="104"/>
        <v>2095.02</v>
      </c>
      <c r="AB153" s="522">
        <f t="shared" si="104"/>
        <v>2095.02</v>
      </c>
      <c r="AC153" s="522">
        <f t="shared" si="104"/>
        <v>2095.02</v>
      </c>
      <c r="AD153" s="522">
        <f t="shared" si="104"/>
        <v>2095.02</v>
      </c>
      <c r="AE153" s="522">
        <f t="shared" si="104"/>
        <v>2095.02</v>
      </c>
      <c r="AF153" s="522">
        <f t="shared" si="104"/>
        <v>2095.02</v>
      </c>
      <c r="AG153" s="522">
        <f t="shared" si="104"/>
        <v>2095.02</v>
      </c>
      <c r="AH153" s="522">
        <f t="shared" si="104"/>
        <v>2095.02</v>
      </c>
      <c r="AI153" s="522">
        <f t="shared" si="104"/>
        <v>2095.02</v>
      </c>
      <c r="AJ153" s="267"/>
      <c r="AK153" s="267"/>
      <c r="AL153" s="267"/>
      <c r="AM153" s="267"/>
      <c r="AN153" s="267"/>
      <c r="AO153" s="267"/>
      <c r="AP153" s="267"/>
      <c r="AQ153" s="267"/>
      <c r="AR153" s="267"/>
    </row>
    <row r="154" spans="1:44" ht="15.75">
      <c r="A154" s="267"/>
      <c r="B154" s="520" t="s">
        <v>158</v>
      </c>
      <c r="C154" s="552"/>
      <c r="D154" s="552"/>
      <c r="E154" s="552"/>
      <c r="F154" s="552"/>
      <c r="G154" s="552"/>
      <c r="H154" s="552"/>
      <c r="I154" s="552"/>
      <c r="J154" s="552"/>
      <c r="K154" s="552"/>
      <c r="L154" s="558">
        <v>449</v>
      </c>
      <c r="M154" s="558">
        <v>299</v>
      </c>
      <c r="N154" s="523">
        <f t="shared" ref="N154:T154" si="105">N152-N153</f>
        <v>174.05968819599116</v>
      </c>
      <c r="O154" s="523">
        <f t="shared" si="105"/>
        <v>384.26788656802296</v>
      </c>
      <c r="P154" s="523">
        <f t="shared" si="105"/>
        <v>207.75196116114989</v>
      </c>
      <c r="Q154" s="523">
        <f t="shared" si="105"/>
        <v>182.45015737072913</v>
      </c>
      <c r="R154" s="523">
        <f t="shared" si="105"/>
        <v>76.799732167188949</v>
      </c>
      <c r="S154" s="523">
        <f t="shared" si="105"/>
        <v>80.327726903337862</v>
      </c>
      <c r="T154" s="523">
        <f t="shared" si="105"/>
        <v>33.812784821226842</v>
      </c>
      <c r="U154" s="576">
        <v>49.868000000000002</v>
      </c>
      <c r="V154" s="576">
        <v>50.069000000000003</v>
      </c>
      <c r="W154" s="576">
        <v>5.8650000000000002</v>
      </c>
      <c r="X154" s="576">
        <v>3.0419999999999998</v>
      </c>
      <c r="Y154" s="576">
        <v>0.20200000000000001</v>
      </c>
      <c r="Z154" s="523">
        <f t="shared" ref="Z154:AI154" si="106">Z152-Z153</f>
        <v>-0.20200000000022555</v>
      </c>
      <c r="AA154" s="523">
        <f t="shared" si="106"/>
        <v>0</v>
      </c>
      <c r="AB154" s="523">
        <f t="shared" si="106"/>
        <v>0</v>
      </c>
      <c r="AC154" s="523">
        <f t="shared" si="106"/>
        <v>0</v>
      </c>
      <c r="AD154" s="523">
        <f t="shared" si="106"/>
        <v>0</v>
      </c>
      <c r="AE154" s="523">
        <f t="shared" si="106"/>
        <v>0</v>
      </c>
      <c r="AF154" s="523">
        <f t="shared" si="106"/>
        <v>0</v>
      </c>
      <c r="AG154" s="523">
        <f t="shared" si="106"/>
        <v>0</v>
      </c>
      <c r="AH154" s="523">
        <f t="shared" si="106"/>
        <v>0</v>
      </c>
      <c r="AI154" s="523">
        <f t="shared" si="106"/>
        <v>0</v>
      </c>
      <c r="AJ154" s="267"/>
      <c r="AK154" s="267"/>
      <c r="AL154" s="267"/>
      <c r="AM154" s="267"/>
      <c r="AN154" s="267"/>
      <c r="AO154" s="267"/>
      <c r="AP154" s="267"/>
      <c r="AQ154" s="267"/>
      <c r="AR154" s="267"/>
    </row>
    <row r="155" spans="1:44" ht="15.75">
      <c r="A155" s="267"/>
      <c r="B155" s="521"/>
      <c r="C155" s="552"/>
      <c r="D155" s="552"/>
      <c r="E155" s="552"/>
      <c r="F155" s="552"/>
      <c r="G155" s="552"/>
      <c r="H155" s="552"/>
      <c r="I155" s="552"/>
      <c r="J155" s="552"/>
      <c r="K155" s="552"/>
      <c r="L155" s="521"/>
      <c r="M155" s="521"/>
      <c r="N155" s="521"/>
      <c r="O155" s="521"/>
      <c r="P155" s="521"/>
      <c r="Q155" s="521"/>
      <c r="R155" s="521"/>
      <c r="S155" s="521"/>
      <c r="T155" s="521"/>
      <c r="U155" s="521"/>
      <c r="V155" s="521"/>
      <c r="W155" s="521"/>
      <c r="X155" s="521"/>
      <c r="Y155" s="521"/>
      <c r="Z155" s="521"/>
      <c r="AA155" s="521"/>
      <c r="AB155" s="521"/>
      <c r="AC155" s="521"/>
      <c r="AD155" s="521"/>
      <c r="AE155" s="521"/>
      <c r="AF155" s="521"/>
      <c r="AG155" s="521"/>
      <c r="AH155" s="521"/>
      <c r="AI155" s="521"/>
      <c r="AJ155" s="267"/>
      <c r="AK155" s="267"/>
      <c r="AL155" s="267"/>
      <c r="AM155" s="267"/>
      <c r="AN155" s="267"/>
      <c r="AO155" s="267"/>
      <c r="AP155" s="267"/>
      <c r="AQ155" s="267"/>
      <c r="AR155" s="267"/>
    </row>
    <row r="156" spans="1:44" ht="15.75">
      <c r="A156" s="267"/>
      <c r="B156" s="521" t="s">
        <v>208</v>
      </c>
      <c r="C156" s="552"/>
      <c r="D156" s="552"/>
      <c r="E156" s="552"/>
      <c r="F156" s="552"/>
      <c r="G156" s="552"/>
      <c r="H156" s="552"/>
      <c r="I156" s="552"/>
      <c r="J156" s="552"/>
      <c r="K156" s="552"/>
      <c r="L156" s="553"/>
      <c r="M156" s="553"/>
      <c r="N156" s="553"/>
      <c r="O156" s="553"/>
      <c r="P156" s="553"/>
      <c r="Q156" s="553"/>
      <c r="R156" s="553"/>
      <c r="S156" s="553"/>
      <c r="T156" s="553"/>
      <c r="U156" s="553">
        <v>10.486000000000001</v>
      </c>
      <c r="V156" s="553">
        <v>3.5339999999999998</v>
      </c>
      <c r="W156" s="553">
        <v>0</v>
      </c>
      <c r="X156" s="553">
        <f t="shared" ref="X156:AI156" si="107">W156</f>
        <v>0</v>
      </c>
      <c r="Y156" s="553">
        <f t="shared" si="107"/>
        <v>0</v>
      </c>
      <c r="Z156" s="553">
        <f t="shared" si="107"/>
        <v>0</v>
      </c>
      <c r="AA156" s="553">
        <f t="shared" si="107"/>
        <v>0</v>
      </c>
      <c r="AB156" s="553">
        <f t="shared" si="107"/>
        <v>0</v>
      </c>
      <c r="AC156" s="553">
        <f t="shared" si="107"/>
        <v>0</v>
      </c>
      <c r="AD156" s="553">
        <f t="shared" si="107"/>
        <v>0</v>
      </c>
      <c r="AE156" s="553">
        <f t="shared" si="107"/>
        <v>0</v>
      </c>
      <c r="AF156" s="553">
        <f t="shared" si="107"/>
        <v>0</v>
      </c>
      <c r="AG156" s="553">
        <f t="shared" si="107"/>
        <v>0</v>
      </c>
      <c r="AH156" s="553">
        <f t="shared" si="107"/>
        <v>0</v>
      </c>
      <c r="AI156" s="553">
        <f t="shared" si="107"/>
        <v>0</v>
      </c>
      <c r="AJ156" s="267"/>
      <c r="AK156" s="267"/>
      <c r="AL156" s="267"/>
      <c r="AM156" s="267"/>
      <c r="AN156" s="267"/>
      <c r="AO156" s="267"/>
      <c r="AP156" s="267"/>
      <c r="AQ156" s="267"/>
      <c r="AR156" s="267"/>
    </row>
    <row r="157" spans="1:44" ht="15.75">
      <c r="A157" s="267"/>
      <c r="B157" s="521" t="s">
        <v>209</v>
      </c>
      <c r="C157" s="552"/>
      <c r="D157" s="552"/>
      <c r="E157" s="552"/>
      <c r="F157" s="552"/>
      <c r="G157" s="552"/>
      <c r="H157" s="552"/>
      <c r="I157" s="552"/>
      <c r="J157" s="552"/>
      <c r="K157" s="552"/>
      <c r="L157" s="553">
        <f t="shared" ref="L157:Y157" si="108">L26+L27</f>
        <v>0</v>
      </c>
      <c r="M157" s="553">
        <f t="shared" si="108"/>
        <v>0</v>
      </c>
      <c r="N157" s="553">
        <f t="shared" si="108"/>
        <v>48.2</v>
      </c>
      <c r="O157" s="553">
        <f t="shared" si="108"/>
        <v>311</v>
      </c>
      <c r="P157" s="553">
        <f t="shared" si="108"/>
        <v>46</v>
      </c>
      <c r="Q157" s="553">
        <f t="shared" si="108"/>
        <v>95</v>
      </c>
      <c r="R157" s="553">
        <f t="shared" si="108"/>
        <v>0</v>
      </c>
      <c r="S157" s="553">
        <f t="shared" si="108"/>
        <v>48</v>
      </c>
      <c r="T157" s="553">
        <f t="shared" si="108"/>
        <v>0</v>
      </c>
      <c r="U157" s="553">
        <f t="shared" si="108"/>
        <v>-27</v>
      </c>
      <c r="V157" s="553">
        <f t="shared" si="108"/>
        <v>16.675000000000001</v>
      </c>
      <c r="W157" s="553">
        <f t="shared" si="108"/>
        <v>150</v>
      </c>
      <c r="X157" s="553">
        <f t="shared" si="108"/>
        <v>85.6</v>
      </c>
      <c r="Y157" s="553">
        <f t="shared" si="108"/>
        <v>47.203000000000003</v>
      </c>
      <c r="Z157" s="553"/>
      <c r="AA157" s="553"/>
      <c r="AB157" s="553"/>
      <c r="AC157" s="553"/>
      <c r="AD157" s="553"/>
      <c r="AE157" s="553"/>
      <c r="AF157" s="553"/>
      <c r="AG157" s="553"/>
      <c r="AH157" s="553"/>
      <c r="AI157" s="553"/>
      <c r="AJ157" s="267"/>
      <c r="AK157" s="267"/>
      <c r="AL157" s="267"/>
      <c r="AM157" s="267"/>
      <c r="AN157" s="267"/>
      <c r="AO157" s="267"/>
      <c r="AP157" s="267"/>
      <c r="AQ157" s="267"/>
      <c r="AR157" s="267"/>
    </row>
    <row r="158" spans="1:44" ht="15.75">
      <c r="A158" s="267"/>
      <c r="B158" s="521"/>
      <c r="C158" s="552"/>
      <c r="D158" s="552"/>
      <c r="E158" s="552"/>
      <c r="F158" s="552"/>
      <c r="G158" s="552"/>
      <c r="H158" s="552"/>
      <c r="I158" s="552"/>
      <c r="J158" s="552"/>
      <c r="K158" s="552"/>
      <c r="L158" s="521"/>
      <c r="M158" s="521"/>
      <c r="N158" s="521"/>
      <c r="O158" s="521"/>
      <c r="P158" s="521"/>
      <c r="Q158" s="521"/>
      <c r="R158" s="521"/>
      <c r="S158" s="521"/>
      <c r="T158" s="521"/>
      <c r="U158" s="521"/>
      <c r="V158" s="521"/>
      <c r="W158" s="521"/>
      <c r="X158" s="521"/>
      <c r="Y158" s="521"/>
      <c r="Z158" s="521"/>
      <c r="AA158" s="521"/>
      <c r="AB158" s="521"/>
      <c r="AC158" s="521"/>
      <c r="AD158" s="521"/>
      <c r="AE158" s="521"/>
      <c r="AF158" s="521"/>
      <c r="AG158" s="521"/>
      <c r="AH158" s="521"/>
      <c r="AI158" s="521"/>
      <c r="AJ158" s="267"/>
      <c r="AK158" s="267"/>
      <c r="AL158" s="267"/>
      <c r="AM158" s="267"/>
      <c r="AN158" s="267"/>
      <c r="AO158" s="267"/>
      <c r="AP158" s="267"/>
      <c r="AQ158" s="267"/>
      <c r="AR158" s="267"/>
    </row>
    <row r="159" spans="1:44" ht="15.75">
      <c r="A159" s="267"/>
      <c r="B159" s="521" t="s">
        <v>210</v>
      </c>
      <c r="C159" s="552"/>
      <c r="D159" s="552"/>
      <c r="E159" s="552"/>
      <c r="F159" s="552"/>
      <c r="G159" s="552"/>
      <c r="H159" s="552"/>
      <c r="I159" s="552"/>
      <c r="J159" s="552"/>
      <c r="K159" s="552"/>
      <c r="L159" s="522">
        <f>L160+L161</f>
        <v>4277</v>
      </c>
      <c r="M159" s="522">
        <f>M160+M161</f>
        <v>4378</v>
      </c>
      <c r="N159" s="522">
        <f t="shared" ref="N159:U159" si="109">N161+N160</f>
        <v>4378</v>
      </c>
      <c r="O159" s="522">
        <f t="shared" si="109"/>
        <v>4378</v>
      </c>
      <c r="P159" s="522">
        <f t="shared" si="109"/>
        <v>4170.2480388388503</v>
      </c>
      <c r="Q159" s="522">
        <f t="shared" si="109"/>
        <v>4195.5498426292706</v>
      </c>
      <c r="R159" s="522">
        <f t="shared" si="109"/>
        <v>4378</v>
      </c>
      <c r="S159" s="522">
        <f t="shared" si="109"/>
        <v>4378</v>
      </c>
      <c r="T159" s="522">
        <f t="shared" si="109"/>
        <v>4378</v>
      </c>
      <c r="U159" s="522">
        <f t="shared" si="109"/>
        <v>4378</v>
      </c>
      <c r="V159" s="522">
        <f t="shared" ref="V159:AI159" si="110">U159+V163</f>
        <v>4378</v>
      </c>
      <c r="W159" s="522">
        <f t="shared" si="110"/>
        <v>4378</v>
      </c>
      <c r="X159" s="522">
        <f t="shared" si="110"/>
        <v>4378</v>
      </c>
      <c r="Y159" s="522">
        <f t="shared" si="110"/>
        <v>4378</v>
      </c>
      <c r="Z159" s="522">
        <f t="shared" si="110"/>
        <v>4378</v>
      </c>
      <c r="AA159" s="522">
        <f t="shared" si="110"/>
        <v>4378</v>
      </c>
      <c r="AB159" s="522">
        <f t="shared" si="110"/>
        <v>4378</v>
      </c>
      <c r="AC159" s="522">
        <f t="shared" si="110"/>
        <v>4378</v>
      </c>
      <c r="AD159" s="522">
        <f t="shared" si="110"/>
        <v>4378</v>
      </c>
      <c r="AE159" s="522">
        <f t="shared" si="110"/>
        <v>4378</v>
      </c>
      <c r="AF159" s="522">
        <f t="shared" si="110"/>
        <v>4378</v>
      </c>
      <c r="AG159" s="522">
        <f t="shared" si="110"/>
        <v>4378</v>
      </c>
      <c r="AH159" s="522">
        <f t="shared" si="110"/>
        <v>4378</v>
      </c>
      <c r="AI159" s="522">
        <f t="shared" si="110"/>
        <v>4378</v>
      </c>
      <c r="AJ159" s="267"/>
      <c r="AK159" s="267"/>
      <c r="AL159" s="267"/>
      <c r="AM159" s="267"/>
      <c r="AN159" s="267"/>
      <c r="AO159" s="267"/>
      <c r="AP159" s="267"/>
      <c r="AQ159" s="267"/>
      <c r="AR159" s="267"/>
    </row>
    <row r="160" spans="1:44" ht="15.75">
      <c r="A160" s="267"/>
      <c r="B160" s="521" t="s">
        <v>211</v>
      </c>
      <c r="C160" s="552"/>
      <c r="D160" s="552"/>
      <c r="E160" s="552"/>
      <c r="F160" s="552"/>
      <c r="G160" s="552"/>
      <c r="H160" s="552"/>
      <c r="I160" s="552"/>
      <c r="J160" s="552"/>
      <c r="K160" s="552"/>
      <c r="L160" s="553">
        <v>0</v>
      </c>
      <c r="M160" s="553">
        <v>0</v>
      </c>
      <c r="N160" s="553">
        <v>0</v>
      </c>
      <c r="O160" s="553">
        <v>0</v>
      </c>
      <c r="P160" s="553">
        <v>0</v>
      </c>
      <c r="Q160" s="553">
        <v>0</v>
      </c>
      <c r="R160" s="553">
        <v>0</v>
      </c>
      <c r="S160" s="553">
        <v>0</v>
      </c>
      <c r="T160" s="553">
        <v>0</v>
      </c>
      <c r="U160" s="553">
        <v>0</v>
      </c>
      <c r="V160" s="522">
        <f t="shared" ref="V160:AI160" si="111">U160</f>
        <v>0</v>
      </c>
      <c r="W160" s="522">
        <f t="shared" si="111"/>
        <v>0</v>
      </c>
      <c r="X160" s="522">
        <f t="shared" si="111"/>
        <v>0</v>
      </c>
      <c r="Y160" s="522">
        <f t="shared" si="111"/>
        <v>0</v>
      </c>
      <c r="Z160" s="522">
        <f t="shared" si="111"/>
        <v>0</v>
      </c>
      <c r="AA160" s="522">
        <f t="shared" si="111"/>
        <v>0</v>
      </c>
      <c r="AB160" s="522">
        <f t="shared" si="111"/>
        <v>0</v>
      </c>
      <c r="AC160" s="522">
        <f t="shared" si="111"/>
        <v>0</v>
      </c>
      <c r="AD160" s="522">
        <f t="shared" si="111"/>
        <v>0</v>
      </c>
      <c r="AE160" s="522">
        <f t="shared" si="111"/>
        <v>0</v>
      </c>
      <c r="AF160" s="522">
        <f t="shared" si="111"/>
        <v>0</v>
      </c>
      <c r="AG160" s="522">
        <f t="shared" si="111"/>
        <v>0</v>
      </c>
      <c r="AH160" s="522">
        <f t="shared" si="111"/>
        <v>0</v>
      </c>
      <c r="AI160" s="522">
        <f t="shared" si="111"/>
        <v>0</v>
      </c>
      <c r="AJ160" s="267"/>
      <c r="AK160" s="267"/>
      <c r="AL160" s="267"/>
      <c r="AM160" s="267"/>
      <c r="AN160" s="267"/>
      <c r="AO160" s="267"/>
      <c r="AP160" s="267"/>
      <c r="AQ160" s="267"/>
      <c r="AR160" s="267"/>
    </row>
    <row r="161" spans="1:44" ht="15.75">
      <c r="A161" s="267"/>
      <c r="B161" s="520" t="s">
        <v>212</v>
      </c>
      <c r="C161" s="552"/>
      <c r="D161" s="552"/>
      <c r="E161" s="552"/>
      <c r="F161" s="552"/>
      <c r="G161" s="552"/>
      <c r="H161" s="552"/>
      <c r="I161" s="552"/>
      <c r="J161" s="552"/>
      <c r="K161" s="552"/>
      <c r="L161" s="558">
        <v>4277</v>
      </c>
      <c r="M161" s="558">
        <v>4378</v>
      </c>
      <c r="N161" s="558">
        <v>4378</v>
      </c>
      <c r="O161" s="558">
        <v>4378</v>
      </c>
      <c r="P161" s="558">
        <f>4378-P154</f>
        <v>4170.2480388388503</v>
      </c>
      <c r="Q161" s="558">
        <f>4378-Q154</f>
        <v>4195.5498426292706</v>
      </c>
      <c r="R161" s="558">
        <v>4378</v>
      </c>
      <c r="S161" s="558">
        <v>4378</v>
      </c>
      <c r="T161" s="558">
        <v>4378</v>
      </c>
      <c r="U161" s="558">
        <v>4378</v>
      </c>
      <c r="V161" s="558">
        <v>4378.3969999999999</v>
      </c>
      <c r="W161" s="558">
        <v>4366.058</v>
      </c>
      <c r="X161" s="558">
        <v>4366.058</v>
      </c>
      <c r="Y161" s="558">
        <v>4366.058</v>
      </c>
      <c r="Z161" s="523">
        <f t="shared" ref="Z161:AI161" si="112">Z159-Z160</f>
        <v>4378</v>
      </c>
      <c r="AA161" s="523">
        <f t="shared" si="112"/>
        <v>4378</v>
      </c>
      <c r="AB161" s="523">
        <f t="shared" si="112"/>
        <v>4378</v>
      </c>
      <c r="AC161" s="523">
        <f t="shared" si="112"/>
        <v>4378</v>
      </c>
      <c r="AD161" s="523">
        <f t="shared" si="112"/>
        <v>4378</v>
      </c>
      <c r="AE161" s="523">
        <f t="shared" si="112"/>
        <v>4378</v>
      </c>
      <c r="AF161" s="523">
        <f t="shared" si="112"/>
        <v>4378</v>
      </c>
      <c r="AG161" s="523">
        <f t="shared" si="112"/>
        <v>4378</v>
      </c>
      <c r="AH161" s="523">
        <f t="shared" si="112"/>
        <v>4378</v>
      </c>
      <c r="AI161" s="523">
        <f t="shared" si="112"/>
        <v>4378</v>
      </c>
      <c r="AJ161" s="267"/>
      <c r="AK161" s="267"/>
      <c r="AL161" s="267"/>
      <c r="AM161" s="267"/>
      <c r="AN161" s="267"/>
      <c r="AO161" s="267"/>
      <c r="AP161" s="267"/>
      <c r="AQ161" s="267"/>
      <c r="AR161" s="267"/>
    </row>
    <row r="162" spans="1:44" ht="15.75">
      <c r="A162" s="267"/>
      <c r="B162" s="521"/>
      <c r="C162" s="552"/>
      <c r="D162" s="552"/>
      <c r="E162" s="552"/>
      <c r="F162" s="552"/>
      <c r="G162" s="552"/>
      <c r="H162" s="552"/>
      <c r="I162" s="552"/>
      <c r="J162" s="552"/>
      <c r="K162" s="552"/>
      <c r="L162" s="521"/>
      <c r="M162" s="521"/>
      <c r="N162" s="521"/>
      <c r="O162" s="521"/>
      <c r="P162" s="521"/>
      <c r="Q162" s="521"/>
      <c r="R162" s="521"/>
      <c r="S162" s="521"/>
      <c r="T162" s="521"/>
      <c r="U162" s="521"/>
      <c r="V162" s="521"/>
      <c r="W162" s="521"/>
      <c r="X162" s="521"/>
      <c r="Y162" s="521"/>
      <c r="Z162" s="521"/>
      <c r="AA162" s="521"/>
      <c r="AB162" s="521"/>
      <c r="AC162" s="521"/>
      <c r="AD162" s="521"/>
      <c r="AE162" s="521"/>
      <c r="AF162" s="521"/>
      <c r="AG162" s="521"/>
      <c r="AH162" s="521"/>
      <c r="AI162" s="521"/>
      <c r="AJ162" s="267"/>
      <c r="AK162" s="267"/>
      <c r="AL162" s="267"/>
      <c r="AM162" s="267"/>
      <c r="AN162" s="267"/>
      <c r="AO162" s="267"/>
      <c r="AP162" s="267"/>
      <c r="AQ162" s="267"/>
      <c r="AR162" s="267"/>
    </row>
    <row r="163" spans="1:44" ht="15.75">
      <c r="A163" s="267"/>
      <c r="B163" s="521" t="s">
        <v>213</v>
      </c>
      <c r="C163" s="552"/>
      <c r="D163" s="552"/>
      <c r="E163" s="552"/>
      <c r="F163" s="552"/>
      <c r="G163" s="552"/>
      <c r="H163" s="552"/>
      <c r="I163" s="552"/>
      <c r="J163" s="552"/>
      <c r="K163" s="552"/>
      <c r="L163" s="553">
        <v>0</v>
      </c>
      <c r="M163" s="553">
        <v>0</v>
      </c>
      <c r="N163" s="553">
        <v>0</v>
      </c>
      <c r="O163" s="553">
        <v>0</v>
      </c>
      <c r="P163" s="553">
        <v>0</v>
      </c>
      <c r="Q163" s="553">
        <v>0</v>
      </c>
      <c r="R163" s="553">
        <v>0</v>
      </c>
      <c r="S163" s="553">
        <v>0</v>
      </c>
      <c r="T163" s="553">
        <v>0</v>
      </c>
      <c r="U163" s="553">
        <v>0</v>
      </c>
      <c r="V163" s="553">
        <v>0</v>
      </c>
      <c r="W163" s="553">
        <v>0</v>
      </c>
      <c r="X163" s="553">
        <v>0</v>
      </c>
      <c r="Y163" s="553">
        <v>0</v>
      </c>
      <c r="Z163" s="553">
        <v>0</v>
      </c>
      <c r="AA163" s="553">
        <v>0</v>
      </c>
      <c r="AB163" s="553">
        <v>0</v>
      </c>
      <c r="AC163" s="553">
        <v>0</v>
      </c>
      <c r="AD163" s="553">
        <v>0</v>
      </c>
      <c r="AE163" s="553">
        <v>0</v>
      </c>
      <c r="AF163" s="553">
        <v>0</v>
      </c>
      <c r="AG163" s="553">
        <v>0</v>
      </c>
      <c r="AH163" s="553">
        <v>0</v>
      </c>
      <c r="AI163" s="553">
        <v>0</v>
      </c>
      <c r="AJ163" s="267"/>
      <c r="AK163" s="267"/>
      <c r="AL163" s="267"/>
      <c r="AM163" s="267"/>
      <c r="AN163" s="267"/>
      <c r="AO163" s="267"/>
      <c r="AP163" s="267"/>
      <c r="AQ163" s="267"/>
      <c r="AR163" s="267"/>
    </row>
    <row r="164" spans="1:44" ht="15.75">
      <c r="A164" s="267"/>
      <c r="B164" s="521" t="s">
        <v>214</v>
      </c>
      <c r="C164" s="552"/>
      <c r="D164" s="552"/>
      <c r="E164" s="552"/>
      <c r="F164" s="552"/>
      <c r="G164" s="552"/>
      <c r="H164" s="552"/>
      <c r="I164" s="552"/>
      <c r="J164" s="552"/>
      <c r="K164" s="552"/>
      <c r="L164" s="553">
        <v>0</v>
      </c>
      <c r="M164" s="553">
        <v>0</v>
      </c>
      <c r="N164" s="553">
        <v>0</v>
      </c>
      <c r="O164" s="553">
        <v>0</v>
      </c>
      <c r="P164" s="553">
        <v>0</v>
      </c>
      <c r="Q164" s="553">
        <v>0</v>
      </c>
      <c r="R164" s="553">
        <v>0</v>
      </c>
      <c r="S164" s="553">
        <v>0</v>
      </c>
      <c r="T164" s="553">
        <v>0</v>
      </c>
      <c r="U164" s="553">
        <v>0</v>
      </c>
      <c r="V164" s="553">
        <v>0</v>
      </c>
      <c r="W164" s="553">
        <v>0</v>
      </c>
      <c r="X164" s="553">
        <v>0</v>
      </c>
      <c r="Y164" s="553">
        <v>0</v>
      </c>
      <c r="Z164" s="553">
        <v>0</v>
      </c>
      <c r="AA164" s="553">
        <v>0</v>
      </c>
      <c r="AB164" s="553">
        <v>0</v>
      </c>
      <c r="AC164" s="553">
        <v>0</v>
      </c>
      <c r="AD164" s="553">
        <v>0</v>
      </c>
      <c r="AE164" s="553">
        <v>0</v>
      </c>
      <c r="AF164" s="553">
        <v>0</v>
      </c>
      <c r="AG164" s="553">
        <v>0</v>
      </c>
      <c r="AH164" s="553">
        <v>0</v>
      </c>
      <c r="AI164" s="553">
        <v>0</v>
      </c>
      <c r="AJ164" s="267"/>
      <c r="AK164" s="267"/>
      <c r="AL164" s="267"/>
      <c r="AM164" s="267"/>
      <c r="AN164" s="267"/>
      <c r="AO164" s="267"/>
      <c r="AP164" s="267"/>
      <c r="AQ164" s="267"/>
      <c r="AR164" s="267"/>
    </row>
    <row r="165" spans="1:44" ht="15.75">
      <c r="A165" s="267"/>
      <c r="B165" s="521"/>
      <c r="C165" s="552"/>
      <c r="D165" s="552"/>
      <c r="E165" s="552"/>
      <c r="F165" s="552"/>
      <c r="G165" s="552"/>
      <c r="H165" s="552"/>
      <c r="I165" s="552"/>
      <c r="J165" s="552"/>
      <c r="K165" s="552"/>
      <c r="L165" s="521"/>
      <c r="M165" s="521"/>
      <c r="N165" s="521"/>
      <c r="O165" s="521"/>
      <c r="P165" s="521"/>
      <c r="Q165" s="521"/>
      <c r="R165" s="521"/>
      <c r="S165" s="521"/>
      <c r="T165" s="521"/>
      <c r="U165" s="521"/>
      <c r="V165" s="521"/>
      <c r="W165" s="521"/>
      <c r="X165" s="521"/>
      <c r="Y165" s="521"/>
      <c r="Z165" s="521"/>
      <c r="AA165" s="521"/>
      <c r="AB165" s="521"/>
      <c r="AC165" s="521"/>
      <c r="AD165" s="521"/>
      <c r="AE165" s="521"/>
      <c r="AF165" s="521"/>
      <c r="AG165" s="521"/>
      <c r="AH165" s="521"/>
      <c r="AI165" s="521"/>
      <c r="AJ165" s="267"/>
      <c r="AK165" s="267"/>
      <c r="AL165" s="267"/>
      <c r="AM165" s="267"/>
      <c r="AN165" s="267"/>
      <c r="AO165" s="267"/>
      <c r="AP165" s="267"/>
      <c r="AQ165" s="267"/>
      <c r="AR165" s="267"/>
    </row>
    <row r="166" spans="1:44" ht="15.75">
      <c r="A166" s="267"/>
      <c r="B166" s="520" t="s">
        <v>215</v>
      </c>
      <c r="C166" s="552"/>
      <c r="D166" s="552"/>
      <c r="E166" s="552"/>
      <c r="F166" s="552"/>
      <c r="G166" s="552"/>
      <c r="H166" s="552"/>
      <c r="I166" s="552"/>
      <c r="J166" s="552"/>
      <c r="K166" s="552"/>
      <c r="L166" s="521"/>
      <c r="M166" s="521"/>
      <c r="N166" s="521"/>
      <c r="O166" s="521"/>
      <c r="P166" s="521"/>
      <c r="Q166" s="521"/>
      <c r="R166" s="521"/>
      <c r="S166" s="521"/>
      <c r="T166" s="521"/>
      <c r="U166" s="521"/>
      <c r="V166" s="521"/>
      <c r="W166" s="521"/>
      <c r="X166" s="521"/>
      <c r="Y166" s="521"/>
      <c r="Z166" s="521"/>
      <c r="AA166" s="521"/>
      <c r="AB166" s="521"/>
      <c r="AC166" s="521"/>
      <c r="AD166" s="521"/>
      <c r="AE166" s="521"/>
      <c r="AF166" s="521"/>
      <c r="AG166" s="521"/>
      <c r="AH166" s="521"/>
      <c r="AI166" s="521"/>
      <c r="AJ166" s="267"/>
      <c r="AK166" s="267"/>
      <c r="AL166" s="267"/>
      <c r="AM166" s="267"/>
      <c r="AN166" s="267"/>
      <c r="AO166" s="267"/>
      <c r="AP166" s="267"/>
      <c r="AQ166" s="267"/>
      <c r="AR166" s="267"/>
    </row>
    <row r="167" spans="1:44" ht="15.75">
      <c r="A167" s="267"/>
      <c r="B167" s="521" t="s">
        <v>216</v>
      </c>
      <c r="C167" s="552"/>
      <c r="D167" s="552"/>
      <c r="E167" s="552"/>
      <c r="F167" s="552"/>
      <c r="G167" s="552"/>
      <c r="H167" s="552"/>
      <c r="I167" s="552"/>
      <c r="J167" s="552"/>
      <c r="K167" s="552"/>
      <c r="L167" s="522">
        <f t="shared" ref="L167:AI167" si="113">L121</f>
        <v>11571</v>
      </c>
      <c r="M167" s="522">
        <f t="shared" si="113"/>
        <v>12486</v>
      </c>
      <c r="N167" s="522">
        <f t="shared" si="113"/>
        <v>14321</v>
      </c>
      <c r="O167" s="522">
        <f t="shared" si="113"/>
        <v>17658</v>
      </c>
      <c r="P167" s="522">
        <f t="shared" si="113"/>
        <v>21522</v>
      </c>
      <c r="Q167" s="522">
        <f t="shared" si="113"/>
        <v>24385</v>
      </c>
      <c r="R167" s="522">
        <f t="shared" si="113"/>
        <v>26890</v>
      </c>
      <c r="S167" s="522">
        <f t="shared" si="113"/>
        <v>30623</v>
      </c>
      <c r="T167" s="522">
        <f t="shared" si="113"/>
        <v>33804</v>
      </c>
      <c r="U167" s="522">
        <f t="shared" si="113"/>
        <v>39071.879999999997</v>
      </c>
      <c r="V167" s="522">
        <f t="shared" si="113"/>
        <v>46236.025999999998</v>
      </c>
      <c r="W167" s="522">
        <f t="shared" si="113"/>
        <v>53417.510999999999</v>
      </c>
      <c r="X167" s="522">
        <f t="shared" si="113"/>
        <v>55563.957999999999</v>
      </c>
      <c r="Y167" s="522">
        <f t="shared" si="113"/>
        <v>56099.911999999997</v>
      </c>
      <c r="Z167" s="522">
        <f t="shared" si="113"/>
        <v>54396.712811176287</v>
      </c>
      <c r="AA167" s="522">
        <f t="shared" si="113"/>
        <v>54609.672472779523</v>
      </c>
      <c r="AB167" s="522">
        <f t="shared" si="113"/>
        <v>55026.607398304972</v>
      </c>
      <c r="AC167" s="522">
        <f t="shared" si="113"/>
        <v>55415.335691472763</v>
      </c>
      <c r="AD167" s="522">
        <f t="shared" si="113"/>
        <v>55657.090648408339</v>
      </c>
      <c r="AE167" s="522">
        <f t="shared" si="113"/>
        <v>55814.856145193015</v>
      </c>
      <c r="AF167" s="522">
        <f t="shared" si="113"/>
        <v>55899.321595469126</v>
      </c>
      <c r="AG167" s="522">
        <f t="shared" si="113"/>
        <v>56044.962149536936</v>
      </c>
      <c r="AH167" s="522">
        <f t="shared" si="113"/>
        <v>56241.397933290282</v>
      </c>
      <c r="AI167" s="522">
        <f t="shared" si="113"/>
        <v>56349.009422018979</v>
      </c>
      <c r="AJ167" s="267"/>
      <c r="AK167" s="267"/>
      <c r="AL167" s="267"/>
      <c r="AM167" s="267"/>
      <c r="AN167" s="267"/>
      <c r="AO167" s="267"/>
      <c r="AP167" s="267"/>
      <c r="AQ167" s="267"/>
      <c r="AR167" s="267"/>
    </row>
    <row r="168" spans="1:44" ht="15.75">
      <c r="A168" s="267"/>
      <c r="B168" s="521" t="s">
        <v>217</v>
      </c>
      <c r="C168" s="552"/>
      <c r="D168" s="552"/>
      <c r="E168" s="552"/>
      <c r="F168" s="552"/>
      <c r="G168" s="552"/>
      <c r="H168" s="552"/>
      <c r="I168" s="552"/>
      <c r="J168" s="552"/>
      <c r="K168" s="552"/>
      <c r="L168" s="860">
        <f t="shared" ref="L168:AI168" si="114">L154</f>
        <v>449</v>
      </c>
      <c r="M168" s="860">
        <f t="shared" si="114"/>
        <v>299</v>
      </c>
      <c r="N168" s="860">
        <f t="shared" si="114"/>
        <v>174.05968819599116</v>
      </c>
      <c r="O168" s="860">
        <f t="shared" si="114"/>
        <v>384.26788656802296</v>
      </c>
      <c r="P168" s="860">
        <f t="shared" si="114"/>
        <v>207.75196116114989</v>
      </c>
      <c r="Q168" s="860">
        <f t="shared" si="114"/>
        <v>182.45015737072913</v>
      </c>
      <c r="R168" s="860">
        <f t="shared" si="114"/>
        <v>76.799732167188949</v>
      </c>
      <c r="S168" s="860">
        <f t="shared" si="114"/>
        <v>80.327726903337862</v>
      </c>
      <c r="T168" s="860">
        <f t="shared" si="114"/>
        <v>33.812784821226842</v>
      </c>
      <c r="U168" s="860">
        <f t="shared" si="114"/>
        <v>49.868000000000002</v>
      </c>
      <c r="V168" s="860">
        <f t="shared" si="114"/>
        <v>50.069000000000003</v>
      </c>
      <c r="W168" s="860">
        <f t="shared" si="114"/>
        <v>5.8650000000000002</v>
      </c>
      <c r="X168" s="860">
        <f t="shared" si="114"/>
        <v>3.0419999999999998</v>
      </c>
      <c r="Y168" s="860">
        <f t="shared" si="114"/>
        <v>0.20200000000000001</v>
      </c>
      <c r="Z168" s="860">
        <f t="shared" si="114"/>
        <v>-0.20200000000022555</v>
      </c>
      <c r="AA168" s="860">
        <f t="shared" si="114"/>
        <v>0</v>
      </c>
      <c r="AB168" s="860">
        <f t="shared" si="114"/>
        <v>0</v>
      </c>
      <c r="AC168" s="860">
        <f t="shared" si="114"/>
        <v>0</v>
      </c>
      <c r="AD168" s="860">
        <f t="shared" si="114"/>
        <v>0</v>
      </c>
      <c r="AE168" s="860">
        <f t="shared" si="114"/>
        <v>0</v>
      </c>
      <c r="AF168" s="860">
        <f t="shared" si="114"/>
        <v>0</v>
      </c>
      <c r="AG168" s="860">
        <f t="shared" si="114"/>
        <v>0</v>
      </c>
      <c r="AH168" s="860">
        <f t="shared" si="114"/>
        <v>0</v>
      </c>
      <c r="AI168" s="860">
        <f t="shared" si="114"/>
        <v>0</v>
      </c>
      <c r="AJ168" s="267"/>
      <c r="AK168" s="267"/>
      <c r="AL168" s="267"/>
      <c r="AM168" s="267"/>
      <c r="AN168" s="267"/>
      <c r="AO168" s="267"/>
      <c r="AP168" s="267"/>
      <c r="AQ168" s="267"/>
      <c r="AR168" s="267"/>
    </row>
    <row r="169" spans="1:44" ht="15.75">
      <c r="A169" s="267"/>
      <c r="B169" s="521" t="s">
        <v>39</v>
      </c>
      <c r="C169" s="522"/>
      <c r="D169" s="522"/>
      <c r="E169" s="522"/>
      <c r="F169" s="522"/>
      <c r="G169" s="522"/>
      <c r="H169" s="522"/>
      <c r="I169" s="522"/>
      <c r="J169" s="522"/>
      <c r="K169" s="522"/>
      <c r="L169" s="522">
        <f t="shared" ref="L169:AI169" si="115">L167+L168</f>
        <v>12020</v>
      </c>
      <c r="M169" s="522">
        <f t="shared" si="115"/>
        <v>12785</v>
      </c>
      <c r="N169" s="522">
        <f t="shared" si="115"/>
        <v>14495.059688195992</v>
      </c>
      <c r="O169" s="522">
        <f t="shared" si="115"/>
        <v>18042.267886568025</v>
      </c>
      <c r="P169" s="522">
        <f t="shared" si="115"/>
        <v>21729.75196116115</v>
      </c>
      <c r="Q169" s="522">
        <f t="shared" si="115"/>
        <v>24567.450157370728</v>
      </c>
      <c r="R169" s="522">
        <f t="shared" si="115"/>
        <v>26966.79973216719</v>
      </c>
      <c r="S169" s="522">
        <f t="shared" si="115"/>
        <v>30703.327726903339</v>
      </c>
      <c r="T169" s="522">
        <f t="shared" si="115"/>
        <v>33837.812784821224</v>
      </c>
      <c r="U169" s="522">
        <f t="shared" si="115"/>
        <v>39121.748</v>
      </c>
      <c r="V169" s="522">
        <f t="shared" si="115"/>
        <v>46286.095000000001</v>
      </c>
      <c r="W169" s="522">
        <f t="shared" si="115"/>
        <v>53423.375999999997</v>
      </c>
      <c r="X169" s="522">
        <f t="shared" si="115"/>
        <v>55567</v>
      </c>
      <c r="Y169" s="522">
        <f t="shared" si="115"/>
        <v>56100.113999999994</v>
      </c>
      <c r="Z169" s="522">
        <f t="shared" si="115"/>
        <v>54396.510811176289</v>
      </c>
      <c r="AA169" s="522">
        <f t="shared" si="115"/>
        <v>54609.672472779523</v>
      </c>
      <c r="AB169" s="522">
        <f t="shared" si="115"/>
        <v>55026.607398304972</v>
      </c>
      <c r="AC169" s="522">
        <f t="shared" si="115"/>
        <v>55415.335691472763</v>
      </c>
      <c r="AD169" s="522">
        <f t="shared" si="115"/>
        <v>55657.090648408339</v>
      </c>
      <c r="AE169" s="522">
        <f t="shared" si="115"/>
        <v>55814.856145193015</v>
      </c>
      <c r="AF169" s="522">
        <f t="shared" si="115"/>
        <v>55899.321595469126</v>
      </c>
      <c r="AG169" s="522">
        <f t="shared" si="115"/>
        <v>56044.962149536936</v>
      </c>
      <c r="AH169" s="522">
        <f t="shared" si="115"/>
        <v>56241.397933290282</v>
      </c>
      <c r="AI169" s="522">
        <f t="shared" si="115"/>
        <v>56349.009422018979</v>
      </c>
      <c r="AJ169" s="267"/>
      <c r="AK169" s="267"/>
      <c r="AL169" s="267"/>
      <c r="AM169" s="267"/>
      <c r="AN169" s="267"/>
      <c r="AO169" s="267"/>
      <c r="AP169" s="267"/>
      <c r="AQ169" s="267"/>
      <c r="AR169" s="267"/>
    </row>
    <row r="170" spans="1:44" ht="15.75">
      <c r="A170" s="267"/>
      <c r="B170" s="521"/>
      <c r="C170" s="521"/>
      <c r="D170" s="521"/>
      <c r="E170" s="521"/>
      <c r="F170" s="521"/>
      <c r="G170" s="521"/>
      <c r="H170" s="521"/>
      <c r="I170" s="521"/>
      <c r="J170" s="521"/>
      <c r="K170" s="521"/>
      <c r="L170" s="521"/>
      <c r="M170" s="521"/>
      <c r="N170" s="521"/>
      <c r="O170" s="521"/>
      <c r="P170" s="521"/>
      <c r="Q170" s="521"/>
      <c r="R170" s="521"/>
      <c r="S170" s="521"/>
      <c r="T170" s="521"/>
      <c r="U170" s="521"/>
      <c r="V170" s="521"/>
      <c r="W170" s="521"/>
      <c r="X170" s="542"/>
      <c r="Y170" s="521"/>
      <c r="Z170" s="521"/>
      <c r="AA170" s="521"/>
      <c r="AB170" s="521"/>
      <c r="AC170" s="521"/>
      <c r="AD170" s="521"/>
      <c r="AE170" s="521"/>
      <c r="AF170" s="521"/>
      <c r="AG170" s="521"/>
      <c r="AH170" s="521"/>
      <c r="AI170" s="521"/>
      <c r="AJ170" s="267"/>
      <c r="AK170" s="267"/>
      <c r="AL170" s="267"/>
      <c r="AM170" s="267"/>
      <c r="AN170" s="267"/>
      <c r="AO170" s="267"/>
      <c r="AP170" s="267"/>
      <c r="AQ170" s="267"/>
      <c r="AR170" s="267"/>
    </row>
    <row r="171" spans="1:44" ht="15.75">
      <c r="A171" s="267"/>
      <c r="B171" s="521"/>
      <c r="C171" s="521"/>
      <c r="D171" s="521"/>
      <c r="E171" s="521"/>
      <c r="F171" s="521"/>
      <c r="G171" s="521"/>
      <c r="H171" s="521"/>
      <c r="I171" s="521"/>
      <c r="J171" s="521"/>
      <c r="K171" s="521"/>
      <c r="L171" s="521"/>
      <c r="M171" s="521"/>
      <c r="N171" s="521"/>
      <c r="O171" s="521"/>
      <c r="P171" s="521"/>
      <c r="Q171" s="521"/>
      <c r="R171" s="521"/>
      <c r="S171" s="521"/>
      <c r="T171" s="521"/>
      <c r="U171" s="521"/>
      <c r="V171" s="521"/>
      <c r="W171" s="521"/>
      <c r="X171" s="542"/>
      <c r="Y171" s="521"/>
      <c r="Z171" s="521"/>
      <c r="AA171" s="521"/>
      <c r="AB171" s="521"/>
      <c r="AC171" s="521"/>
      <c r="AD171" s="521"/>
      <c r="AE171" s="521"/>
      <c r="AF171" s="521"/>
      <c r="AG171" s="521"/>
      <c r="AH171" s="521"/>
      <c r="AI171" s="521"/>
      <c r="AJ171" s="267"/>
      <c r="AK171" s="267"/>
      <c r="AL171" s="267"/>
      <c r="AM171" s="267"/>
      <c r="AN171" s="267"/>
      <c r="AO171" s="267"/>
      <c r="AP171" s="267"/>
      <c r="AQ171" s="267"/>
      <c r="AR171" s="267"/>
    </row>
    <row r="172" spans="1:44" ht="15.75">
      <c r="A172" s="267"/>
      <c r="B172" s="521"/>
      <c r="C172" s="521"/>
      <c r="D172" s="521"/>
      <c r="E172" s="521"/>
      <c r="F172" s="521"/>
      <c r="G172" s="521"/>
      <c r="H172" s="521"/>
      <c r="I172" s="521"/>
      <c r="J172" s="521"/>
      <c r="K172" s="521"/>
      <c r="L172" s="521"/>
      <c r="M172" s="521"/>
      <c r="N172" s="521"/>
      <c r="O172" s="521"/>
      <c r="P172" s="521"/>
      <c r="Q172" s="521"/>
      <c r="R172" s="521"/>
      <c r="S172" s="521"/>
      <c r="T172" s="521"/>
      <c r="U172" s="521"/>
      <c r="V172" s="521"/>
      <c r="W172" s="521"/>
      <c r="X172" s="542"/>
      <c r="Y172" s="521"/>
      <c r="Z172" s="521"/>
      <c r="AA172" s="521"/>
      <c r="AB172" s="521"/>
      <c r="AC172" s="521"/>
      <c r="AD172" s="521"/>
      <c r="AE172" s="521"/>
      <c r="AF172" s="521"/>
      <c r="AG172" s="521"/>
      <c r="AH172" s="521"/>
      <c r="AI172" s="521"/>
      <c r="AJ172" s="267"/>
      <c r="AK172" s="267"/>
      <c r="AL172" s="267"/>
      <c r="AM172" s="267"/>
      <c r="AN172" s="267"/>
      <c r="AO172" s="267"/>
      <c r="AP172" s="267"/>
      <c r="AQ172" s="267"/>
      <c r="AR172" s="267"/>
    </row>
    <row r="173" spans="1:44" ht="15.75">
      <c r="A173" s="267"/>
      <c r="B173" s="519" t="s">
        <v>218</v>
      </c>
      <c r="C173" s="519">
        <v>2003</v>
      </c>
      <c r="D173" s="519">
        <f t="shared" ref="D173:AI173" si="116">C173+1</f>
        <v>2004</v>
      </c>
      <c r="E173" s="519">
        <f t="shared" si="116"/>
        <v>2005</v>
      </c>
      <c r="F173" s="519">
        <f t="shared" si="116"/>
        <v>2006</v>
      </c>
      <c r="G173" s="519">
        <f t="shared" si="116"/>
        <v>2007</v>
      </c>
      <c r="H173" s="519">
        <f t="shared" si="116"/>
        <v>2008</v>
      </c>
      <c r="I173" s="519">
        <f t="shared" si="116"/>
        <v>2009</v>
      </c>
      <c r="J173" s="519">
        <f t="shared" si="116"/>
        <v>2010</v>
      </c>
      <c r="K173" s="519">
        <f t="shared" si="116"/>
        <v>2011</v>
      </c>
      <c r="L173" s="519">
        <f t="shared" si="116"/>
        <v>2012</v>
      </c>
      <c r="M173" s="519">
        <f t="shared" si="116"/>
        <v>2013</v>
      </c>
      <c r="N173" s="519">
        <f t="shared" si="116"/>
        <v>2014</v>
      </c>
      <c r="O173" s="519">
        <f t="shared" si="116"/>
        <v>2015</v>
      </c>
      <c r="P173" s="519">
        <f t="shared" si="116"/>
        <v>2016</v>
      </c>
      <c r="Q173" s="519">
        <f t="shared" si="116"/>
        <v>2017</v>
      </c>
      <c r="R173" s="519">
        <f t="shared" si="116"/>
        <v>2018</v>
      </c>
      <c r="S173" s="519">
        <f t="shared" si="116"/>
        <v>2019</v>
      </c>
      <c r="T173" s="519">
        <f t="shared" si="116"/>
        <v>2020</v>
      </c>
      <c r="U173" s="519">
        <f t="shared" si="116"/>
        <v>2021</v>
      </c>
      <c r="V173" s="519">
        <f t="shared" si="116"/>
        <v>2022</v>
      </c>
      <c r="W173" s="519">
        <f t="shared" si="116"/>
        <v>2023</v>
      </c>
      <c r="X173" s="519">
        <f t="shared" si="116"/>
        <v>2024</v>
      </c>
      <c r="Y173" s="519">
        <f t="shared" si="116"/>
        <v>2025</v>
      </c>
      <c r="Z173" s="519">
        <f t="shared" si="116"/>
        <v>2026</v>
      </c>
      <c r="AA173" s="519">
        <f t="shared" si="116"/>
        <v>2027</v>
      </c>
      <c r="AB173" s="519">
        <f t="shared" si="116"/>
        <v>2028</v>
      </c>
      <c r="AC173" s="519">
        <f t="shared" si="116"/>
        <v>2029</v>
      </c>
      <c r="AD173" s="519">
        <f t="shared" si="116"/>
        <v>2030</v>
      </c>
      <c r="AE173" s="519">
        <f t="shared" si="116"/>
        <v>2031</v>
      </c>
      <c r="AF173" s="519">
        <f t="shared" si="116"/>
        <v>2032</v>
      </c>
      <c r="AG173" s="519">
        <f t="shared" si="116"/>
        <v>2033</v>
      </c>
      <c r="AH173" s="519">
        <f t="shared" si="116"/>
        <v>2034</v>
      </c>
      <c r="AI173" s="519">
        <f t="shared" si="116"/>
        <v>2035</v>
      </c>
      <c r="AJ173" s="267"/>
      <c r="AK173" s="267"/>
      <c r="AL173" s="267"/>
      <c r="AM173" s="267"/>
      <c r="AN173" s="267"/>
      <c r="AO173" s="267"/>
      <c r="AP173" s="267"/>
      <c r="AQ173" s="267"/>
      <c r="AR173" s="267"/>
    </row>
    <row r="174" spans="1:44" ht="15.75">
      <c r="A174" s="267"/>
      <c r="B174" s="521" t="s">
        <v>219</v>
      </c>
      <c r="C174" s="552"/>
      <c r="D174" s="552"/>
      <c r="E174" s="552"/>
      <c r="F174" s="552"/>
      <c r="G174" s="552"/>
      <c r="H174" s="552"/>
      <c r="I174" s="552"/>
      <c r="J174" s="552"/>
      <c r="K174" s="552"/>
      <c r="L174" s="552">
        <f>SUM(L184:L185)+SUM(L179:L180)</f>
        <v>112</v>
      </c>
      <c r="M174" s="552">
        <f>SUM(M184:M185)+SUM(M179:M180)</f>
        <v>34</v>
      </c>
      <c r="N174" s="561">
        <f>-SUM(Quarts!X200:AA200)</f>
        <v>-36.900000000000006</v>
      </c>
      <c r="O174" s="561">
        <f>-SUM(Quarts!AB200:AE200)</f>
        <v>-80.733000000000004</v>
      </c>
      <c r="P174" s="561">
        <v>-113</v>
      </c>
      <c r="Q174" s="561">
        <v>2.5</v>
      </c>
      <c r="R174" s="561">
        <f>17.7+11.6</f>
        <v>29.299999999999997</v>
      </c>
      <c r="S174" s="561">
        <v>413</v>
      </c>
      <c r="T174" s="561">
        <f>457+88</f>
        <v>545</v>
      </c>
      <c r="U174" s="561">
        <v>697</v>
      </c>
      <c r="V174" s="552">
        <f>V184-V179</f>
        <v>1258.9899999999998</v>
      </c>
      <c r="W174" s="552">
        <f>W184-W179</f>
        <v>1906.258</v>
      </c>
      <c r="X174" s="552">
        <f>X184-X179</f>
        <v>2535.7079999999996</v>
      </c>
      <c r="Y174" s="552">
        <f>Y184-Y179</f>
        <v>2104.5239999999999</v>
      </c>
      <c r="Z174" s="552">
        <f t="shared" ref="Z174:AI174" si="117">SUM(Z184:Z185)-SUM(Z179:Z180)</f>
        <v>2049.7963986196419</v>
      </c>
      <c r="AA174" s="552">
        <f t="shared" si="117"/>
        <v>2021.1214665676478</v>
      </c>
      <c r="AB174" s="552">
        <f t="shared" si="117"/>
        <v>1955.6667391230112</v>
      </c>
      <c r="AC174" s="552">
        <f t="shared" si="117"/>
        <v>1856.3554404004174</v>
      </c>
      <c r="AD174" s="552">
        <f t="shared" si="117"/>
        <v>1757.7900475162949</v>
      </c>
      <c r="AE174" s="552">
        <f t="shared" si="117"/>
        <v>1654.702478980947</v>
      </c>
      <c r="AF174" s="552">
        <f t="shared" si="117"/>
        <v>1598.033506574478</v>
      </c>
      <c r="AG174" s="552">
        <f t="shared" si="117"/>
        <v>1549.623823456421</v>
      </c>
      <c r="AH174" s="552">
        <f t="shared" si="117"/>
        <v>1511.5308952506296</v>
      </c>
      <c r="AI174" s="552">
        <f t="shared" si="117"/>
        <v>1420.3220044511982</v>
      </c>
      <c r="AJ174" s="267"/>
      <c r="AK174" s="267"/>
      <c r="AL174" s="267"/>
      <c r="AM174" s="267"/>
      <c r="AN174" s="267"/>
      <c r="AO174" s="267"/>
      <c r="AP174" s="267"/>
      <c r="AQ174" s="267"/>
      <c r="AR174" s="267"/>
    </row>
    <row r="175" spans="1:44" ht="15.75">
      <c r="A175" s="267"/>
      <c r="B175" s="521" t="s">
        <v>220</v>
      </c>
      <c r="C175" s="552"/>
      <c r="D175" s="552"/>
      <c r="E175" s="552"/>
      <c r="F175" s="552"/>
      <c r="G175" s="552"/>
      <c r="H175" s="552"/>
      <c r="I175" s="552"/>
      <c r="J175" s="552"/>
      <c r="K175" s="552"/>
      <c r="L175" s="552">
        <f t="shared" ref="L175:AI175" si="118">L180+L185</f>
        <v>0</v>
      </c>
      <c r="M175" s="552">
        <f t="shared" si="118"/>
        <v>0</v>
      </c>
      <c r="N175" s="552">
        <f t="shared" si="118"/>
        <v>0</v>
      </c>
      <c r="O175" s="552">
        <f t="shared" si="118"/>
        <v>0</v>
      </c>
      <c r="P175" s="552">
        <f t="shared" si="118"/>
        <v>100</v>
      </c>
      <c r="Q175" s="552">
        <f t="shared" si="118"/>
        <v>0</v>
      </c>
      <c r="R175" s="552">
        <f t="shared" si="118"/>
        <v>0</v>
      </c>
      <c r="S175" s="552">
        <f t="shared" si="118"/>
        <v>0</v>
      </c>
      <c r="T175" s="552">
        <f t="shared" si="118"/>
        <v>0</v>
      </c>
      <c r="U175" s="552">
        <f t="shared" si="118"/>
        <v>0</v>
      </c>
      <c r="V175" s="552">
        <f t="shared" si="118"/>
        <v>0</v>
      </c>
      <c r="W175" s="552">
        <f t="shared" si="118"/>
        <v>0</v>
      </c>
      <c r="X175" s="552">
        <f t="shared" si="118"/>
        <v>0</v>
      </c>
      <c r="Y175" s="552">
        <f t="shared" si="118"/>
        <v>0</v>
      </c>
      <c r="Z175" s="552">
        <f t="shared" si="118"/>
        <v>0</v>
      </c>
      <c r="AA175" s="552">
        <f t="shared" si="118"/>
        <v>0</v>
      </c>
      <c r="AB175" s="552">
        <f t="shared" si="118"/>
        <v>0</v>
      </c>
      <c r="AC175" s="552">
        <f t="shared" si="118"/>
        <v>0</v>
      </c>
      <c r="AD175" s="552">
        <f t="shared" si="118"/>
        <v>0</v>
      </c>
      <c r="AE175" s="552">
        <f t="shared" si="118"/>
        <v>0</v>
      </c>
      <c r="AF175" s="552">
        <f t="shared" si="118"/>
        <v>0</v>
      </c>
      <c r="AG175" s="552">
        <f t="shared" si="118"/>
        <v>0</v>
      </c>
      <c r="AH175" s="552">
        <f t="shared" si="118"/>
        <v>0</v>
      </c>
      <c r="AI175" s="552">
        <f t="shared" si="118"/>
        <v>0</v>
      </c>
      <c r="AJ175" s="267"/>
      <c r="AK175" s="267"/>
      <c r="AL175" s="267"/>
      <c r="AM175" s="267"/>
      <c r="AN175" s="267"/>
      <c r="AO175" s="267"/>
      <c r="AP175" s="267"/>
      <c r="AQ175" s="267"/>
      <c r="AR175" s="267"/>
    </row>
    <row r="176" spans="1:44" ht="15.75">
      <c r="A176" s="267"/>
      <c r="B176" s="521" t="s">
        <v>221</v>
      </c>
      <c r="C176" s="552"/>
      <c r="D176" s="552"/>
      <c r="E176" s="552"/>
      <c r="F176" s="552"/>
      <c r="G176" s="552"/>
      <c r="H176" s="552"/>
      <c r="I176" s="552"/>
      <c r="J176" s="552"/>
      <c r="K176" s="552"/>
      <c r="L176" s="522">
        <f t="shared" ref="L176:AI176" si="119">L174-L175</f>
        <v>112</v>
      </c>
      <c r="M176" s="522">
        <f t="shared" si="119"/>
        <v>34</v>
      </c>
      <c r="N176" s="522">
        <f t="shared" si="119"/>
        <v>-36.900000000000006</v>
      </c>
      <c r="O176" s="522">
        <f t="shared" si="119"/>
        <v>-80.733000000000004</v>
      </c>
      <c r="P176" s="522">
        <f t="shared" si="119"/>
        <v>-213</v>
      </c>
      <c r="Q176" s="522">
        <f t="shared" si="119"/>
        <v>2.5</v>
      </c>
      <c r="R176" s="522">
        <f t="shared" si="119"/>
        <v>29.299999999999997</v>
      </c>
      <c r="S176" s="522">
        <f t="shared" si="119"/>
        <v>413</v>
      </c>
      <c r="T176" s="522">
        <f t="shared" si="119"/>
        <v>545</v>
      </c>
      <c r="U176" s="522">
        <f t="shared" si="119"/>
        <v>697</v>
      </c>
      <c r="V176" s="522">
        <f t="shared" si="119"/>
        <v>1258.9899999999998</v>
      </c>
      <c r="W176" s="522">
        <f t="shared" si="119"/>
        <v>1906.258</v>
      </c>
      <c r="X176" s="522">
        <f t="shared" si="119"/>
        <v>2535.7079999999996</v>
      </c>
      <c r="Y176" s="522">
        <f t="shared" si="119"/>
        <v>2104.5239999999999</v>
      </c>
      <c r="Z176" s="522">
        <f t="shared" si="119"/>
        <v>2049.7963986196419</v>
      </c>
      <c r="AA176" s="522">
        <f t="shared" si="119"/>
        <v>2021.1214665676478</v>
      </c>
      <c r="AB176" s="522">
        <f t="shared" si="119"/>
        <v>1955.6667391230112</v>
      </c>
      <c r="AC176" s="522">
        <f t="shared" si="119"/>
        <v>1856.3554404004174</v>
      </c>
      <c r="AD176" s="522">
        <f t="shared" si="119"/>
        <v>1757.7900475162949</v>
      </c>
      <c r="AE176" s="522">
        <f t="shared" si="119"/>
        <v>1654.702478980947</v>
      </c>
      <c r="AF176" s="522">
        <f t="shared" si="119"/>
        <v>1598.033506574478</v>
      </c>
      <c r="AG176" s="522">
        <f t="shared" si="119"/>
        <v>1549.623823456421</v>
      </c>
      <c r="AH176" s="522">
        <f t="shared" si="119"/>
        <v>1511.5308952506296</v>
      </c>
      <c r="AI176" s="522">
        <f t="shared" si="119"/>
        <v>1420.3220044511982</v>
      </c>
      <c r="AJ176" s="267"/>
      <c r="AK176" s="267"/>
      <c r="AL176" s="267"/>
      <c r="AM176" s="267"/>
      <c r="AN176" s="267"/>
      <c r="AO176" s="267"/>
      <c r="AP176" s="267"/>
      <c r="AQ176" s="267"/>
      <c r="AR176" s="267"/>
    </row>
    <row r="177" spans="1:44" ht="15.75">
      <c r="A177" s="267"/>
      <c r="B177" s="521" t="s">
        <v>131</v>
      </c>
      <c r="C177" s="552"/>
      <c r="D177" s="552"/>
      <c r="E177" s="552"/>
      <c r="F177" s="552"/>
      <c r="G177" s="552"/>
      <c r="H177" s="552"/>
      <c r="I177" s="552"/>
      <c r="J177" s="552"/>
      <c r="K177" s="552"/>
      <c r="L177" s="527"/>
      <c r="M177" s="527">
        <f t="shared" ref="M177:AI177" si="120">M176/L176-1</f>
        <v>-0.6964285714285714</v>
      </c>
      <c r="N177" s="527">
        <f t="shared" si="120"/>
        <v>-2.085294117647059</v>
      </c>
      <c r="O177" s="527">
        <f t="shared" si="120"/>
        <v>1.1878861788617883</v>
      </c>
      <c r="P177" s="527">
        <f t="shared" si="120"/>
        <v>1.6383263349559658</v>
      </c>
      <c r="Q177" s="527">
        <f t="shared" si="120"/>
        <v>-1.011737089201878</v>
      </c>
      <c r="R177" s="527">
        <f t="shared" si="120"/>
        <v>10.719999999999999</v>
      </c>
      <c r="S177" s="527">
        <f t="shared" si="120"/>
        <v>13.095563139931741</v>
      </c>
      <c r="T177" s="527">
        <f t="shared" si="120"/>
        <v>0.31961259079903148</v>
      </c>
      <c r="U177" s="527">
        <f t="shared" si="120"/>
        <v>0.27889908256880735</v>
      </c>
      <c r="V177" s="527">
        <f t="shared" si="120"/>
        <v>0.80629842180774713</v>
      </c>
      <c r="W177" s="527">
        <f t="shared" si="120"/>
        <v>0.5141168714604567</v>
      </c>
      <c r="X177" s="527">
        <f t="shared" si="120"/>
        <v>0.33020189292320334</v>
      </c>
      <c r="Y177" s="527">
        <f t="shared" si="120"/>
        <v>-0.17004481588574072</v>
      </c>
      <c r="Z177" s="527">
        <f t="shared" si="120"/>
        <v>-2.6004740920207103E-2</v>
      </c>
      <c r="AA177" s="527">
        <f t="shared" si="120"/>
        <v>-1.398916110463666E-2</v>
      </c>
      <c r="AB177" s="527">
        <f t="shared" si="120"/>
        <v>-3.2385350671572666E-2</v>
      </c>
      <c r="AC177" s="527">
        <f t="shared" si="120"/>
        <v>-5.0781299664138357E-2</v>
      </c>
      <c r="AD177" s="527">
        <f t="shared" si="120"/>
        <v>-5.309618553592399E-2</v>
      </c>
      <c r="AE177" s="527">
        <f t="shared" si="120"/>
        <v>-5.8646121407393004E-2</v>
      </c>
      <c r="AF177" s="527">
        <f t="shared" si="120"/>
        <v>-3.4247227599108143E-2</v>
      </c>
      <c r="AG177" s="527">
        <f t="shared" si="120"/>
        <v>-3.0293284163876777E-2</v>
      </c>
      <c r="AH177" s="527">
        <f t="shared" si="120"/>
        <v>-2.4582048642505683E-2</v>
      </c>
      <c r="AI177" s="527">
        <f t="shared" si="120"/>
        <v>-6.0342061869868679E-2</v>
      </c>
      <c r="AJ177" s="267"/>
      <c r="AK177" s="267"/>
      <c r="AL177" s="267"/>
      <c r="AM177" s="267"/>
      <c r="AN177" s="267"/>
      <c r="AO177" s="267"/>
      <c r="AP177" s="267"/>
      <c r="AQ177" s="267"/>
      <c r="AR177" s="267"/>
    </row>
    <row r="178" spans="1:44" ht="15.75">
      <c r="A178" s="267"/>
      <c r="B178" s="521"/>
      <c r="C178" s="552"/>
      <c r="D178" s="552"/>
      <c r="E178" s="552"/>
      <c r="F178" s="552"/>
      <c r="G178" s="552"/>
      <c r="H178" s="552"/>
      <c r="I178" s="552"/>
      <c r="J178" s="552"/>
      <c r="K178" s="552"/>
      <c r="L178" s="521"/>
      <c r="M178" s="521"/>
      <c r="N178" s="521"/>
      <c r="O178" s="521"/>
      <c r="P178" s="521"/>
      <c r="Q178" s="521"/>
      <c r="R178" s="521"/>
      <c r="S178" s="521"/>
      <c r="T178" s="521"/>
      <c r="U178" s="521"/>
      <c r="V178" s="521"/>
      <c r="W178" s="521"/>
      <c r="X178" s="521"/>
      <c r="Y178" s="521"/>
      <c r="Z178" s="521"/>
      <c r="AA178" s="521"/>
      <c r="AB178" s="521"/>
      <c r="AC178" s="521"/>
      <c r="AD178" s="521"/>
      <c r="AE178" s="521"/>
      <c r="AF178" s="521"/>
      <c r="AG178" s="521"/>
      <c r="AH178" s="521"/>
      <c r="AI178" s="521"/>
      <c r="AJ178" s="267"/>
      <c r="AK178" s="267"/>
      <c r="AL178" s="267"/>
      <c r="AM178" s="267"/>
      <c r="AN178" s="267"/>
      <c r="AO178" s="267"/>
      <c r="AP178" s="267"/>
      <c r="AQ178" s="267"/>
      <c r="AR178" s="267"/>
    </row>
    <row r="179" spans="1:44" ht="15.75">
      <c r="A179" s="267"/>
      <c r="B179" s="521" t="s">
        <v>222</v>
      </c>
      <c r="C179" s="552"/>
      <c r="D179" s="552"/>
      <c r="E179" s="552"/>
      <c r="F179" s="552"/>
      <c r="G179" s="552"/>
      <c r="H179" s="552"/>
      <c r="I179" s="552"/>
      <c r="J179" s="552"/>
      <c r="K179" s="552"/>
      <c r="L179" s="553">
        <v>232</v>
      </c>
      <c r="M179" s="553">
        <v>205</v>
      </c>
      <c r="N179" s="553">
        <v>205</v>
      </c>
      <c r="O179" s="553">
        <v>205</v>
      </c>
      <c r="P179" s="553">
        <v>205</v>
      </c>
      <c r="Q179" s="553">
        <v>205</v>
      </c>
      <c r="R179" s="553">
        <v>205</v>
      </c>
      <c r="S179" s="553">
        <v>75</v>
      </c>
      <c r="T179" s="553">
        <v>145.99299999999999</v>
      </c>
      <c r="U179" s="553">
        <v>191.12899999999999</v>
      </c>
      <c r="V179" s="553">
        <v>370.90800000000002</v>
      </c>
      <c r="W179" s="553">
        <v>349.48099999999999</v>
      </c>
      <c r="X179" s="553">
        <v>536.31100000000004</v>
      </c>
      <c r="Y179" s="553">
        <v>853.60900000000004</v>
      </c>
      <c r="Z179" s="666">
        <f t="shared" ref="Z179:AI179" si="121">Z181*AVERAGE(Y194)</f>
        <v>920.29728019987942</v>
      </c>
      <c r="AA179" s="666">
        <f t="shared" si="121"/>
        <v>948.97221225187354</v>
      </c>
      <c r="AB179" s="666">
        <f t="shared" si="121"/>
        <v>1014.4269396965101</v>
      </c>
      <c r="AC179" s="666">
        <f t="shared" si="121"/>
        <v>1113.7382384191039</v>
      </c>
      <c r="AD179" s="666">
        <f t="shared" si="121"/>
        <v>1212.3036313032264</v>
      </c>
      <c r="AE179" s="666">
        <f t="shared" si="121"/>
        <v>1315.3911998385743</v>
      </c>
      <c r="AF179" s="666">
        <f t="shared" si="121"/>
        <v>1372.0601722450433</v>
      </c>
      <c r="AG179" s="666">
        <f t="shared" si="121"/>
        <v>1420.4698553631004</v>
      </c>
      <c r="AH179" s="666">
        <f t="shared" si="121"/>
        <v>1458.5627835688917</v>
      </c>
      <c r="AI179" s="666">
        <f t="shared" si="121"/>
        <v>1549.7716743683231</v>
      </c>
      <c r="AJ179" s="267"/>
      <c r="AK179" s="267"/>
      <c r="AL179" s="267"/>
      <c r="AM179" s="267"/>
      <c r="AN179" s="267"/>
      <c r="AO179" s="267"/>
      <c r="AP179" s="267"/>
      <c r="AQ179" s="267"/>
      <c r="AR179" s="267"/>
    </row>
    <row r="180" spans="1:44" ht="15.75">
      <c r="A180" s="267"/>
      <c r="B180" s="521" t="s">
        <v>223</v>
      </c>
      <c r="C180" s="552"/>
      <c r="D180" s="552"/>
      <c r="E180" s="552"/>
      <c r="F180" s="552"/>
      <c r="G180" s="552"/>
      <c r="H180" s="552"/>
      <c r="I180" s="552"/>
      <c r="J180" s="552"/>
      <c r="K180" s="552"/>
      <c r="L180" s="553">
        <v>0</v>
      </c>
      <c r="M180" s="553">
        <v>0</v>
      </c>
      <c r="N180" s="553">
        <v>0</v>
      </c>
      <c r="O180" s="553">
        <v>0</v>
      </c>
      <c r="P180" s="553">
        <v>100</v>
      </c>
      <c r="Q180" s="553">
        <v>0</v>
      </c>
      <c r="R180" s="553">
        <v>0</v>
      </c>
      <c r="S180" s="553">
        <v>0</v>
      </c>
      <c r="T180" s="553">
        <v>0</v>
      </c>
      <c r="U180" s="553">
        <v>0</v>
      </c>
      <c r="V180" s="553">
        <v>0</v>
      </c>
      <c r="W180" s="553">
        <v>0</v>
      </c>
      <c r="X180" s="553">
        <v>0</v>
      </c>
      <c r="Y180" s="553">
        <v>0</v>
      </c>
      <c r="Z180" s="553">
        <v>0</v>
      </c>
      <c r="AA180" s="553">
        <v>0</v>
      </c>
      <c r="AB180" s="553">
        <v>0</v>
      </c>
      <c r="AC180" s="553">
        <v>0</v>
      </c>
      <c r="AD180" s="553">
        <v>0</v>
      </c>
      <c r="AE180" s="553">
        <v>0</v>
      </c>
      <c r="AF180" s="553">
        <v>0</v>
      </c>
      <c r="AG180" s="553">
        <v>0</v>
      </c>
      <c r="AH180" s="553">
        <v>0</v>
      </c>
      <c r="AI180" s="553">
        <v>0</v>
      </c>
      <c r="AJ180" s="267"/>
      <c r="AK180" s="267"/>
      <c r="AL180" s="267"/>
      <c r="AM180" s="267"/>
      <c r="AN180" s="267"/>
      <c r="AO180" s="267"/>
      <c r="AP180" s="267"/>
      <c r="AQ180" s="267"/>
      <c r="AR180" s="267"/>
    </row>
    <row r="181" spans="1:44" ht="15.75">
      <c r="A181" s="267"/>
      <c r="B181" s="521" t="s">
        <v>224</v>
      </c>
      <c r="C181" s="552"/>
      <c r="D181" s="552"/>
      <c r="E181" s="552"/>
      <c r="F181" s="552"/>
      <c r="G181" s="552"/>
      <c r="H181" s="552"/>
      <c r="I181" s="552"/>
      <c r="J181" s="552"/>
      <c r="K181" s="552"/>
      <c r="L181" s="534">
        <f t="shared" ref="L181:Y181" si="122">L179/AVERAGE(K203:L203)</f>
        <v>9.3060569594865625E-2</v>
      </c>
      <c r="M181" s="534">
        <f t="shared" si="122"/>
        <v>8.0396886091338715E-2</v>
      </c>
      <c r="N181" s="534">
        <f t="shared" si="122"/>
        <v>6.2077005768619319E-2</v>
      </c>
      <c r="O181" s="534">
        <f t="shared" si="122"/>
        <v>6.0285252168798709E-2</v>
      </c>
      <c r="P181" s="534">
        <f t="shared" si="122"/>
        <v>0.10361384887541067</v>
      </c>
      <c r="Q181" s="534">
        <f t="shared" si="122"/>
        <v>9.5996253804729578E-2</v>
      </c>
      <c r="R181" s="534">
        <f t="shared" si="122"/>
        <v>6.3585607940446653E-2</v>
      </c>
      <c r="S181" s="534">
        <f t="shared" si="122"/>
        <v>2.7095375722543353E-2</v>
      </c>
      <c r="T181" s="534">
        <f t="shared" si="122"/>
        <v>4.517110148514851E-2</v>
      </c>
      <c r="U181" s="534">
        <f t="shared" si="122"/>
        <v>4.8007706190195704E-2</v>
      </c>
      <c r="V181" s="534">
        <f t="shared" si="122"/>
        <v>0.14581247324306443</v>
      </c>
      <c r="W181" s="534">
        <f t="shared" si="122"/>
        <v>0.23914082533730438</v>
      </c>
      <c r="X181" s="534">
        <f t="shared" si="122"/>
        <v>0.18601651361286572</v>
      </c>
      <c r="Y181" s="534">
        <f t="shared" si="122"/>
        <v>0.1861431047256539</v>
      </c>
      <c r="Z181" s="562">
        <f t="shared" ref="Z181:AI181" si="123">Y181+Z182</f>
        <v>0.1861431047256539</v>
      </c>
      <c r="AA181" s="562">
        <f t="shared" si="123"/>
        <v>0.17614310472565389</v>
      </c>
      <c r="AB181" s="562">
        <f t="shared" si="123"/>
        <v>0.16614310472565388</v>
      </c>
      <c r="AC181" s="562">
        <f t="shared" si="123"/>
        <v>0.15364310472565387</v>
      </c>
      <c r="AD181" s="562">
        <f t="shared" si="123"/>
        <v>0.13864310472565389</v>
      </c>
      <c r="AE181" s="562">
        <f t="shared" si="123"/>
        <v>0.12364310472565389</v>
      </c>
      <c r="AF181" s="562">
        <f t="shared" si="123"/>
        <v>0.10864310472565389</v>
      </c>
      <c r="AG181" s="562">
        <f t="shared" si="123"/>
        <v>9.6143104725653891E-2</v>
      </c>
      <c r="AH181" s="562">
        <f t="shared" si="123"/>
        <v>8.6143104725653896E-2</v>
      </c>
      <c r="AI181" s="562">
        <f t="shared" si="123"/>
        <v>8.1143104725653892E-2</v>
      </c>
      <c r="AJ181" s="267"/>
      <c r="AK181" s="267"/>
      <c r="AL181" s="267"/>
      <c r="AM181" s="267"/>
      <c r="AN181" s="267"/>
      <c r="AO181" s="267"/>
      <c r="AP181" s="267"/>
      <c r="AQ181" s="267"/>
      <c r="AR181" s="267"/>
    </row>
    <row r="182" spans="1:44" ht="15.75">
      <c r="A182" s="267"/>
      <c r="B182" s="521" t="s">
        <v>225</v>
      </c>
      <c r="C182" s="552"/>
      <c r="D182" s="552"/>
      <c r="E182" s="552"/>
      <c r="F182" s="552"/>
      <c r="G182" s="552"/>
      <c r="H182" s="552"/>
      <c r="I182" s="552"/>
      <c r="J182" s="552"/>
      <c r="K182" s="552"/>
      <c r="L182" s="534">
        <f t="shared" ref="L182:Y182" si="124">L181-K181</f>
        <v>9.3060569594865625E-2</v>
      </c>
      <c r="M182" s="534">
        <f t="shared" si="124"/>
        <v>-1.266368350352691E-2</v>
      </c>
      <c r="N182" s="534">
        <f t="shared" si="124"/>
        <v>-1.8319880322719397E-2</v>
      </c>
      <c r="O182" s="534">
        <f t="shared" si="124"/>
        <v>-1.7917535998206099E-3</v>
      </c>
      <c r="P182" s="534">
        <f t="shared" si="124"/>
        <v>4.332859670661196E-2</v>
      </c>
      <c r="Q182" s="534">
        <f t="shared" si="124"/>
        <v>-7.6175950706810908E-3</v>
      </c>
      <c r="R182" s="534">
        <f t="shared" si="124"/>
        <v>-3.2410645864282925E-2</v>
      </c>
      <c r="S182" s="534">
        <f t="shared" si="124"/>
        <v>-3.6490232217903304E-2</v>
      </c>
      <c r="T182" s="534">
        <f t="shared" si="124"/>
        <v>1.8075725762605157E-2</v>
      </c>
      <c r="U182" s="534">
        <f t="shared" si="124"/>
        <v>2.8366047050471938E-3</v>
      </c>
      <c r="V182" s="534">
        <f t="shared" si="124"/>
        <v>9.7804767052868724E-2</v>
      </c>
      <c r="W182" s="534">
        <f t="shared" si="124"/>
        <v>9.3328352094239952E-2</v>
      </c>
      <c r="X182" s="534">
        <f t="shared" si="124"/>
        <v>-5.3124311724438655E-2</v>
      </c>
      <c r="Y182" s="534">
        <f t="shared" si="124"/>
        <v>1.2659111278817692E-4</v>
      </c>
      <c r="Z182" s="563">
        <v>0</v>
      </c>
      <c r="AA182" s="563">
        <v>-0.01</v>
      </c>
      <c r="AB182" s="563">
        <v>-0.01</v>
      </c>
      <c r="AC182" s="563">
        <v>-1.2500000000000001E-2</v>
      </c>
      <c r="AD182" s="563">
        <v>-1.4999999999999999E-2</v>
      </c>
      <c r="AE182" s="563">
        <v>-1.4999999999999999E-2</v>
      </c>
      <c r="AF182" s="563">
        <v>-1.4999999999999999E-2</v>
      </c>
      <c r="AG182" s="563">
        <v>-1.2500000000000001E-2</v>
      </c>
      <c r="AH182" s="563">
        <v>-0.01</v>
      </c>
      <c r="AI182" s="563">
        <v>-5.0000000000000001E-3</v>
      </c>
      <c r="AJ182" s="267"/>
      <c r="AK182" s="267"/>
      <c r="AL182" s="267"/>
      <c r="AM182" s="267"/>
      <c r="AN182" s="267"/>
      <c r="AO182" s="267"/>
      <c r="AP182" s="267"/>
      <c r="AQ182" s="267"/>
      <c r="AR182" s="267"/>
    </row>
    <row r="183" spans="1:44" ht="15.75">
      <c r="A183" s="267"/>
      <c r="B183" s="521"/>
      <c r="C183" s="552"/>
      <c r="D183" s="552"/>
      <c r="E183" s="552"/>
      <c r="F183" s="552"/>
      <c r="G183" s="552"/>
      <c r="H183" s="552"/>
      <c r="I183" s="552"/>
      <c r="J183" s="552"/>
      <c r="K183" s="552"/>
      <c r="L183" s="521"/>
      <c r="M183" s="521"/>
      <c r="N183" s="521"/>
      <c r="O183" s="521"/>
      <c r="P183" s="521"/>
      <c r="Q183" s="521"/>
      <c r="R183" s="521"/>
      <c r="S183" s="521"/>
      <c r="T183" s="521"/>
      <c r="U183" s="521"/>
      <c r="V183" s="521"/>
      <c r="W183" s="521"/>
      <c r="X183" s="521"/>
      <c r="Y183" s="521"/>
      <c r="Z183" s="521"/>
      <c r="AA183" s="521"/>
      <c r="AB183" s="521"/>
      <c r="AC183" s="521"/>
      <c r="AD183" s="521"/>
      <c r="AE183" s="521"/>
      <c r="AF183" s="521"/>
      <c r="AG183" s="521"/>
      <c r="AH183" s="521"/>
      <c r="AI183" s="521"/>
      <c r="AJ183" s="267"/>
      <c r="AK183" s="267"/>
      <c r="AL183" s="267"/>
      <c r="AM183" s="267"/>
      <c r="AN183" s="267"/>
      <c r="AO183" s="267"/>
      <c r="AP183" s="267"/>
      <c r="AQ183" s="267"/>
      <c r="AR183" s="267"/>
    </row>
    <row r="184" spans="1:44" ht="15.75">
      <c r="A184" s="267"/>
      <c r="B184" s="521" t="s">
        <v>226</v>
      </c>
      <c r="C184" s="552"/>
      <c r="D184" s="552"/>
      <c r="E184" s="552"/>
      <c r="F184" s="552"/>
      <c r="G184" s="552"/>
      <c r="H184" s="552"/>
      <c r="I184" s="552"/>
      <c r="J184" s="552"/>
      <c r="K184" s="552"/>
      <c r="L184" s="553">
        <v>-120</v>
      </c>
      <c r="M184" s="553">
        <v>-171</v>
      </c>
      <c r="N184" s="522">
        <f t="shared" ref="N184:U184" si="125">N174-N179</f>
        <v>-241.9</v>
      </c>
      <c r="O184" s="522">
        <f t="shared" si="125"/>
        <v>-285.733</v>
      </c>
      <c r="P184" s="522">
        <f t="shared" si="125"/>
        <v>-318</v>
      </c>
      <c r="Q184" s="522">
        <f t="shared" si="125"/>
        <v>-202.5</v>
      </c>
      <c r="R184" s="522">
        <f t="shared" si="125"/>
        <v>-175.7</v>
      </c>
      <c r="S184" s="522">
        <f t="shared" si="125"/>
        <v>338</v>
      </c>
      <c r="T184" s="522">
        <f t="shared" si="125"/>
        <v>399.00700000000001</v>
      </c>
      <c r="U184" s="522">
        <f t="shared" si="125"/>
        <v>505.87099999999998</v>
      </c>
      <c r="V184" s="359">
        <v>1629.8979999999999</v>
      </c>
      <c r="W184" s="359">
        <v>2255.739</v>
      </c>
      <c r="X184" s="359">
        <v>3072.0189999999998</v>
      </c>
      <c r="Y184" s="359">
        <v>2958.1329999999998</v>
      </c>
      <c r="Z184" s="522">
        <f t="shared" ref="Z184:AI184" si="126">Z186*AVERAGE(Y193:Z193)</f>
        <v>2970.0936788195213</v>
      </c>
      <c r="AA184" s="522">
        <f t="shared" si="126"/>
        <v>2970.0936788195213</v>
      </c>
      <c r="AB184" s="522">
        <f t="shared" si="126"/>
        <v>2970.0936788195213</v>
      </c>
      <c r="AC184" s="522">
        <f t="shared" si="126"/>
        <v>2970.0936788195213</v>
      </c>
      <c r="AD184" s="522">
        <f t="shared" si="126"/>
        <v>2970.0936788195213</v>
      </c>
      <c r="AE184" s="522">
        <f t="shared" si="126"/>
        <v>2970.0936788195213</v>
      </c>
      <c r="AF184" s="522">
        <f t="shared" si="126"/>
        <v>2970.0936788195213</v>
      </c>
      <c r="AG184" s="522">
        <f t="shared" si="126"/>
        <v>2970.0936788195213</v>
      </c>
      <c r="AH184" s="522">
        <f t="shared" si="126"/>
        <v>2970.0936788195213</v>
      </c>
      <c r="AI184" s="522">
        <f t="shared" si="126"/>
        <v>2970.0936788195213</v>
      </c>
      <c r="AJ184" s="267"/>
      <c r="AK184" s="267"/>
      <c r="AL184" s="267"/>
      <c r="AM184" s="267"/>
      <c r="AN184" s="267"/>
      <c r="AO184" s="267"/>
      <c r="AP184" s="267"/>
      <c r="AQ184" s="267"/>
      <c r="AR184" s="267"/>
    </row>
    <row r="185" spans="1:44" ht="15.75">
      <c r="A185" s="267"/>
      <c r="B185" s="521" t="s">
        <v>227</v>
      </c>
      <c r="C185" s="552"/>
      <c r="D185" s="552"/>
      <c r="E185" s="552"/>
      <c r="F185" s="552"/>
      <c r="G185" s="552"/>
      <c r="H185" s="552"/>
      <c r="I185" s="552"/>
      <c r="J185" s="552"/>
      <c r="K185" s="552"/>
      <c r="L185" s="553"/>
      <c r="M185" s="553"/>
      <c r="N185" s="553">
        <v>0</v>
      </c>
      <c r="O185" s="553">
        <v>0</v>
      </c>
      <c r="P185" s="553">
        <v>0</v>
      </c>
      <c r="Q185" s="553">
        <v>0</v>
      </c>
      <c r="R185" s="553">
        <v>0</v>
      </c>
      <c r="S185" s="553">
        <v>0</v>
      </c>
      <c r="T185" s="553">
        <v>0</v>
      </c>
      <c r="U185" s="553">
        <v>0</v>
      </c>
      <c r="V185" s="553">
        <v>0</v>
      </c>
      <c r="W185" s="553">
        <v>0</v>
      </c>
      <c r="X185" s="553">
        <v>0</v>
      </c>
      <c r="Y185" s="553">
        <v>0</v>
      </c>
      <c r="Z185" s="553">
        <v>0</v>
      </c>
      <c r="AA185" s="553">
        <v>0</v>
      </c>
      <c r="AB185" s="553">
        <v>0</v>
      </c>
      <c r="AC185" s="553">
        <v>0</v>
      </c>
      <c r="AD185" s="553">
        <v>0</v>
      </c>
      <c r="AE185" s="553">
        <v>0</v>
      </c>
      <c r="AF185" s="553">
        <v>0</v>
      </c>
      <c r="AG185" s="553">
        <v>0</v>
      </c>
      <c r="AH185" s="553">
        <v>0</v>
      </c>
      <c r="AI185" s="553">
        <v>0</v>
      </c>
      <c r="AJ185" s="267"/>
      <c r="AK185" s="267"/>
      <c r="AL185" s="267"/>
      <c r="AM185" s="267"/>
      <c r="AN185" s="267"/>
      <c r="AO185" s="267"/>
      <c r="AP185" s="267"/>
      <c r="AQ185" s="267"/>
      <c r="AR185" s="267"/>
    </row>
    <row r="186" spans="1:44" ht="15.75">
      <c r="A186" s="267"/>
      <c r="B186" s="521" t="s">
        <v>228</v>
      </c>
      <c r="C186" s="552"/>
      <c r="D186" s="552"/>
      <c r="E186" s="552"/>
      <c r="F186" s="552"/>
      <c r="G186" s="552"/>
      <c r="H186" s="552"/>
      <c r="I186" s="552"/>
      <c r="J186" s="552"/>
      <c r="K186" s="552"/>
      <c r="L186" s="534">
        <f t="shared" ref="L186:Y186" si="127">L184/AVERAGE(K193:L193)</f>
        <v>-5.6048575432041101E-2</v>
      </c>
      <c r="M186" s="534">
        <f t="shared" si="127"/>
        <v>-7.8765545831414097E-2</v>
      </c>
      <c r="N186" s="534">
        <f t="shared" si="127"/>
        <v>-9.4844148206234075E-2</v>
      </c>
      <c r="O186" s="534">
        <f t="shared" si="127"/>
        <v>-9.3621559633027526E-2</v>
      </c>
      <c r="P186" s="534">
        <f t="shared" si="127"/>
        <v>-9.2955276235018994E-2</v>
      </c>
      <c r="Q186" s="534">
        <f t="shared" si="127"/>
        <v>-5.2658952021843716E-2</v>
      </c>
      <c r="R186" s="534">
        <f t="shared" si="127"/>
        <v>-4.4190696563085552E-2</v>
      </c>
      <c r="S186" s="534">
        <f t="shared" si="127"/>
        <v>6.2030299415483721E-2</v>
      </c>
      <c r="T186" s="534">
        <f t="shared" si="127"/>
        <v>5.3628762146231107E-2</v>
      </c>
      <c r="U186" s="534">
        <f t="shared" si="127"/>
        <v>6.2249488817983763E-2</v>
      </c>
      <c r="V186" s="534">
        <f t="shared" si="127"/>
        <v>0.14424935636865363</v>
      </c>
      <c r="W186" s="534">
        <f t="shared" si="127"/>
        <v>0.12533034979992053</v>
      </c>
      <c r="X186" s="534">
        <f t="shared" si="127"/>
        <v>0.12811170971734237</v>
      </c>
      <c r="Y186" s="534">
        <f t="shared" si="127"/>
        <v>0.11249909535094241</v>
      </c>
      <c r="Z186" s="534">
        <f t="shared" ref="Z186:AI186" si="128">Y186+Z187</f>
        <v>0.11249909535094241</v>
      </c>
      <c r="AA186" s="534">
        <f t="shared" si="128"/>
        <v>0.11249909535094241</v>
      </c>
      <c r="AB186" s="534">
        <f t="shared" si="128"/>
        <v>0.11249909535094241</v>
      </c>
      <c r="AC186" s="534">
        <f t="shared" si="128"/>
        <v>0.11249909535094241</v>
      </c>
      <c r="AD186" s="534">
        <f t="shared" si="128"/>
        <v>0.11249909535094241</v>
      </c>
      <c r="AE186" s="534">
        <f t="shared" si="128"/>
        <v>0.11249909535094241</v>
      </c>
      <c r="AF186" s="534">
        <f t="shared" si="128"/>
        <v>0.11249909535094241</v>
      </c>
      <c r="AG186" s="534">
        <f t="shared" si="128"/>
        <v>0.11249909535094241</v>
      </c>
      <c r="AH186" s="534">
        <f t="shared" si="128"/>
        <v>0.11249909535094241</v>
      </c>
      <c r="AI186" s="534">
        <f t="shared" si="128"/>
        <v>0.11249909535094241</v>
      </c>
      <c r="AJ186" s="267"/>
      <c r="AK186" s="267"/>
      <c r="AL186" s="267"/>
      <c r="AM186" s="267"/>
      <c r="AN186" s="267"/>
      <c r="AO186" s="267"/>
      <c r="AP186" s="267"/>
      <c r="AQ186" s="267"/>
      <c r="AR186" s="267"/>
    </row>
    <row r="187" spans="1:44" ht="15.75">
      <c r="A187" s="267"/>
      <c r="B187" s="521" t="s">
        <v>225</v>
      </c>
      <c r="C187" s="552"/>
      <c r="D187" s="552"/>
      <c r="E187" s="552"/>
      <c r="F187" s="552"/>
      <c r="G187" s="552"/>
      <c r="H187" s="552"/>
      <c r="I187" s="552"/>
      <c r="J187" s="552"/>
      <c r="K187" s="552"/>
      <c r="L187" s="534">
        <f t="shared" ref="L187:Y187" si="129">L186-K186</f>
        <v>-5.6048575432041101E-2</v>
      </c>
      <c r="M187" s="534">
        <f t="shared" si="129"/>
        <v>-2.2716970399372996E-2</v>
      </c>
      <c r="N187" s="534">
        <f t="shared" si="129"/>
        <v>-1.6078602374819978E-2</v>
      </c>
      <c r="O187" s="534">
        <f t="shared" si="129"/>
        <v>1.2225885732065483E-3</v>
      </c>
      <c r="P187" s="534">
        <f t="shared" si="129"/>
        <v>6.6628339800853253E-4</v>
      </c>
      <c r="Q187" s="534">
        <f t="shared" si="129"/>
        <v>4.0296324213175277E-2</v>
      </c>
      <c r="R187" s="534">
        <f t="shared" si="129"/>
        <v>8.4682554587581643E-3</v>
      </c>
      <c r="S187" s="534">
        <f t="shared" si="129"/>
        <v>0.10622099597856927</v>
      </c>
      <c r="T187" s="534">
        <f t="shared" si="129"/>
        <v>-8.4015372692526138E-3</v>
      </c>
      <c r="U187" s="534">
        <f t="shared" si="129"/>
        <v>8.6207266717526557E-3</v>
      </c>
      <c r="V187" s="534">
        <f t="shared" si="129"/>
        <v>8.1999867550669875E-2</v>
      </c>
      <c r="W187" s="534">
        <f t="shared" si="129"/>
        <v>-1.8919006568733104E-2</v>
      </c>
      <c r="X187" s="534">
        <f t="shared" si="129"/>
        <v>2.781359917421844E-3</v>
      </c>
      <c r="Y187" s="534">
        <f t="shared" si="129"/>
        <v>-1.5612614366399963E-2</v>
      </c>
      <c r="Z187" s="563">
        <v>0</v>
      </c>
      <c r="AA187" s="563">
        <v>0</v>
      </c>
      <c r="AB187" s="563">
        <v>0</v>
      </c>
      <c r="AC187" s="563">
        <v>0</v>
      </c>
      <c r="AD187" s="563">
        <v>0</v>
      </c>
      <c r="AE187" s="563">
        <v>0</v>
      </c>
      <c r="AF187" s="563">
        <v>0</v>
      </c>
      <c r="AG187" s="563">
        <v>0</v>
      </c>
      <c r="AH187" s="563">
        <v>0</v>
      </c>
      <c r="AI187" s="563">
        <v>0</v>
      </c>
      <c r="AJ187" s="267"/>
      <c r="AK187" s="267"/>
      <c r="AL187" s="267"/>
      <c r="AM187" s="267"/>
      <c r="AN187" s="267"/>
      <c r="AO187" s="267"/>
      <c r="AP187" s="267"/>
      <c r="AQ187" s="267"/>
      <c r="AR187" s="267"/>
    </row>
    <row r="188" spans="1:44" ht="15.75">
      <c r="A188" s="267"/>
      <c r="B188" s="521"/>
      <c r="C188" s="552"/>
      <c r="D188" s="552"/>
      <c r="E188" s="552"/>
      <c r="F188" s="552"/>
      <c r="G188" s="552"/>
      <c r="H188" s="552"/>
      <c r="I188" s="552"/>
      <c r="J188" s="552"/>
      <c r="K188" s="552"/>
      <c r="L188" s="521"/>
      <c r="M188" s="521"/>
      <c r="N188" s="521"/>
      <c r="O188" s="521"/>
      <c r="P188" s="521"/>
      <c r="Q188" s="521"/>
      <c r="R188" s="521"/>
      <c r="S188" s="521"/>
      <c r="T188" s="521"/>
      <c r="U188" s="521"/>
      <c r="V188" s="521"/>
      <c r="W188" s="521"/>
      <c r="X188" s="521"/>
      <c r="Y188" s="521"/>
      <c r="Z188" s="521"/>
      <c r="AA188" s="521"/>
      <c r="AB188" s="521"/>
      <c r="AC188" s="521"/>
      <c r="AD188" s="521"/>
      <c r="AE188" s="521"/>
      <c r="AF188" s="521"/>
      <c r="AG188" s="521"/>
      <c r="AH188" s="521"/>
      <c r="AI188" s="521"/>
      <c r="AJ188" s="267"/>
      <c r="AK188" s="267"/>
      <c r="AL188" s="267"/>
      <c r="AM188" s="267"/>
      <c r="AN188" s="267"/>
      <c r="AO188" s="267"/>
      <c r="AP188" s="267"/>
      <c r="AQ188" s="267"/>
      <c r="AR188" s="267"/>
    </row>
    <row r="189" spans="1:44" ht="15.75">
      <c r="A189" s="267"/>
      <c r="B189" s="521" t="s">
        <v>229</v>
      </c>
      <c r="C189" s="552"/>
      <c r="D189" s="552"/>
      <c r="E189" s="552"/>
      <c r="F189" s="552"/>
      <c r="G189" s="552"/>
      <c r="H189" s="552"/>
      <c r="I189" s="552"/>
      <c r="J189" s="552"/>
      <c r="K189" s="552"/>
      <c r="L189" s="534">
        <f t="shared" ref="L189:AI189" si="130">L176/L191</f>
        <v>-0.31818181818181818</v>
      </c>
      <c r="M189" s="534">
        <f t="shared" si="130"/>
        <v>-8.9745281773789126E-2</v>
      </c>
      <c r="N189" s="534">
        <f t="shared" si="130"/>
        <v>4.9078938618075427E-2</v>
      </c>
      <c r="O189" s="534">
        <f t="shared" si="130"/>
        <v>0.23165853658536587</v>
      </c>
      <c r="P189" s="534">
        <f t="shared" si="130"/>
        <v>-0.14766031195840554</v>
      </c>
      <c r="Q189" s="534">
        <f t="shared" si="130"/>
        <v>1.4619883040935672E-3</v>
      </c>
      <c r="R189" s="534">
        <f t="shared" si="130"/>
        <v>3.8965356739144884E-2</v>
      </c>
      <c r="S189" s="534">
        <f t="shared" si="130"/>
        <v>0.15404987038176768</v>
      </c>
      <c r="T189" s="534">
        <f t="shared" si="130"/>
        <v>0.12951003857260451</v>
      </c>
      <c r="U189" s="534">
        <f t="shared" si="130"/>
        <v>0.16814249702705009</v>
      </c>
      <c r="V189" s="534">
        <f t="shared" si="130"/>
        <v>0.14379522118656096</v>
      </c>
      <c r="W189" s="534">
        <f t="shared" si="130"/>
        <v>0.11527269232068187</v>
      </c>
      <c r="X189" s="534">
        <f t="shared" si="130"/>
        <v>0.12019803959355585</v>
      </c>
      <c r="Y189" s="534">
        <f t="shared" si="130"/>
        <v>9.6942647113050257E-2</v>
      </c>
      <c r="Z189" s="534">
        <f t="shared" si="130"/>
        <v>9.6527890634235156E-2</v>
      </c>
      <c r="AA189" s="534">
        <f t="shared" si="130"/>
        <v>9.785418425962096E-2</v>
      </c>
      <c r="AB189" s="534">
        <f t="shared" si="130"/>
        <v>9.9152930901649228E-2</v>
      </c>
      <c r="AC189" s="534">
        <f t="shared" si="130"/>
        <v>0.10086376475336969</v>
      </c>
      <c r="AD189" s="534">
        <f t="shared" si="130"/>
        <v>0.10519573542029156</v>
      </c>
      <c r="AE189" s="534">
        <f t="shared" si="130"/>
        <v>0.1120524874914037</v>
      </c>
      <c r="AF189" s="534">
        <f t="shared" si="130"/>
        <v>0.12583687053191128</v>
      </c>
      <c r="AG189" s="534">
        <f t="shared" si="130"/>
        <v>0.14691374642793587</v>
      </c>
      <c r="AH189" s="534">
        <f t="shared" si="130"/>
        <v>0.18025539669909132</v>
      </c>
      <c r="AI189" s="534">
        <f t="shared" si="130"/>
        <v>0.23166596533544426</v>
      </c>
      <c r="AJ189" s="267"/>
      <c r="AK189" s="267"/>
      <c r="AL189" s="267"/>
      <c r="AM189" s="267"/>
      <c r="AN189" s="267"/>
      <c r="AO189" s="267"/>
      <c r="AP189" s="267"/>
      <c r="AQ189" s="267"/>
      <c r="AR189" s="267"/>
    </row>
    <row r="190" spans="1:44" ht="15.75">
      <c r="A190" s="267"/>
      <c r="B190" s="521" t="s">
        <v>225</v>
      </c>
      <c r="C190" s="552"/>
      <c r="D190" s="552"/>
      <c r="E190" s="552"/>
      <c r="F190" s="552"/>
      <c r="G190" s="552"/>
      <c r="H190" s="552"/>
      <c r="I190" s="552"/>
      <c r="J190" s="552"/>
      <c r="K190" s="552"/>
      <c r="L190" s="534">
        <f t="shared" ref="L190:AI190" si="131">L189-K189</f>
        <v>-0.31818181818181818</v>
      </c>
      <c r="M190" s="534">
        <f t="shared" si="131"/>
        <v>0.22843653640802905</v>
      </c>
      <c r="N190" s="534">
        <f t="shared" si="131"/>
        <v>0.13882422039186454</v>
      </c>
      <c r="O190" s="534">
        <f t="shared" si="131"/>
        <v>0.18257959796729045</v>
      </c>
      <c r="P190" s="534">
        <f t="shared" si="131"/>
        <v>-0.3793188485437714</v>
      </c>
      <c r="Q190" s="534">
        <f t="shared" si="131"/>
        <v>0.14912230026249912</v>
      </c>
      <c r="R190" s="534">
        <f t="shared" si="131"/>
        <v>3.7503368435051317E-2</v>
      </c>
      <c r="S190" s="534">
        <f t="shared" si="131"/>
        <v>0.11508451364262279</v>
      </c>
      <c r="T190" s="534">
        <f t="shared" si="131"/>
        <v>-2.4539831809163165E-2</v>
      </c>
      <c r="U190" s="534">
        <f t="shared" si="131"/>
        <v>3.8632458454445573E-2</v>
      </c>
      <c r="V190" s="534">
        <f t="shared" si="131"/>
        <v>-2.4347275840489124E-2</v>
      </c>
      <c r="W190" s="534">
        <f t="shared" si="131"/>
        <v>-2.8522528865879096E-2</v>
      </c>
      <c r="X190" s="534">
        <f t="shared" si="131"/>
        <v>4.9253472728739839E-3</v>
      </c>
      <c r="Y190" s="534">
        <f t="shared" si="131"/>
        <v>-2.3255392480505593E-2</v>
      </c>
      <c r="Z190" s="534">
        <f t="shared" si="131"/>
        <v>-4.1475647881510092E-4</v>
      </c>
      <c r="AA190" s="534">
        <f t="shared" si="131"/>
        <v>1.3262936253858049E-3</v>
      </c>
      <c r="AB190" s="534">
        <f t="shared" si="131"/>
        <v>1.2987466420282673E-3</v>
      </c>
      <c r="AC190" s="534">
        <f t="shared" si="131"/>
        <v>1.7108338517204669E-3</v>
      </c>
      <c r="AD190" s="534">
        <f t="shared" si="131"/>
        <v>4.3319706669218694E-3</v>
      </c>
      <c r="AE190" s="534">
        <f t="shared" si="131"/>
        <v>6.8567520711121377E-3</v>
      </c>
      <c r="AF190" s="534">
        <f t="shared" si="131"/>
        <v>1.3784383040507581E-2</v>
      </c>
      <c r="AG190" s="534">
        <f t="shared" si="131"/>
        <v>2.1076875896024583E-2</v>
      </c>
      <c r="AH190" s="534">
        <f t="shared" si="131"/>
        <v>3.334165027115546E-2</v>
      </c>
      <c r="AI190" s="534">
        <f t="shared" si="131"/>
        <v>5.1410568636352932E-2</v>
      </c>
      <c r="AJ190" s="267"/>
      <c r="AK190" s="267"/>
      <c r="AL190" s="267"/>
      <c r="AM190" s="267"/>
      <c r="AN190" s="267"/>
      <c r="AO190" s="267"/>
      <c r="AP190" s="267"/>
      <c r="AQ190" s="267"/>
      <c r="AR190" s="267"/>
    </row>
    <row r="191" spans="1:44" ht="15.75">
      <c r="A191" s="267"/>
      <c r="B191" s="521" t="s">
        <v>230</v>
      </c>
      <c r="C191" s="552"/>
      <c r="D191" s="552"/>
      <c r="E191" s="552"/>
      <c r="F191" s="552"/>
      <c r="G191" s="552"/>
      <c r="H191" s="552"/>
      <c r="I191" s="552"/>
      <c r="J191" s="552"/>
      <c r="K191" s="552"/>
      <c r="L191" s="522">
        <f t="shared" ref="L191:AI191" si="132">AVERAGE(K195:L195)</f>
        <v>-352</v>
      </c>
      <c r="M191" s="522">
        <f t="shared" si="132"/>
        <v>-378.84999999999991</v>
      </c>
      <c r="N191" s="522">
        <f t="shared" si="132"/>
        <v>-751.84999999999991</v>
      </c>
      <c r="O191" s="522">
        <f t="shared" si="132"/>
        <v>-348.5</v>
      </c>
      <c r="P191" s="522">
        <f t="shared" si="132"/>
        <v>1442.5</v>
      </c>
      <c r="Q191" s="522">
        <f t="shared" si="132"/>
        <v>1710</v>
      </c>
      <c r="R191" s="522">
        <f t="shared" si="132"/>
        <v>751.95</v>
      </c>
      <c r="S191" s="522">
        <f t="shared" si="132"/>
        <v>2680.95</v>
      </c>
      <c r="T191" s="522">
        <f t="shared" si="132"/>
        <v>4208.1679999999997</v>
      </c>
      <c r="U191" s="522">
        <f t="shared" si="132"/>
        <v>4145.2934999999998</v>
      </c>
      <c r="V191" s="522">
        <f t="shared" si="132"/>
        <v>8755.4369999999999</v>
      </c>
      <c r="W191" s="522">
        <f t="shared" si="132"/>
        <v>16536.943500000001</v>
      </c>
      <c r="X191" s="522">
        <f t="shared" si="132"/>
        <v>21096.084499999997</v>
      </c>
      <c r="Y191" s="522">
        <f t="shared" si="132"/>
        <v>21708.959500000001</v>
      </c>
      <c r="Z191" s="522">
        <f t="shared" si="132"/>
        <v>21235.275992788025</v>
      </c>
      <c r="AA191" s="522">
        <f t="shared" si="132"/>
        <v>20654.42047123225</v>
      </c>
      <c r="AB191" s="522">
        <f t="shared" si="132"/>
        <v>19723.741107187809</v>
      </c>
      <c r="AC191" s="522">
        <f t="shared" si="132"/>
        <v>18404.582110726733</v>
      </c>
      <c r="AD191" s="522">
        <f t="shared" si="132"/>
        <v>16709.708245237751</v>
      </c>
      <c r="AE191" s="522">
        <f t="shared" si="132"/>
        <v>14767.208796751525</v>
      </c>
      <c r="AF191" s="522">
        <f t="shared" si="132"/>
        <v>12699.24704754342</v>
      </c>
      <c r="AG191" s="522">
        <f t="shared" si="132"/>
        <v>10547.847707474688</v>
      </c>
      <c r="AH191" s="522">
        <f t="shared" si="132"/>
        <v>8385.4959292780459</v>
      </c>
      <c r="AI191" s="522">
        <f t="shared" si="132"/>
        <v>6130.9049104153964</v>
      </c>
      <c r="AJ191" s="267"/>
      <c r="AK191" s="267"/>
      <c r="AL191" s="267"/>
      <c r="AM191" s="267"/>
      <c r="AN191" s="267"/>
      <c r="AO191" s="267"/>
      <c r="AP191" s="267"/>
      <c r="AQ191" s="267"/>
      <c r="AR191" s="267"/>
    </row>
    <row r="192" spans="1:44" ht="15.75">
      <c r="A192" s="267"/>
      <c r="B192" s="521"/>
      <c r="C192" s="552"/>
      <c r="D192" s="552"/>
      <c r="E192" s="552"/>
      <c r="F192" s="552"/>
      <c r="G192" s="552"/>
      <c r="H192" s="552"/>
      <c r="I192" s="552"/>
      <c r="J192" s="552"/>
      <c r="K192" s="552"/>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267"/>
      <c r="AK192" s="267"/>
      <c r="AL192" s="267"/>
      <c r="AM192" s="267"/>
      <c r="AN192" s="267"/>
      <c r="AO192" s="267"/>
      <c r="AP192" s="267"/>
      <c r="AQ192" s="267"/>
      <c r="AR192" s="267"/>
    </row>
    <row r="193" spans="1:44" ht="15.75">
      <c r="A193" s="267"/>
      <c r="B193" s="521" t="s">
        <v>231</v>
      </c>
      <c r="C193" s="552"/>
      <c r="D193" s="552"/>
      <c r="E193" s="552"/>
      <c r="F193" s="552"/>
      <c r="G193" s="552"/>
      <c r="H193" s="552"/>
      <c r="I193" s="552"/>
      <c r="J193" s="552"/>
      <c r="K193" s="552"/>
      <c r="L193" s="522">
        <f t="shared" ref="L193:AI193" si="133">L200+L199</f>
        <v>2141</v>
      </c>
      <c r="M193" s="522">
        <f t="shared" si="133"/>
        <v>2201</v>
      </c>
      <c r="N193" s="522">
        <f t="shared" si="133"/>
        <v>2900</v>
      </c>
      <c r="O193" s="522">
        <f t="shared" si="133"/>
        <v>3204</v>
      </c>
      <c r="P193" s="522">
        <f t="shared" si="133"/>
        <v>3638</v>
      </c>
      <c r="Q193" s="522">
        <f t="shared" si="133"/>
        <v>4053</v>
      </c>
      <c r="R193" s="522">
        <f t="shared" si="133"/>
        <v>3898.9</v>
      </c>
      <c r="S193" s="522">
        <f t="shared" si="133"/>
        <v>6999</v>
      </c>
      <c r="T193" s="522">
        <f t="shared" si="133"/>
        <v>7881.3360000000002</v>
      </c>
      <c r="U193" s="522">
        <f t="shared" si="133"/>
        <v>8371.6810000000005</v>
      </c>
      <c r="V193" s="522">
        <f t="shared" si="133"/>
        <v>14226.659</v>
      </c>
      <c r="W193" s="522">
        <f t="shared" si="133"/>
        <v>21770.032999999999</v>
      </c>
      <c r="X193" s="522">
        <f t="shared" si="133"/>
        <v>26188.409</v>
      </c>
      <c r="Y193" s="522">
        <f t="shared" si="133"/>
        <v>26401.045000000002</v>
      </c>
      <c r="Z193" s="522">
        <f t="shared" si="133"/>
        <v>26401.045000000002</v>
      </c>
      <c r="AA193" s="522">
        <f t="shared" si="133"/>
        <v>26401.045000000002</v>
      </c>
      <c r="AB193" s="522">
        <f t="shared" si="133"/>
        <v>26401.045000000002</v>
      </c>
      <c r="AC193" s="522">
        <f t="shared" si="133"/>
        <v>26401.045000000002</v>
      </c>
      <c r="AD193" s="522">
        <f t="shared" si="133"/>
        <v>26401.045000000002</v>
      </c>
      <c r="AE193" s="522">
        <f t="shared" si="133"/>
        <v>26401.045000000002</v>
      </c>
      <c r="AF193" s="522">
        <f t="shared" si="133"/>
        <v>26401.045000000002</v>
      </c>
      <c r="AG193" s="522">
        <f t="shared" si="133"/>
        <v>26401.045000000002</v>
      </c>
      <c r="AH193" s="522">
        <f t="shared" si="133"/>
        <v>26401.045000000002</v>
      </c>
      <c r="AI193" s="522">
        <f t="shared" si="133"/>
        <v>26401.045000000002</v>
      </c>
      <c r="AJ193" s="267"/>
      <c r="AK193" s="267"/>
      <c r="AL193" s="267"/>
      <c r="AM193" s="267"/>
      <c r="AN193" s="267"/>
      <c r="AO193" s="267"/>
      <c r="AP193" s="267"/>
      <c r="AQ193" s="267"/>
      <c r="AR193" s="267"/>
    </row>
    <row r="194" spans="1:44" ht="15.75">
      <c r="A194" s="267"/>
      <c r="B194" s="521" t="s">
        <v>232</v>
      </c>
      <c r="C194" s="552"/>
      <c r="D194" s="552"/>
      <c r="E194" s="552"/>
      <c r="F194" s="552"/>
      <c r="G194" s="552"/>
      <c r="H194" s="552"/>
      <c r="I194" s="552"/>
      <c r="J194" s="552"/>
      <c r="K194" s="552"/>
      <c r="L194" s="862">
        <f t="shared" ref="L194:Y194" si="134">L203</f>
        <v>2493</v>
      </c>
      <c r="M194" s="862">
        <f t="shared" si="134"/>
        <v>2606.6999999999998</v>
      </c>
      <c r="N194" s="862">
        <f t="shared" si="134"/>
        <v>3998</v>
      </c>
      <c r="O194" s="862">
        <f t="shared" si="134"/>
        <v>2803</v>
      </c>
      <c r="P194" s="862">
        <f t="shared" si="134"/>
        <v>1154</v>
      </c>
      <c r="Q194" s="862">
        <f t="shared" si="134"/>
        <v>3117</v>
      </c>
      <c r="R194" s="862">
        <f t="shared" si="134"/>
        <v>3331</v>
      </c>
      <c r="S194" s="862">
        <f t="shared" si="134"/>
        <v>2205</v>
      </c>
      <c r="T194" s="862">
        <f t="shared" si="134"/>
        <v>4259</v>
      </c>
      <c r="U194" s="862">
        <f t="shared" si="134"/>
        <v>3703.43</v>
      </c>
      <c r="V194" s="862">
        <f t="shared" si="134"/>
        <v>1384.0360000000001</v>
      </c>
      <c r="W194" s="862">
        <f t="shared" si="134"/>
        <v>1538.769</v>
      </c>
      <c r="X194" s="862">
        <f t="shared" si="134"/>
        <v>4227.5039999999999</v>
      </c>
      <c r="Y194" s="862">
        <f t="shared" si="134"/>
        <v>4944.0309999999999</v>
      </c>
      <c r="Z194" s="862">
        <f t="shared" ref="Z194:AI194" si="135">Z193-Z195</f>
        <v>5387.5070144239544</v>
      </c>
      <c r="AA194" s="862">
        <f t="shared" si="135"/>
        <v>6105.7420431115497</v>
      </c>
      <c r="AB194" s="862">
        <f t="shared" si="135"/>
        <v>7248.8657425128331</v>
      </c>
      <c r="AC194" s="862">
        <f t="shared" si="135"/>
        <v>8744.0600360337085</v>
      </c>
      <c r="AD194" s="862">
        <f t="shared" si="135"/>
        <v>10638.61347349079</v>
      </c>
      <c r="AE194" s="862">
        <f t="shared" si="135"/>
        <v>12629.058933006163</v>
      </c>
      <c r="AF194" s="862">
        <f t="shared" si="135"/>
        <v>14774.536971907002</v>
      </c>
      <c r="AG194" s="862">
        <f t="shared" si="135"/>
        <v>16931.857613143628</v>
      </c>
      <c r="AH194" s="862">
        <f t="shared" si="135"/>
        <v>19099.240528300284</v>
      </c>
      <c r="AI194" s="862">
        <f t="shared" si="135"/>
        <v>21441.039650868926</v>
      </c>
      <c r="AJ194" s="267"/>
      <c r="AK194" s="267"/>
      <c r="AL194" s="267"/>
      <c r="AM194" s="267"/>
      <c r="AN194" s="267"/>
      <c r="AO194" s="267"/>
      <c r="AP194" s="267"/>
      <c r="AQ194" s="267"/>
      <c r="AR194" s="267"/>
    </row>
    <row r="195" spans="1:44" ht="15.75">
      <c r="A195" s="267"/>
      <c r="B195" s="520" t="s">
        <v>24</v>
      </c>
      <c r="C195" s="552"/>
      <c r="D195" s="552"/>
      <c r="E195" s="552"/>
      <c r="F195" s="552"/>
      <c r="G195" s="552"/>
      <c r="H195" s="552"/>
      <c r="I195" s="552"/>
      <c r="J195" s="552"/>
      <c r="K195" s="552"/>
      <c r="L195" s="523">
        <f t="shared" ref="L195:Y195" si="136">L193-L194</f>
        <v>-352</v>
      </c>
      <c r="M195" s="523">
        <f t="shared" si="136"/>
        <v>-405.69999999999982</v>
      </c>
      <c r="N195" s="523">
        <f t="shared" si="136"/>
        <v>-1098</v>
      </c>
      <c r="O195" s="523">
        <f t="shared" si="136"/>
        <v>401</v>
      </c>
      <c r="P195" s="523">
        <f t="shared" si="136"/>
        <v>2484</v>
      </c>
      <c r="Q195" s="523">
        <f t="shared" si="136"/>
        <v>936</v>
      </c>
      <c r="R195" s="523">
        <f t="shared" si="136"/>
        <v>567.90000000000009</v>
      </c>
      <c r="S195" s="523">
        <f t="shared" si="136"/>
        <v>4794</v>
      </c>
      <c r="T195" s="523">
        <f t="shared" si="136"/>
        <v>3622.3360000000002</v>
      </c>
      <c r="U195" s="523">
        <f t="shared" si="136"/>
        <v>4668.2510000000002</v>
      </c>
      <c r="V195" s="523">
        <f t="shared" si="136"/>
        <v>12842.623</v>
      </c>
      <c r="W195" s="523">
        <f t="shared" si="136"/>
        <v>20231.263999999999</v>
      </c>
      <c r="X195" s="523">
        <f t="shared" si="136"/>
        <v>21960.904999999999</v>
      </c>
      <c r="Y195" s="523">
        <f t="shared" si="136"/>
        <v>21457.014000000003</v>
      </c>
      <c r="Z195" s="523">
        <f t="shared" ref="Z195:AI195" si="137">Z104</f>
        <v>21013.537985576048</v>
      </c>
      <c r="AA195" s="523">
        <f t="shared" si="137"/>
        <v>20295.302956888452</v>
      </c>
      <c r="AB195" s="523">
        <f t="shared" si="137"/>
        <v>19152.179257487169</v>
      </c>
      <c r="AC195" s="523">
        <f t="shared" si="137"/>
        <v>17656.984963966293</v>
      </c>
      <c r="AD195" s="523">
        <f t="shared" si="137"/>
        <v>15762.431526509212</v>
      </c>
      <c r="AE195" s="523">
        <f t="shared" si="137"/>
        <v>13771.986066993839</v>
      </c>
      <c r="AF195" s="523">
        <f t="shared" si="137"/>
        <v>11626.508028093</v>
      </c>
      <c r="AG195" s="523">
        <f t="shared" si="137"/>
        <v>9469.1873868563744</v>
      </c>
      <c r="AH195" s="523">
        <f t="shared" si="137"/>
        <v>7301.8044716997174</v>
      </c>
      <c r="AI195" s="523">
        <f t="shared" si="137"/>
        <v>4960.0053491310746</v>
      </c>
      <c r="AJ195" s="267"/>
      <c r="AK195" s="267"/>
      <c r="AL195" s="267"/>
      <c r="AM195" s="267"/>
      <c r="AN195" s="267"/>
      <c r="AO195" s="267"/>
      <c r="AP195" s="267"/>
      <c r="AQ195" s="267"/>
      <c r="AR195" s="267"/>
    </row>
    <row r="196" spans="1:44" ht="15.75">
      <c r="A196" s="267"/>
      <c r="B196" s="521" t="s">
        <v>233</v>
      </c>
      <c r="C196" s="552"/>
      <c r="D196" s="552"/>
      <c r="E196" s="552"/>
      <c r="F196" s="552"/>
      <c r="G196" s="552"/>
      <c r="H196" s="552"/>
      <c r="I196" s="552"/>
      <c r="J196" s="552"/>
      <c r="K196" s="552"/>
      <c r="L196" s="527">
        <f t="shared" ref="L196:AI196" si="138">L194/L8</f>
        <v>0.27770970257324273</v>
      </c>
      <c r="M196" s="527">
        <f t="shared" si="138"/>
        <v>0.2589094159713945</v>
      </c>
      <c r="N196" s="527">
        <f t="shared" si="138"/>
        <v>0.3484095860566449</v>
      </c>
      <c r="O196" s="527">
        <f t="shared" si="138"/>
        <v>0.19255341073023288</v>
      </c>
      <c r="P196" s="527">
        <f t="shared" si="138"/>
        <v>6.8054490770773135E-2</v>
      </c>
      <c r="Q196" s="527">
        <f t="shared" si="138"/>
        <v>0.18030890264360502</v>
      </c>
      <c r="R196" s="527">
        <f t="shared" si="138"/>
        <v>0.17138300061741099</v>
      </c>
      <c r="S196" s="527">
        <f t="shared" si="138"/>
        <v>0.10206443251249768</v>
      </c>
      <c r="T196" s="527">
        <f t="shared" si="138"/>
        <v>0.19027833623732296</v>
      </c>
      <c r="U196" s="527">
        <f t="shared" si="138"/>
        <v>0.15033815052366648</v>
      </c>
      <c r="V196" s="527">
        <f t="shared" si="138"/>
        <v>5.0966956852842818E-2</v>
      </c>
      <c r="W196" s="527">
        <f t="shared" si="138"/>
        <v>5.1514602682107523E-2</v>
      </c>
      <c r="X196" s="527">
        <f t="shared" si="138"/>
        <v>0.12872700485687824</v>
      </c>
      <c r="Y196" s="527">
        <f t="shared" si="138"/>
        <v>0.13954477753275429</v>
      </c>
      <c r="Z196" s="527">
        <f t="shared" si="138"/>
        <v>0.13999222039815859</v>
      </c>
      <c r="AA196" s="527">
        <f t="shared" si="138"/>
        <v>0.14867168625443405</v>
      </c>
      <c r="AB196" s="527">
        <f t="shared" si="138"/>
        <v>0.16673564741185321</v>
      </c>
      <c r="AC196" s="527">
        <f t="shared" si="138"/>
        <v>0.19155003501223539</v>
      </c>
      <c r="AD196" s="527">
        <f t="shared" si="138"/>
        <v>0.22425360740881109</v>
      </c>
      <c r="AE196" s="527">
        <f t="shared" si="138"/>
        <v>0.26101266377005833</v>
      </c>
      <c r="AF196" s="527">
        <f t="shared" si="138"/>
        <v>0.29934976595664775</v>
      </c>
      <c r="AG196" s="527">
        <f t="shared" si="138"/>
        <v>0.3362643936778929</v>
      </c>
      <c r="AH196" s="527">
        <f t="shared" si="138"/>
        <v>0.37173963529102039</v>
      </c>
      <c r="AI196" s="527">
        <f t="shared" si="138"/>
        <v>0.40892987324777641</v>
      </c>
      <c r="AJ196" s="267"/>
      <c r="AK196" s="267"/>
      <c r="AL196" s="267"/>
      <c r="AM196" s="267"/>
      <c r="AN196" s="267"/>
      <c r="AO196" s="267"/>
      <c r="AP196" s="267"/>
      <c r="AQ196" s="267"/>
      <c r="AR196" s="267"/>
    </row>
    <row r="197" spans="1:44" ht="15.75">
      <c r="A197" s="267"/>
      <c r="B197" s="520" t="s">
        <v>182</v>
      </c>
      <c r="C197" s="577"/>
      <c r="D197" s="577"/>
      <c r="E197" s="577"/>
      <c r="F197" s="577"/>
      <c r="G197" s="577"/>
      <c r="H197" s="577"/>
      <c r="I197" s="577"/>
      <c r="J197" s="577"/>
      <c r="K197" s="577"/>
      <c r="L197" s="520"/>
      <c r="M197" s="520"/>
      <c r="N197" s="578">
        <f t="shared" ref="N197:AI197" si="139">N195/N13</f>
        <v>-0.22653187538683722</v>
      </c>
      <c r="O197" s="578">
        <f t="shared" si="139"/>
        <v>6.8629128872154721E-2</v>
      </c>
      <c r="P197" s="578">
        <f t="shared" si="139"/>
        <v>0.35921908893709326</v>
      </c>
      <c r="Q197" s="578">
        <f t="shared" si="139"/>
        <v>0.12132209980557355</v>
      </c>
      <c r="R197" s="578">
        <f t="shared" si="139"/>
        <v>6.0757462287364943E-2</v>
      </c>
      <c r="S197" s="578">
        <f t="shared" si="139"/>
        <v>0.47180395630351346</v>
      </c>
      <c r="T197" s="578">
        <f t="shared" si="139"/>
        <v>0.32819932952795144</v>
      </c>
      <c r="U197" s="578">
        <f t="shared" si="139"/>
        <v>0.38529638494552659</v>
      </c>
      <c r="V197" s="578">
        <f t="shared" si="139"/>
        <v>1.0057643430371856</v>
      </c>
      <c r="W197" s="578">
        <f t="shared" si="139"/>
        <v>1.5188644618657081</v>
      </c>
      <c r="X197" s="578">
        <f t="shared" si="139"/>
        <v>1.5011022325378116</v>
      </c>
      <c r="Y197" s="578">
        <f t="shared" si="139"/>
        <v>1.3464462989976052</v>
      </c>
      <c r="Z197" s="578">
        <f t="shared" si="139"/>
        <v>1.2133964468975067</v>
      </c>
      <c r="AA197" s="578">
        <f t="shared" si="139"/>
        <v>1.074304814521611</v>
      </c>
      <c r="AB197" s="578">
        <f t="shared" si="139"/>
        <v>0.93730027397685278</v>
      </c>
      <c r="AC197" s="578">
        <f t="shared" si="139"/>
        <v>0.81431426449749766</v>
      </c>
      <c r="AD197" s="578">
        <f t="shared" si="139"/>
        <v>0.69220763200682534</v>
      </c>
      <c r="AE197" s="578">
        <f t="shared" si="139"/>
        <v>0.58687475061863714</v>
      </c>
      <c r="AF197" s="578">
        <f t="shared" si="139"/>
        <v>0.48074885613639956</v>
      </c>
      <c r="AG197" s="578">
        <f t="shared" si="139"/>
        <v>0.3799126788886707</v>
      </c>
      <c r="AH197" s="578">
        <f t="shared" si="139"/>
        <v>0.28423854103035967</v>
      </c>
      <c r="AI197" s="578">
        <f t="shared" si="139"/>
        <v>0.18732414743549339</v>
      </c>
      <c r="AJ197" s="267"/>
      <c r="AK197" s="267"/>
      <c r="AL197" s="267"/>
      <c r="AM197" s="267"/>
      <c r="AN197" s="267"/>
      <c r="AO197" s="267"/>
      <c r="AP197" s="267"/>
      <c r="AQ197" s="267"/>
      <c r="AR197" s="267"/>
    </row>
    <row r="198" spans="1:44" ht="15.75">
      <c r="A198" s="267"/>
      <c r="B198" s="521"/>
      <c r="C198" s="552"/>
      <c r="D198" s="552"/>
      <c r="E198" s="552"/>
      <c r="F198" s="552"/>
      <c r="G198" s="552"/>
      <c r="H198" s="552"/>
      <c r="I198" s="552"/>
      <c r="J198" s="552"/>
      <c r="K198" s="552"/>
      <c r="L198" s="521"/>
      <c r="M198" s="521"/>
      <c r="N198" s="564"/>
      <c r="O198" s="564"/>
      <c r="P198" s="564"/>
      <c r="Q198" s="564"/>
      <c r="R198" s="564"/>
      <c r="S198" s="564"/>
      <c r="T198" s="564"/>
      <c r="U198" s="564"/>
      <c r="V198" s="564"/>
      <c r="W198" s="564"/>
      <c r="X198" s="831"/>
      <c r="Y198" s="564"/>
      <c r="Z198" s="564"/>
      <c r="AA198" s="564"/>
      <c r="AB198" s="564"/>
      <c r="AC198" s="564"/>
      <c r="AD198" s="564"/>
      <c r="AE198" s="564"/>
      <c r="AF198" s="564"/>
      <c r="AG198" s="564"/>
      <c r="AH198" s="564"/>
      <c r="AI198" s="564"/>
      <c r="AJ198" s="267"/>
      <c r="AK198" s="267"/>
      <c r="AL198" s="267"/>
      <c r="AM198" s="267"/>
      <c r="AN198" s="267"/>
      <c r="AO198" s="267"/>
      <c r="AP198" s="267"/>
      <c r="AQ198" s="267"/>
      <c r="AR198" s="267"/>
    </row>
    <row r="199" spans="1:44" ht="15.75">
      <c r="A199" s="267"/>
      <c r="B199" s="559" t="s">
        <v>234</v>
      </c>
      <c r="C199" s="552"/>
      <c r="D199" s="552"/>
      <c r="E199" s="552"/>
      <c r="F199" s="552"/>
      <c r="G199" s="552"/>
      <c r="H199" s="552"/>
      <c r="I199" s="552"/>
      <c r="J199" s="552"/>
      <c r="K199" s="552"/>
      <c r="L199" s="553">
        <f>2081+31</f>
        <v>2112</v>
      </c>
      <c r="M199" s="553">
        <f>57+29</f>
        <v>86</v>
      </c>
      <c r="N199" s="553">
        <v>685</v>
      </c>
      <c r="O199" s="553">
        <v>2188</v>
      </c>
      <c r="P199" s="553">
        <v>1573</v>
      </c>
      <c r="Q199" s="553">
        <v>132</v>
      </c>
      <c r="R199" s="553">
        <v>3778.6</v>
      </c>
      <c r="S199" s="553">
        <f>83+168</f>
        <v>251</v>
      </c>
      <c r="T199" s="553">
        <f>1166+124.836</f>
        <v>1290.836</v>
      </c>
      <c r="U199" s="553">
        <f>4448+111.681</f>
        <v>4559.6809999999996</v>
      </c>
      <c r="V199" s="553">
        <f>3286.113+128.615</f>
        <v>3414.7280000000001</v>
      </c>
      <c r="W199" s="553">
        <f>5538.405+195.733</f>
        <v>5734.1379999999999</v>
      </c>
      <c r="X199" s="561">
        <f>1452.171+225.294</f>
        <v>1677.4650000000001</v>
      </c>
      <c r="Y199" s="553">
        <f>1946.071+205.933</f>
        <v>2152.0039999999999</v>
      </c>
      <c r="Z199" s="553">
        <f t="shared" ref="Z199:AI199" si="140">Y199</f>
        <v>2152.0039999999999</v>
      </c>
      <c r="AA199" s="553">
        <f t="shared" si="140"/>
        <v>2152.0039999999999</v>
      </c>
      <c r="AB199" s="553">
        <f t="shared" si="140"/>
        <v>2152.0039999999999</v>
      </c>
      <c r="AC199" s="553">
        <f t="shared" si="140"/>
        <v>2152.0039999999999</v>
      </c>
      <c r="AD199" s="553">
        <f t="shared" si="140"/>
        <v>2152.0039999999999</v>
      </c>
      <c r="AE199" s="553">
        <f t="shared" si="140"/>
        <v>2152.0039999999999</v>
      </c>
      <c r="AF199" s="553">
        <f t="shared" si="140"/>
        <v>2152.0039999999999</v>
      </c>
      <c r="AG199" s="553">
        <f t="shared" si="140"/>
        <v>2152.0039999999999</v>
      </c>
      <c r="AH199" s="553">
        <f t="shared" si="140"/>
        <v>2152.0039999999999</v>
      </c>
      <c r="AI199" s="553">
        <f t="shared" si="140"/>
        <v>2152.0039999999999</v>
      </c>
      <c r="AJ199" s="267"/>
      <c r="AK199" s="267"/>
      <c r="AL199" s="267"/>
      <c r="AM199" s="267"/>
      <c r="AN199" s="267"/>
      <c r="AO199" s="267"/>
      <c r="AP199" s="267"/>
      <c r="AQ199" s="267"/>
      <c r="AR199" s="267"/>
    </row>
    <row r="200" spans="1:44" ht="15.75">
      <c r="A200" s="267"/>
      <c r="B200" s="559" t="s">
        <v>235</v>
      </c>
      <c r="C200" s="552"/>
      <c r="D200" s="552"/>
      <c r="E200" s="552"/>
      <c r="F200" s="552"/>
      <c r="G200" s="552"/>
      <c r="H200" s="552"/>
      <c r="I200" s="552"/>
      <c r="J200" s="552"/>
      <c r="K200" s="552"/>
      <c r="L200" s="553">
        <v>29</v>
      </c>
      <c r="M200" s="553">
        <v>2115</v>
      </c>
      <c r="N200" s="553">
        <f>2131+84</f>
        <v>2215</v>
      </c>
      <c r="O200" s="553">
        <v>1016</v>
      </c>
      <c r="P200" s="553">
        <v>2065</v>
      </c>
      <c r="Q200" s="553">
        <v>3921</v>
      </c>
      <c r="R200" s="553">
        <v>120.3</v>
      </c>
      <c r="S200" s="553">
        <f>6427+321</f>
        <v>6748</v>
      </c>
      <c r="T200" s="553">
        <f>6359+231.5</f>
        <v>6590.5</v>
      </c>
      <c r="U200" s="553">
        <f>3458+354</f>
        <v>3812</v>
      </c>
      <c r="V200" s="553">
        <f>3448.524+363.407+7000</f>
        <v>10811.931</v>
      </c>
      <c r="W200" s="553">
        <f>8331.859+7000+704.036</f>
        <v>16035.895</v>
      </c>
      <c r="X200" s="561">
        <f>12831.68+10944.861+734.403</f>
        <v>24510.944</v>
      </c>
      <c r="Y200" s="553">
        <f>12800+10944.861+504.18</f>
        <v>24249.041000000001</v>
      </c>
      <c r="Z200" s="553">
        <f t="shared" ref="Z200:AI200" si="141">Y200</f>
        <v>24249.041000000001</v>
      </c>
      <c r="AA200" s="553">
        <f t="shared" si="141"/>
        <v>24249.041000000001</v>
      </c>
      <c r="AB200" s="553">
        <f t="shared" si="141"/>
        <v>24249.041000000001</v>
      </c>
      <c r="AC200" s="553">
        <f t="shared" si="141"/>
        <v>24249.041000000001</v>
      </c>
      <c r="AD200" s="553">
        <f t="shared" si="141"/>
        <v>24249.041000000001</v>
      </c>
      <c r="AE200" s="553">
        <f t="shared" si="141"/>
        <v>24249.041000000001</v>
      </c>
      <c r="AF200" s="553">
        <f t="shared" si="141"/>
        <v>24249.041000000001</v>
      </c>
      <c r="AG200" s="553">
        <f t="shared" si="141"/>
        <v>24249.041000000001</v>
      </c>
      <c r="AH200" s="553">
        <f t="shared" si="141"/>
        <v>24249.041000000001</v>
      </c>
      <c r="AI200" s="553">
        <f t="shared" si="141"/>
        <v>24249.041000000001</v>
      </c>
      <c r="AJ200" s="267"/>
      <c r="AK200" s="267"/>
      <c r="AL200" s="267"/>
      <c r="AM200" s="267"/>
      <c r="AN200" s="267"/>
      <c r="AO200" s="267"/>
      <c r="AP200" s="267"/>
      <c r="AQ200" s="267"/>
      <c r="AR200" s="267"/>
    </row>
    <row r="201" spans="1:44" ht="15.75">
      <c r="A201" s="267"/>
      <c r="B201" s="559" t="s">
        <v>236</v>
      </c>
      <c r="C201" s="552"/>
      <c r="D201" s="552"/>
      <c r="E201" s="552"/>
      <c r="F201" s="552"/>
      <c r="G201" s="552"/>
      <c r="H201" s="552"/>
      <c r="I201" s="552"/>
      <c r="J201" s="552"/>
      <c r="K201" s="552"/>
      <c r="L201" s="552"/>
      <c r="M201" s="552"/>
      <c r="N201" s="552"/>
      <c r="O201" s="552"/>
      <c r="P201" s="552"/>
      <c r="Q201" s="552"/>
      <c r="R201" s="552"/>
      <c r="S201" s="552"/>
      <c r="T201" s="552"/>
      <c r="U201" s="552"/>
      <c r="V201" s="552"/>
      <c r="W201" s="552"/>
      <c r="X201" s="552"/>
      <c r="Y201" s="552"/>
      <c r="Z201" s="552"/>
      <c r="AA201" s="552"/>
      <c r="AB201" s="552"/>
      <c r="AC201" s="552"/>
      <c r="AD201" s="552"/>
      <c r="AE201" s="552"/>
      <c r="AF201" s="552"/>
      <c r="AG201" s="552"/>
      <c r="AH201" s="552"/>
      <c r="AI201" s="552"/>
      <c r="AJ201" s="267"/>
      <c r="AK201" s="267"/>
      <c r="AL201" s="267"/>
      <c r="AM201" s="267"/>
      <c r="AN201" s="267"/>
      <c r="AO201" s="267"/>
      <c r="AP201" s="267"/>
      <c r="AQ201" s="267"/>
      <c r="AR201" s="267"/>
    </row>
    <row r="202" spans="1:44" ht="15.75">
      <c r="A202" s="267"/>
      <c r="B202" s="521"/>
      <c r="C202" s="552"/>
      <c r="D202" s="552"/>
      <c r="E202" s="552"/>
      <c r="F202" s="552"/>
      <c r="G202" s="552"/>
      <c r="H202" s="552"/>
      <c r="I202" s="552"/>
      <c r="J202" s="552"/>
      <c r="K202" s="552"/>
      <c r="L202" s="521"/>
      <c r="M202" s="521"/>
      <c r="N202" s="521"/>
      <c r="O202" s="521"/>
      <c r="P202" s="521"/>
      <c r="Q202" s="521"/>
      <c r="R202" s="521"/>
      <c r="S202" s="521"/>
      <c r="T202" s="521"/>
      <c r="U202" s="521"/>
      <c r="V202" s="521"/>
      <c r="W202" s="521"/>
      <c r="X202" s="521"/>
      <c r="Y202" s="521"/>
      <c r="Z202" s="521"/>
      <c r="AA202" s="521"/>
      <c r="AB202" s="521"/>
      <c r="AC202" s="521"/>
      <c r="AD202" s="521"/>
      <c r="AE202" s="521"/>
      <c r="AF202" s="521"/>
      <c r="AG202" s="521"/>
      <c r="AH202" s="521"/>
      <c r="AI202" s="521"/>
      <c r="AJ202" s="267"/>
      <c r="AK202" s="267"/>
      <c r="AL202" s="267"/>
      <c r="AM202" s="267"/>
      <c r="AN202" s="267"/>
      <c r="AO202" s="267"/>
      <c r="AP202" s="267"/>
      <c r="AQ202" s="267"/>
      <c r="AR202" s="267"/>
    </row>
    <row r="203" spans="1:44" ht="15.75">
      <c r="A203" s="267"/>
      <c r="B203" s="521" t="s">
        <v>237</v>
      </c>
      <c r="C203" s="552"/>
      <c r="D203" s="552"/>
      <c r="E203" s="552"/>
      <c r="F203" s="552"/>
      <c r="G203" s="552"/>
      <c r="H203" s="552"/>
      <c r="I203" s="552"/>
      <c r="J203" s="552"/>
      <c r="K203" s="552"/>
      <c r="L203" s="565">
        <v>2493</v>
      </c>
      <c r="M203" s="565">
        <f>2346+260.7</f>
        <v>2606.6999999999998</v>
      </c>
      <c r="N203" s="565">
        <v>3998</v>
      </c>
      <c r="O203" s="565">
        <v>2803</v>
      </c>
      <c r="P203" s="565">
        <v>1154</v>
      </c>
      <c r="Q203" s="565">
        <v>3117</v>
      </c>
      <c r="R203" s="565">
        <v>3331</v>
      </c>
      <c r="S203" s="565">
        <v>2205</v>
      </c>
      <c r="T203" s="565">
        <v>4259</v>
      </c>
      <c r="U203" s="565">
        <f>3703.43</f>
        <v>3703.43</v>
      </c>
      <c r="V203" s="565">
        <v>1384.0360000000001</v>
      </c>
      <c r="W203" s="565">
        <v>1538.769</v>
      </c>
      <c r="X203" s="565">
        <v>4227.5039999999999</v>
      </c>
      <c r="Y203" s="565">
        <v>4944.0309999999999</v>
      </c>
      <c r="Z203" s="522">
        <f t="shared" ref="Z203:AI203" si="142">Z194</f>
        <v>5387.5070144239544</v>
      </c>
      <c r="AA203" s="522">
        <f t="shared" si="142"/>
        <v>6105.7420431115497</v>
      </c>
      <c r="AB203" s="522">
        <f t="shared" si="142"/>
        <v>7248.8657425128331</v>
      </c>
      <c r="AC203" s="522">
        <f t="shared" si="142"/>
        <v>8744.0600360337085</v>
      </c>
      <c r="AD203" s="522">
        <f t="shared" si="142"/>
        <v>10638.61347349079</v>
      </c>
      <c r="AE203" s="522">
        <f t="shared" si="142"/>
        <v>12629.058933006163</v>
      </c>
      <c r="AF203" s="522">
        <f t="shared" si="142"/>
        <v>14774.536971907002</v>
      </c>
      <c r="AG203" s="522">
        <f t="shared" si="142"/>
        <v>16931.857613143628</v>
      </c>
      <c r="AH203" s="522">
        <f t="shared" si="142"/>
        <v>19099.240528300284</v>
      </c>
      <c r="AI203" s="522">
        <f t="shared" si="142"/>
        <v>21441.039650868926</v>
      </c>
      <c r="AJ203" s="267"/>
      <c r="AK203" s="267"/>
      <c r="AL203" s="267"/>
      <c r="AM203" s="267"/>
      <c r="AN203" s="267"/>
      <c r="AO203" s="267"/>
      <c r="AP203" s="267"/>
      <c r="AQ203" s="267"/>
      <c r="AR203" s="267"/>
    </row>
    <row r="204" spans="1:44" ht="15.75">
      <c r="A204" s="267"/>
      <c r="B204" s="521"/>
      <c r="C204" s="552"/>
      <c r="D204" s="552"/>
      <c r="E204" s="552"/>
      <c r="F204" s="552"/>
      <c r="G204" s="552"/>
      <c r="H204" s="552"/>
      <c r="I204" s="552"/>
      <c r="J204" s="552"/>
      <c r="K204" s="552"/>
      <c r="L204" s="521"/>
      <c r="M204" s="521"/>
      <c r="N204" s="521"/>
      <c r="O204" s="521"/>
      <c r="P204" s="521"/>
      <c r="Q204" s="521"/>
      <c r="R204" s="521"/>
      <c r="S204" s="521"/>
      <c r="T204" s="521"/>
      <c r="U204" s="521"/>
      <c r="V204" s="521"/>
      <c r="W204" s="521"/>
      <c r="X204" s="521"/>
      <c r="Y204" s="521"/>
      <c r="Z204" s="521"/>
      <c r="AA204" s="521"/>
      <c r="AB204" s="521"/>
      <c r="AC204" s="521"/>
      <c r="AD204" s="521"/>
      <c r="AE204" s="521"/>
      <c r="AF204" s="521"/>
      <c r="AG204" s="521"/>
      <c r="AH204" s="521"/>
      <c r="AI204" s="521"/>
      <c r="AJ204" s="267"/>
      <c r="AK204" s="267"/>
      <c r="AL204" s="267"/>
      <c r="AM204" s="267"/>
      <c r="AN204" s="267"/>
      <c r="AO204" s="267"/>
      <c r="AP204" s="267"/>
      <c r="AQ204" s="267"/>
      <c r="AR204" s="267"/>
    </row>
    <row r="205" spans="1:44" ht="15.75">
      <c r="A205" s="267"/>
      <c r="B205" s="521" t="s">
        <v>238</v>
      </c>
      <c r="C205" s="552"/>
      <c r="D205" s="552"/>
      <c r="E205" s="552"/>
      <c r="F205" s="552"/>
      <c r="G205" s="552"/>
      <c r="H205" s="552"/>
      <c r="I205" s="552"/>
      <c r="J205" s="552"/>
      <c r="K205" s="552"/>
      <c r="L205" s="522">
        <f t="shared" ref="L205:AI205" si="143">L206+L207</f>
        <v>925</v>
      </c>
      <c r="M205" s="522">
        <f t="shared" si="143"/>
        <v>1013</v>
      </c>
      <c r="N205" s="522">
        <f t="shared" si="143"/>
        <v>804.94031180400907</v>
      </c>
      <c r="O205" s="522">
        <f t="shared" si="143"/>
        <v>844.73211343197727</v>
      </c>
      <c r="P205" s="522">
        <f t="shared" si="143"/>
        <v>1668</v>
      </c>
      <c r="Q205" s="522">
        <f t="shared" si="143"/>
        <v>1706</v>
      </c>
      <c r="R205" s="522">
        <f t="shared" si="143"/>
        <v>1888.2002678328108</v>
      </c>
      <c r="S205" s="522">
        <f t="shared" si="143"/>
        <v>2561.6722730966621</v>
      </c>
      <c r="T205" s="522">
        <f t="shared" si="143"/>
        <v>2508.1872151787729</v>
      </c>
      <c r="U205" s="522">
        <f t="shared" si="143"/>
        <v>2033.4720000000034</v>
      </c>
      <c r="V205" s="522">
        <f t="shared" si="143"/>
        <v>2171.9630000000034</v>
      </c>
      <c r="W205" s="522">
        <f t="shared" si="143"/>
        <v>3506.0110000000013</v>
      </c>
      <c r="X205" s="522">
        <f t="shared" si="143"/>
        <v>4145.2520000000059</v>
      </c>
      <c r="Y205" s="522">
        <f t="shared" si="143"/>
        <v>3526.967000000006</v>
      </c>
      <c r="Z205" s="522">
        <f t="shared" si="143"/>
        <v>3526.967000000006</v>
      </c>
      <c r="AA205" s="522">
        <f t="shared" si="143"/>
        <v>3526.967000000006</v>
      </c>
      <c r="AB205" s="522">
        <f t="shared" si="143"/>
        <v>3526.967000000006</v>
      </c>
      <c r="AC205" s="522">
        <f t="shared" si="143"/>
        <v>3526.967000000006</v>
      </c>
      <c r="AD205" s="522">
        <f t="shared" si="143"/>
        <v>3526.967000000006</v>
      </c>
      <c r="AE205" s="522">
        <f t="shared" si="143"/>
        <v>3526.967000000006</v>
      </c>
      <c r="AF205" s="522">
        <f t="shared" si="143"/>
        <v>3526.967000000006</v>
      </c>
      <c r="AG205" s="522">
        <f t="shared" si="143"/>
        <v>3526.967000000006</v>
      </c>
      <c r="AH205" s="522">
        <f t="shared" si="143"/>
        <v>3526.967000000006</v>
      </c>
      <c r="AI205" s="522">
        <f t="shared" si="143"/>
        <v>3526.967000000006</v>
      </c>
      <c r="AJ205" s="267"/>
      <c r="AK205" s="267"/>
      <c r="AL205" s="267"/>
      <c r="AM205" s="267"/>
      <c r="AN205" s="267"/>
      <c r="AO205" s="267"/>
      <c r="AP205" s="267"/>
      <c r="AQ205" s="267"/>
      <c r="AR205" s="267"/>
    </row>
    <row r="206" spans="1:44" ht="15.75">
      <c r="A206" s="267"/>
      <c r="B206" s="521" t="s">
        <v>239</v>
      </c>
      <c r="C206" s="552"/>
      <c r="D206" s="552"/>
      <c r="E206" s="552"/>
      <c r="F206" s="552"/>
      <c r="G206" s="552"/>
      <c r="H206" s="552"/>
      <c r="I206" s="552"/>
      <c r="J206" s="552"/>
      <c r="K206" s="552"/>
      <c r="L206" s="553">
        <v>0</v>
      </c>
      <c r="M206" s="553">
        <v>0</v>
      </c>
      <c r="N206" s="553">
        <v>0</v>
      </c>
      <c r="O206" s="553">
        <v>0</v>
      </c>
      <c r="P206" s="553">
        <v>0</v>
      </c>
      <c r="Q206" s="553">
        <v>0</v>
      </c>
      <c r="R206" s="553">
        <v>0</v>
      </c>
      <c r="S206" s="553">
        <v>0</v>
      </c>
      <c r="T206" s="553">
        <v>0</v>
      </c>
      <c r="U206" s="553">
        <v>0</v>
      </c>
      <c r="V206" s="553">
        <v>0</v>
      </c>
      <c r="W206" s="553">
        <v>0</v>
      </c>
      <c r="X206" s="553">
        <v>0</v>
      </c>
      <c r="Y206" s="553">
        <v>0</v>
      </c>
      <c r="Z206" s="522">
        <f t="shared" ref="Z206:AI206" si="144">Y206-(Z257-Z284)</f>
        <v>0</v>
      </c>
      <c r="AA206" s="522">
        <f t="shared" si="144"/>
        <v>0</v>
      </c>
      <c r="AB206" s="522">
        <f t="shared" si="144"/>
        <v>0</v>
      </c>
      <c r="AC206" s="522">
        <f t="shared" si="144"/>
        <v>0</v>
      </c>
      <c r="AD206" s="522">
        <f t="shared" si="144"/>
        <v>0</v>
      </c>
      <c r="AE206" s="522">
        <f t="shared" si="144"/>
        <v>0</v>
      </c>
      <c r="AF206" s="522">
        <f t="shared" si="144"/>
        <v>0</v>
      </c>
      <c r="AG206" s="522">
        <f t="shared" si="144"/>
        <v>0</v>
      </c>
      <c r="AH206" s="522">
        <f t="shared" si="144"/>
        <v>0</v>
      </c>
      <c r="AI206" s="522">
        <f t="shared" si="144"/>
        <v>0</v>
      </c>
      <c r="AJ206" s="267"/>
      <c r="AK206" s="267"/>
      <c r="AL206" s="267"/>
      <c r="AM206" s="267"/>
      <c r="AN206" s="267"/>
      <c r="AO206" s="267"/>
      <c r="AP206" s="267"/>
      <c r="AQ206" s="267"/>
      <c r="AR206" s="267"/>
    </row>
    <row r="207" spans="1:44" ht="15.75">
      <c r="A207" s="267"/>
      <c r="B207" s="521" t="s">
        <v>209</v>
      </c>
      <c r="C207" s="552"/>
      <c r="D207" s="552"/>
      <c r="E207" s="552"/>
      <c r="F207" s="552"/>
      <c r="G207" s="552"/>
      <c r="H207" s="552"/>
      <c r="I207" s="552"/>
      <c r="J207" s="552"/>
      <c r="K207" s="552"/>
      <c r="L207" s="553">
        <f>17222-L66-L67-L206</f>
        <v>925</v>
      </c>
      <c r="M207" s="553">
        <f>18176-M66-M67-M206</f>
        <v>1013</v>
      </c>
      <c r="N207" s="553">
        <f>19678-N66-N67-N206</f>
        <v>804.94031180400907</v>
      </c>
      <c r="O207" s="553">
        <f>29330-6065-O66-O67-O206</f>
        <v>844.73211343197727</v>
      </c>
      <c r="P207" s="553">
        <f>32663-5095-P66-P67-P206</f>
        <v>1668</v>
      </c>
      <c r="Q207" s="553">
        <f>36455-5986-Q66-Q67-Q206</f>
        <v>1706</v>
      </c>
      <c r="R207" s="553">
        <f>39408-6175-R66-R67-R206</f>
        <v>1888.2002678328108</v>
      </c>
      <c r="S207" s="553">
        <f>43308-5665-S66-S67-S206</f>
        <v>2561.6722730966621</v>
      </c>
      <c r="T207" s="553">
        <f>49830-9106-T66-T67-T206</f>
        <v>2508.1872151787729</v>
      </c>
      <c r="U207" s="553">
        <f>54206-8672.78-U66-U67-U206</f>
        <v>2033.4720000000034</v>
      </c>
      <c r="V207" s="553">
        <f>60132.557-7296.102-V66-V67-V206</f>
        <v>2171.9630000000034</v>
      </c>
      <c r="W207" s="553">
        <f>68484.272-7188.827-W66-W67-W206</f>
        <v>3506.0110000000013</v>
      </c>
      <c r="X207" s="553">
        <f>73528.156-9449.846-X66-X67-X206</f>
        <v>4145.2520000000059</v>
      </c>
      <c r="Y207" s="553">
        <f>74433.501-10440.362-Y66-Y67-Y206</f>
        <v>3526.967000000006</v>
      </c>
      <c r="Z207" s="522">
        <f t="shared" ref="Z207:AI207" si="145">Y207+Z289</f>
        <v>3526.967000000006</v>
      </c>
      <c r="AA207" s="522">
        <f t="shared" si="145"/>
        <v>3526.967000000006</v>
      </c>
      <c r="AB207" s="522">
        <f t="shared" si="145"/>
        <v>3526.967000000006</v>
      </c>
      <c r="AC207" s="522">
        <f t="shared" si="145"/>
        <v>3526.967000000006</v>
      </c>
      <c r="AD207" s="522">
        <f t="shared" si="145"/>
        <v>3526.967000000006</v>
      </c>
      <c r="AE207" s="522">
        <f t="shared" si="145"/>
        <v>3526.967000000006</v>
      </c>
      <c r="AF207" s="522">
        <f t="shared" si="145"/>
        <v>3526.967000000006</v>
      </c>
      <c r="AG207" s="522">
        <f t="shared" si="145"/>
        <v>3526.967000000006</v>
      </c>
      <c r="AH207" s="522">
        <f t="shared" si="145"/>
        <v>3526.967000000006</v>
      </c>
      <c r="AI207" s="522">
        <f t="shared" si="145"/>
        <v>3526.967000000006</v>
      </c>
      <c r="AJ207" s="267"/>
      <c r="AK207" s="566"/>
      <c r="AL207" s="267"/>
      <c r="AM207" s="267"/>
      <c r="AN207" s="267"/>
      <c r="AO207" s="267"/>
      <c r="AP207" s="267"/>
      <c r="AQ207" s="267"/>
      <c r="AR207" s="267"/>
    </row>
    <row r="208" spans="1:44" ht="15.75">
      <c r="A208" s="267"/>
      <c r="B208" s="521"/>
      <c r="C208" s="521"/>
      <c r="D208" s="521"/>
      <c r="E208" s="521"/>
      <c r="F208" s="521"/>
      <c r="G208" s="521"/>
      <c r="H208" s="521"/>
      <c r="I208" s="521"/>
      <c r="J208" s="521"/>
      <c r="K208" s="521"/>
      <c r="L208" s="521"/>
      <c r="M208" s="521"/>
      <c r="N208" s="521"/>
      <c r="O208" s="521"/>
      <c r="P208" s="521"/>
      <c r="Q208" s="521"/>
      <c r="R208" s="521"/>
      <c r="S208" s="521"/>
      <c r="T208" s="521"/>
      <c r="U208" s="521"/>
      <c r="V208" s="521"/>
      <c r="W208" s="521"/>
      <c r="X208" s="521"/>
      <c r="Y208" s="521"/>
      <c r="Z208" s="521"/>
      <c r="AA208" s="521"/>
      <c r="AB208" s="521"/>
      <c r="AC208" s="521"/>
      <c r="AD208" s="521"/>
      <c r="AE208" s="521"/>
      <c r="AF208" s="521"/>
      <c r="AG208" s="521"/>
      <c r="AH208" s="521"/>
      <c r="AI208" s="521"/>
      <c r="AJ208" s="267"/>
      <c r="AK208" s="267"/>
      <c r="AL208" s="267"/>
      <c r="AM208" s="267"/>
      <c r="AN208" s="267"/>
      <c r="AO208" s="267"/>
      <c r="AP208" s="267"/>
      <c r="AQ208" s="267"/>
      <c r="AR208" s="267"/>
    </row>
    <row r="209" spans="1:44" ht="15.75">
      <c r="A209" s="267"/>
      <c r="B209" s="521"/>
      <c r="C209" s="521"/>
      <c r="D209" s="521"/>
      <c r="E209" s="521"/>
      <c r="F209" s="521"/>
      <c r="G209" s="521"/>
      <c r="H209" s="521"/>
      <c r="I209" s="521"/>
      <c r="J209" s="521"/>
      <c r="K209" s="521"/>
      <c r="L209" s="521"/>
      <c r="M209" s="521"/>
      <c r="N209" s="521"/>
      <c r="O209" s="521"/>
      <c r="P209" s="521"/>
      <c r="Q209" s="521"/>
      <c r="R209" s="521"/>
      <c r="S209" s="521"/>
      <c r="T209" s="521"/>
      <c r="U209" s="521"/>
      <c r="V209" s="521"/>
      <c r="W209" s="521"/>
      <c r="X209" s="521"/>
      <c r="Y209" s="521"/>
      <c r="Z209" s="521"/>
      <c r="AA209" s="521"/>
      <c r="AB209" s="521"/>
      <c r="AC209" s="521"/>
      <c r="AD209" s="521"/>
      <c r="AE209" s="521"/>
      <c r="AF209" s="521"/>
      <c r="AG209" s="521"/>
      <c r="AH209" s="521"/>
      <c r="AI209" s="521"/>
      <c r="AJ209" s="267"/>
      <c r="AK209" s="267"/>
      <c r="AL209" s="267"/>
      <c r="AM209" s="267"/>
      <c r="AN209" s="267"/>
      <c r="AO209" s="267"/>
      <c r="AP209" s="267"/>
      <c r="AQ209" s="267"/>
      <c r="AR209" s="267"/>
    </row>
    <row r="210" spans="1:44" ht="15.75">
      <c r="A210" s="267"/>
      <c r="B210" s="521" t="s">
        <v>240</v>
      </c>
      <c r="C210" s="521"/>
      <c r="D210" s="521"/>
      <c r="E210" s="521"/>
      <c r="F210" s="521"/>
      <c r="G210" s="521"/>
      <c r="H210" s="521"/>
      <c r="I210" s="521"/>
      <c r="J210" s="521"/>
      <c r="K210" s="521"/>
      <c r="L210" s="521"/>
      <c r="M210" s="521"/>
      <c r="N210" s="521"/>
      <c r="O210" s="521"/>
      <c r="P210" s="521"/>
      <c r="Q210" s="521"/>
      <c r="R210" s="521"/>
      <c r="S210" s="521"/>
      <c r="T210" s="521"/>
      <c r="U210" s="521"/>
      <c r="V210" s="521"/>
      <c r="W210" s="818">
        <f>8276.859+5593.405+7000</f>
        <v>20870.263999999999</v>
      </c>
      <c r="X210" s="818">
        <f>1452.171+12831.68+10944.861</f>
        <v>25228.712</v>
      </c>
      <c r="Y210" s="521"/>
      <c r="Z210" s="521"/>
      <c r="AA210" s="521"/>
      <c r="AB210" s="521"/>
      <c r="AC210" s="521"/>
      <c r="AD210" s="521"/>
      <c r="AE210" s="521"/>
      <c r="AF210" s="521"/>
      <c r="AG210" s="521"/>
      <c r="AH210" s="521"/>
      <c r="AI210" s="521"/>
      <c r="AJ210" s="267"/>
      <c r="AK210" s="267"/>
      <c r="AL210" s="267"/>
      <c r="AM210" s="267"/>
      <c r="AN210" s="267"/>
      <c r="AO210" s="267"/>
      <c r="AP210" s="267"/>
      <c r="AQ210" s="267"/>
      <c r="AR210" s="267"/>
    </row>
    <row r="211" spans="1:44" ht="15.75">
      <c r="A211" s="267"/>
      <c r="B211" s="521" t="s">
        <v>241</v>
      </c>
      <c r="C211" s="521"/>
      <c r="D211" s="521"/>
      <c r="E211" s="521"/>
      <c r="F211" s="521"/>
      <c r="G211" s="521"/>
      <c r="H211" s="521"/>
      <c r="I211" s="521"/>
      <c r="J211" s="521"/>
      <c r="K211" s="521"/>
      <c r="L211" s="521"/>
      <c r="M211" s="521"/>
      <c r="N211" s="521"/>
      <c r="O211" s="521"/>
      <c r="P211" s="521"/>
      <c r="Q211" s="521"/>
      <c r="R211" s="521"/>
      <c r="S211" s="521"/>
      <c r="T211" s="521"/>
      <c r="U211" s="521"/>
      <c r="V211" s="521"/>
      <c r="W211" s="522">
        <f>W210-W203</f>
        <v>19331.494999999999</v>
      </c>
      <c r="X211" s="522">
        <f>X210-X203</f>
        <v>21001.207999999999</v>
      </c>
      <c r="Y211" s="521"/>
      <c r="Z211" s="521"/>
      <c r="AA211" s="521"/>
      <c r="AB211" s="521"/>
      <c r="AC211" s="521"/>
      <c r="AD211" s="521"/>
      <c r="AE211" s="521"/>
      <c r="AF211" s="521"/>
      <c r="AG211" s="521"/>
      <c r="AH211" s="521"/>
      <c r="AI211" s="521"/>
      <c r="AJ211" s="267"/>
      <c r="AK211" s="267"/>
      <c r="AL211" s="267"/>
      <c r="AM211" s="267"/>
      <c r="AN211" s="267"/>
      <c r="AO211" s="267"/>
      <c r="AP211" s="267"/>
      <c r="AQ211" s="267"/>
      <c r="AR211" s="267"/>
    </row>
    <row r="212" spans="1:44" ht="15.75">
      <c r="A212" s="267"/>
      <c r="B212" s="521"/>
      <c r="C212" s="521"/>
      <c r="D212" s="521"/>
      <c r="E212" s="521"/>
      <c r="F212" s="521"/>
      <c r="G212" s="521"/>
      <c r="H212" s="521"/>
      <c r="I212" s="521"/>
      <c r="J212" s="521"/>
      <c r="K212" s="521"/>
      <c r="L212" s="521"/>
      <c r="M212" s="521"/>
      <c r="N212" s="521"/>
      <c r="O212" s="521"/>
      <c r="P212" s="521"/>
      <c r="Q212" s="521"/>
      <c r="R212" s="521"/>
      <c r="S212" s="521"/>
      <c r="T212" s="521"/>
      <c r="U212" s="521"/>
      <c r="V212" s="521"/>
      <c r="W212" s="521"/>
      <c r="X212" s="521"/>
      <c r="Y212" s="521"/>
      <c r="Z212" s="521"/>
      <c r="AA212" s="521"/>
      <c r="AB212" s="521"/>
      <c r="AC212" s="521"/>
      <c r="AD212" s="521"/>
      <c r="AE212" s="521"/>
      <c r="AF212" s="521"/>
      <c r="AG212" s="521"/>
      <c r="AH212" s="521"/>
      <c r="AI212" s="521"/>
      <c r="AJ212" s="267"/>
      <c r="AK212" s="267"/>
      <c r="AL212" s="267"/>
      <c r="AM212" s="267"/>
      <c r="AN212" s="267"/>
      <c r="AO212" s="267"/>
      <c r="AP212" s="267"/>
      <c r="AQ212" s="267"/>
      <c r="AR212" s="267"/>
    </row>
    <row r="213" spans="1:44" ht="15.75">
      <c r="A213" s="267"/>
      <c r="B213" s="521" t="s">
        <v>242</v>
      </c>
      <c r="C213" s="521"/>
      <c r="D213" s="521"/>
      <c r="E213" s="521"/>
      <c r="F213" s="521"/>
      <c r="G213" s="521"/>
      <c r="H213" s="521"/>
      <c r="I213" s="521"/>
      <c r="J213" s="521"/>
      <c r="K213" s="521"/>
      <c r="L213" s="521"/>
      <c r="M213" s="521"/>
      <c r="N213" s="521"/>
      <c r="O213" s="521"/>
      <c r="P213" s="521"/>
      <c r="Q213" s="521"/>
      <c r="R213" s="521"/>
      <c r="S213" s="521"/>
      <c r="T213" s="521"/>
      <c r="U213" s="521"/>
      <c r="V213" s="522">
        <f>V18-V132-V133</f>
        <v>11016.290999999999</v>
      </c>
      <c r="W213" s="522">
        <f>W18-W132-W133</f>
        <v>12055.706</v>
      </c>
      <c r="X213" s="522">
        <f>X18-X132-X133</f>
        <v>14174.493</v>
      </c>
      <c r="Y213" s="521"/>
      <c r="Z213" s="521"/>
      <c r="AA213" s="521"/>
      <c r="AB213" s="521"/>
      <c r="AC213" s="521"/>
      <c r="AD213" s="521"/>
      <c r="AE213" s="521"/>
      <c r="AF213" s="521"/>
      <c r="AG213" s="521"/>
      <c r="AH213" s="521"/>
      <c r="AI213" s="521"/>
      <c r="AJ213" s="267"/>
      <c r="AK213" s="267"/>
      <c r="AL213" s="267"/>
      <c r="AM213" s="267"/>
      <c r="AN213" s="267"/>
      <c r="AO213" s="267"/>
      <c r="AP213" s="267"/>
      <c r="AQ213" s="267"/>
      <c r="AR213" s="267"/>
    </row>
    <row r="214" spans="1:44" ht="15.75">
      <c r="A214" s="267"/>
      <c r="B214" s="521" t="s">
        <v>243</v>
      </c>
      <c r="C214" s="521"/>
      <c r="D214" s="521"/>
      <c r="E214" s="521"/>
      <c r="F214" s="521"/>
      <c r="G214" s="521"/>
      <c r="H214" s="521"/>
      <c r="I214" s="521"/>
      <c r="J214" s="521"/>
      <c r="K214" s="521"/>
      <c r="L214" s="521"/>
      <c r="M214" s="521"/>
      <c r="N214" s="521"/>
      <c r="O214" s="521"/>
      <c r="P214" s="521"/>
      <c r="Q214" s="521"/>
      <c r="R214" s="521"/>
      <c r="S214" s="521"/>
      <c r="T214" s="521"/>
      <c r="U214" s="521"/>
      <c r="V214" s="830">
        <f>V211/V213</f>
        <v>0</v>
      </c>
      <c r="W214" s="830">
        <f>W211/W213</f>
        <v>1.603514136791325</v>
      </c>
      <c r="X214" s="830">
        <f>X211/X213</f>
        <v>1.4816196953217302</v>
      </c>
      <c r="Y214" s="521"/>
      <c r="Z214" s="521"/>
      <c r="AA214" s="521"/>
      <c r="AB214" s="521"/>
      <c r="AC214" s="521"/>
      <c r="AD214" s="521"/>
      <c r="AE214" s="521"/>
      <c r="AF214" s="521"/>
      <c r="AG214" s="521"/>
      <c r="AH214" s="521"/>
      <c r="AI214" s="521"/>
      <c r="AJ214" s="267"/>
      <c r="AK214" s="267"/>
      <c r="AL214" s="267"/>
      <c r="AM214" s="267"/>
      <c r="AN214" s="267"/>
      <c r="AO214" s="267"/>
      <c r="AP214" s="267"/>
      <c r="AQ214" s="267"/>
      <c r="AR214" s="267"/>
    </row>
    <row r="215" spans="1:44" ht="15.75">
      <c r="A215" s="267"/>
      <c r="B215" s="521"/>
      <c r="C215" s="521"/>
      <c r="D215" s="521"/>
      <c r="E215" s="521"/>
      <c r="F215" s="521"/>
      <c r="G215" s="521"/>
      <c r="H215" s="521"/>
      <c r="I215" s="521"/>
      <c r="J215" s="521"/>
      <c r="K215" s="521"/>
      <c r="L215" s="521"/>
      <c r="M215" s="521"/>
      <c r="N215" s="521"/>
      <c r="O215" s="521"/>
      <c r="P215" s="521"/>
      <c r="Q215" s="521"/>
      <c r="R215" s="521"/>
      <c r="S215" s="521"/>
      <c r="T215" s="521"/>
      <c r="U215" s="521"/>
      <c r="V215" s="521"/>
      <c r="W215" s="521"/>
      <c r="X215" s="521"/>
      <c r="Y215" s="521"/>
      <c r="Z215" s="521"/>
      <c r="AA215" s="521"/>
      <c r="AB215" s="521"/>
      <c r="AC215" s="521"/>
      <c r="AD215" s="521"/>
      <c r="AE215" s="521"/>
      <c r="AF215" s="521"/>
      <c r="AG215" s="521"/>
      <c r="AH215" s="521"/>
      <c r="AI215" s="521"/>
      <c r="AJ215" s="267"/>
      <c r="AK215" s="267"/>
      <c r="AL215" s="267"/>
      <c r="AM215" s="267"/>
      <c r="AN215" s="267"/>
      <c r="AO215" s="267"/>
      <c r="AP215" s="267"/>
      <c r="AQ215" s="267"/>
      <c r="AR215" s="267"/>
    </row>
    <row r="216" spans="1:44" ht="15.75">
      <c r="A216" s="267"/>
      <c r="B216" s="521"/>
      <c r="C216" s="521"/>
      <c r="D216" s="521"/>
      <c r="E216" s="521"/>
      <c r="F216" s="521"/>
      <c r="G216" s="521"/>
      <c r="H216" s="521"/>
      <c r="I216" s="521"/>
      <c r="J216" s="521"/>
      <c r="K216" s="521"/>
      <c r="L216" s="521"/>
      <c r="M216" s="521"/>
      <c r="N216" s="521"/>
      <c r="O216" s="521"/>
      <c r="P216" s="521"/>
      <c r="Q216" s="521"/>
      <c r="R216" s="521"/>
      <c r="S216" s="521"/>
      <c r="T216" s="521"/>
      <c r="U216" s="521"/>
      <c r="V216" s="521"/>
      <c r="W216" s="521"/>
      <c r="X216" s="521"/>
      <c r="Y216" s="521"/>
      <c r="Z216" s="521"/>
      <c r="AA216" s="521"/>
      <c r="AB216" s="521"/>
      <c r="AC216" s="521"/>
      <c r="AD216" s="521"/>
      <c r="AE216" s="521"/>
      <c r="AF216" s="521"/>
      <c r="AG216" s="521"/>
      <c r="AH216" s="521"/>
      <c r="AI216" s="521"/>
      <c r="AJ216" s="267"/>
      <c r="AK216" s="267"/>
      <c r="AL216" s="267"/>
      <c r="AM216" s="267"/>
      <c r="AN216" s="267"/>
      <c r="AO216" s="267"/>
      <c r="AP216" s="267"/>
      <c r="AQ216" s="267"/>
      <c r="AR216" s="267"/>
    </row>
    <row r="217" spans="1:44" ht="15.75">
      <c r="A217" s="267"/>
      <c r="B217" s="521"/>
      <c r="C217" s="521"/>
      <c r="D217" s="521"/>
      <c r="E217" s="521"/>
      <c r="F217" s="521"/>
      <c r="G217" s="521"/>
      <c r="H217" s="521"/>
      <c r="I217" s="521"/>
      <c r="J217" s="521"/>
      <c r="K217" s="521"/>
      <c r="L217" s="521"/>
      <c r="M217" s="521"/>
      <c r="N217" s="521"/>
      <c r="O217" s="521"/>
      <c r="P217" s="521"/>
      <c r="Q217" s="521"/>
      <c r="R217" s="521"/>
      <c r="S217" s="521"/>
      <c r="T217" s="521"/>
      <c r="U217" s="521"/>
      <c r="V217" s="521"/>
      <c r="W217" s="521"/>
      <c r="X217" s="521"/>
      <c r="Y217" s="521"/>
      <c r="Z217" s="521"/>
      <c r="AA217" s="521"/>
      <c r="AB217" s="521"/>
      <c r="AC217" s="521"/>
      <c r="AD217" s="521"/>
      <c r="AE217" s="521"/>
      <c r="AF217" s="521"/>
      <c r="AG217" s="521"/>
      <c r="AH217" s="521"/>
      <c r="AI217" s="521"/>
      <c r="AJ217" s="267"/>
      <c r="AK217" s="267"/>
      <c r="AL217" s="267"/>
      <c r="AM217" s="267"/>
      <c r="AN217" s="267"/>
      <c r="AO217" s="267"/>
      <c r="AP217" s="267"/>
      <c r="AQ217" s="267"/>
      <c r="AR217" s="267"/>
    </row>
    <row r="218" spans="1:44" ht="15.75">
      <c r="A218" s="267"/>
      <c r="B218" s="519" t="s">
        <v>244</v>
      </c>
      <c r="C218" s="519">
        <v>2003</v>
      </c>
      <c r="D218" s="519">
        <f t="shared" ref="D218:AI218" si="146">C218+1</f>
        <v>2004</v>
      </c>
      <c r="E218" s="519">
        <f t="shared" si="146"/>
        <v>2005</v>
      </c>
      <c r="F218" s="519">
        <f t="shared" si="146"/>
        <v>2006</v>
      </c>
      <c r="G218" s="519">
        <f t="shared" si="146"/>
        <v>2007</v>
      </c>
      <c r="H218" s="519">
        <f t="shared" si="146"/>
        <v>2008</v>
      </c>
      <c r="I218" s="519">
        <f t="shared" si="146"/>
        <v>2009</v>
      </c>
      <c r="J218" s="519">
        <f t="shared" si="146"/>
        <v>2010</v>
      </c>
      <c r="K218" s="519">
        <f t="shared" si="146"/>
        <v>2011</v>
      </c>
      <c r="L218" s="519">
        <f t="shared" si="146"/>
        <v>2012</v>
      </c>
      <c r="M218" s="519">
        <f t="shared" si="146"/>
        <v>2013</v>
      </c>
      <c r="N218" s="519">
        <f t="shared" si="146"/>
        <v>2014</v>
      </c>
      <c r="O218" s="519">
        <f t="shared" si="146"/>
        <v>2015</v>
      </c>
      <c r="P218" s="519">
        <f t="shared" si="146"/>
        <v>2016</v>
      </c>
      <c r="Q218" s="519">
        <f t="shared" si="146"/>
        <v>2017</v>
      </c>
      <c r="R218" s="519">
        <f t="shared" si="146"/>
        <v>2018</v>
      </c>
      <c r="S218" s="519">
        <f t="shared" si="146"/>
        <v>2019</v>
      </c>
      <c r="T218" s="519">
        <f t="shared" si="146"/>
        <v>2020</v>
      </c>
      <c r="U218" s="519">
        <f t="shared" si="146"/>
        <v>2021</v>
      </c>
      <c r="V218" s="519">
        <f t="shared" si="146"/>
        <v>2022</v>
      </c>
      <c r="W218" s="519">
        <f t="shared" si="146"/>
        <v>2023</v>
      </c>
      <c r="X218" s="519">
        <f t="shared" si="146"/>
        <v>2024</v>
      </c>
      <c r="Y218" s="519">
        <f t="shared" si="146"/>
        <v>2025</v>
      </c>
      <c r="Z218" s="519">
        <f t="shared" si="146"/>
        <v>2026</v>
      </c>
      <c r="AA218" s="519">
        <f t="shared" si="146"/>
        <v>2027</v>
      </c>
      <c r="AB218" s="519">
        <f t="shared" si="146"/>
        <v>2028</v>
      </c>
      <c r="AC218" s="519">
        <f t="shared" si="146"/>
        <v>2029</v>
      </c>
      <c r="AD218" s="519">
        <f t="shared" si="146"/>
        <v>2030</v>
      </c>
      <c r="AE218" s="519">
        <f t="shared" si="146"/>
        <v>2031</v>
      </c>
      <c r="AF218" s="519">
        <f t="shared" si="146"/>
        <v>2032</v>
      </c>
      <c r="AG218" s="519">
        <f t="shared" si="146"/>
        <v>2033</v>
      </c>
      <c r="AH218" s="519">
        <f t="shared" si="146"/>
        <v>2034</v>
      </c>
      <c r="AI218" s="519">
        <f t="shared" si="146"/>
        <v>2035</v>
      </c>
      <c r="AJ218" s="267"/>
      <c r="AK218" s="267"/>
      <c r="AL218" s="267"/>
      <c r="AM218" s="267"/>
      <c r="AN218" s="267"/>
      <c r="AO218" s="267"/>
      <c r="AP218" s="267"/>
      <c r="AQ218" s="267"/>
      <c r="AR218" s="267"/>
    </row>
    <row r="219" spans="1:44" ht="15.75">
      <c r="A219" s="267"/>
      <c r="B219" s="521" t="s">
        <v>153</v>
      </c>
      <c r="C219" s="552"/>
      <c r="D219" s="552"/>
      <c r="E219" s="552"/>
      <c r="F219" s="552"/>
      <c r="G219" s="552"/>
      <c r="H219" s="552"/>
      <c r="I219" s="552"/>
      <c r="J219" s="552"/>
      <c r="K219" s="552"/>
      <c r="L219" s="553">
        <v>0</v>
      </c>
      <c r="M219" s="553">
        <v>0</v>
      </c>
      <c r="N219" s="553">
        <v>0</v>
      </c>
      <c r="O219" s="553">
        <v>0</v>
      </c>
      <c r="P219" s="553">
        <v>0</v>
      </c>
      <c r="Q219" s="553">
        <v>0</v>
      </c>
      <c r="R219" s="553">
        <v>0</v>
      </c>
      <c r="S219" s="553">
        <v>0</v>
      </c>
      <c r="T219" s="553">
        <v>0</v>
      </c>
      <c r="U219" s="553">
        <v>430.80900000000003</v>
      </c>
      <c r="V219" s="553">
        <v>651.93600000000004</v>
      </c>
      <c r="W219" s="553">
        <v>768.37300000000005</v>
      </c>
      <c r="X219" s="553">
        <v>632.96799999999996</v>
      </c>
      <c r="Y219" s="553">
        <v>635.54200000000003</v>
      </c>
      <c r="Z219" s="522">
        <f t="shared" ref="Z219:AI219" si="147">Z220*X8</f>
        <v>589.10271124477163</v>
      </c>
      <c r="AA219" s="522">
        <f t="shared" si="147"/>
        <v>635.54200000000003</v>
      </c>
      <c r="AB219" s="522">
        <f t="shared" si="147"/>
        <v>690.33613307763926</v>
      </c>
      <c r="AC219" s="522">
        <f t="shared" si="147"/>
        <v>736.6935096106688</v>
      </c>
      <c r="AD219" s="522">
        <f t="shared" si="147"/>
        <v>779.86288997654617</v>
      </c>
      <c r="AE219" s="522">
        <f t="shared" si="147"/>
        <v>818.85603447537335</v>
      </c>
      <c r="AF219" s="522">
        <f t="shared" si="147"/>
        <v>850.9856780274074</v>
      </c>
      <c r="AG219" s="522">
        <f t="shared" si="147"/>
        <v>867.93273743988823</v>
      </c>
      <c r="AH219" s="522">
        <f t="shared" si="147"/>
        <v>885.34311645565981</v>
      </c>
      <c r="AI219" s="522">
        <f t="shared" si="147"/>
        <v>903.23422055437663</v>
      </c>
      <c r="AJ219" s="267"/>
      <c r="AK219" s="267"/>
      <c r="AL219" s="267"/>
      <c r="AM219" s="267"/>
      <c r="AN219" s="267"/>
      <c r="AO219" s="267"/>
      <c r="AP219" s="267"/>
      <c r="AQ219" s="267"/>
      <c r="AR219" s="267"/>
    </row>
    <row r="220" spans="1:44" ht="15.75">
      <c r="A220" s="267"/>
      <c r="B220" s="521" t="s">
        <v>245</v>
      </c>
      <c r="C220" s="534"/>
      <c r="D220" s="534"/>
      <c r="E220" s="534"/>
      <c r="F220" s="534"/>
      <c r="G220" s="534"/>
      <c r="H220" s="534"/>
      <c r="I220" s="534"/>
      <c r="J220" s="534"/>
      <c r="K220" s="534"/>
      <c r="L220" s="534">
        <f t="shared" ref="L220:X220" si="148">L219/L8</f>
        <v>0</v>
      </c>
      <c r="M220" s="534">
        <f t="shared" si="148"/>
        <v>0</v>
      </c>
      <c r="N220" s="534">
        <f t="shared" si="148"/>
        <v>0</v>
      </c>
      <c r="O220" s="534">
        <f t="shared" si="148"/>
        <v>0</v>
      </c>
      <c r="P220" s="534">
        <f t="shared" si="148"/>
        <v>0</v>
      </c>
      <c r="Q220" s="534">
        <f t="shared" si="148"/>
        <v>0</v>
      </c>
      <c r="R220" s="534">
        <f t="shared" si="148"/>
        <v>0</v>
      </c>
      <c r="S220" s="534">
        <f t="shared" si="148"/>
        <v>0</v>
      </c>
      <c r="T220" s="534">
        <f t="shared" si="148"/>
        <v>0</v>
      </c>
      <c r="U220" s="534">
        <f t="shared" si="148"/>
        <v>1.7488390030039783E-2</v>
      </c>
      <c r="V220" s="534">
        <f t="shared" si="148"/>
        <v>2.4007463666273807E-2</v>
      </c>
      <c r="W220" s="534">
        <f t="shared" si="148"/>
        <v>2.5723438545135108E-2</v>
      </c>
      <c r="X220" s="534">
        <f t="shared" si="148"/>
        <v>1.9273801943238494E-2</v>
      </c>
      <c r="Y220" s="534">
        <f>Y219/Y8</f>
        <v>1.7938109005125925E-2</v>
      </c>
      <c r="Z220" s="567">
        <f t="shared" ref="Z220:AI220" si="149">Y220</f>
        <v>1.7938109005125925E-2</v>
      </c>
      <c r="AA220" s="567">
        <f t="shared" si="149"/>
        <v>1.7938109005125925E-2</v>
      </c>
      <c r="AB220" s="567">
        <f t="shared" si="149"/>
        <v>1.7938109005125925E-2</v>
      </c>
      <c r="AC220" s="567">
        <f t="shared" si="149"/>
        <v>1.7938109005125925E-2</v>
      </c>
      <c r="AD220" s="567">
        <f t="shared" si="149"/>
        <v>1.7938109005125925E-2</v>
      </c>
      <c r="AE220" s="567">
        <f t="shared" si="149"/>
        <v>1.7938109005125925E-2</v>
      </c>
      <c r="AF220" s="567">
        <f t="shared" si="149"/>
        <v>1.7938109005125925E-2</v>
      </c>
      <c r="AG220" s="567">
        <f t="shared" si="149"/>
        <v>1.7938109005125925E-2</v>
      </c>
      <c r="AH220" s="567">
        <f t="shared" si="149"/>
        <v>1.7938109005125925E-2</v>
      </c>
      <c r="AI220" s="567">
        <f t="shared" si="149"/>
        <v>1.7938109005125925E-2</v>
      </c>
      <c r="AJ220" s="267"/>
      <c r="AK220" s="267"/>
      <c r="AL220" s="267"/>
      <c r="AM220" s="267"/>
      <c r="AN220" s="267"/>
      <c r="AO220" s="267"/>
      <c r="AP220" s="267"/>
      <c r="AQ220" s="267"/>
      <c r="AR220" s="267"/>
    </row>
    <row r="221" spans="1:44" ht="15.75">
      <c r="A221" s="267"/>
      <c r="B221" s="521" t="s">
        <v>246</v>
      </c>
      <c r="C221" s="522"/>
      <c r="D221" s="522"/>
      <c r="E221" s="522"/>
      <c r="F221" s="522"/>
      <c r="G221" s="522"/>
      <c r="H221" s="522"/>
      <c r="I221" s="522"/>
      <c r="J221" s="522"/>
      <c r="K221" s="522"/>
      <c r="L221" s="522">
        <f t="shared" ref="L221:AI221" si="150">K219-L219</f>
        <v>0</v>
      </c>
      <c r="M221" s="522">
        <f t="shared" si="150"/>
        <v>0</v>
      </c>
      <c r="N221" s="522">
        <f t="shared" si="150"/>
        <v>0</v>
      </c>
      <c r="O221" s="522">
        <f t="shared" si="150"/>
        <v>0</v>
      </c>
      <c r="P221" s="522">
        <f t="shared" si="150"/>
        <v>0</v>
      </c>
      <c r="Q221" s="522">
        <f t="shared" si="150"/>
        <v>0</v>
      </c>
      <c r="R221" s="522">
        <f t="shared" si="150"/>
        <v>0</v>
      </c>
      <c r="S221" s="522">
        <f t="shared" si="150"/>
        <v>0</v>
      </c>
      <c r="T221" s="522">
        <f t="shared" si="150"/>
        <v>0</v>
      </c>
      <c r="U221" s="522">
        <f t="shared" si="150"/>
        <v>-430.80900000000003</v>
      </c>
      <c r="V221" s="522">
        <f t="shared" si="150"/>
        <v>-221.12700000000001</v>
      </c>
      <c r="W221" s="522">
        <f t="shared" si="150"/>
        <v>-116.43700000000001</v>
      </c>
      <c r="X221" s="522">
        <f t="shared" si="150"/>
        <v>135.40500000000009</v>
      </c>
      <c r="Y221" s="522">
        <f t="shared" si="150"/>
        <v>-2.5740000000000691</v>
      </c>
      <c r="Z221" s="522">
        <f t="shared" si="150"/>
        <v>46.439288755228404</v>
      </c>
      <c r="AA221" s="522">
        <f t="shared" si="150"/>
        <v>-46.439288755228404</v>
      </c>
      <c r="AB221" s="522">
        <f t="shared" si="150"/>
        <v>-54.794133077639231</v>
      </c>
      <c r="AC221" s="522">
        <f t="shared" si="150"/>
        <v>-46.357376533029537</v>
      </c>
      <c r="AD221" s="522">
        <f t="shared" si="150"/>
        <v>-43.169380365877373</v>
      </c>
      <c r="AE221" s="522">
        <f t="shared" si="150"/>
        <v>-38.993144498827178</v>
      </c>
      <c r="AF221" s="522">
        <f t="shared" si="150"/>
        <v>-32.129643552034054</v>
      </c>
      <c r="AG221" s="522">
        <f t="shared" si="150"/>
        <v>-16.947059412480826</v>
      </c>
      <c r="AH221" s="522">
        <f t="shared" si="150"/>
        <v>-17.410379015771582</v>
      </c>
      <c r="AI221" s="522">
        <f t="shared" si="150"/>
        <v>-17.891104098716824</v>
      </c>
      <c r="AJ221" s="267"/>
      <c r="AK221" s="267"/>
      <c r="AL221" s="267"/>
      <c r="AM221" s="267"/>
      <c r="AN221" s="267"/>
      <c r="AO221" s="267"/>
      <c r="AP221" s="267"/>
      <c r="AQ221" s="267"/>
      <c r="AR221" s="267"/>
    </row>
    <row r="222" spans="1:44" ht="15.75">
      <c r="A222" s="267"/>
      <c r="B222" s="521" t="s">
        <v>154</v>
      </c>
      <c r="C222" s="522"/>
      <c r="D222" s="522"/>
      <c r="E222" s="522"/>
      <c r="F222" s="522"/>
      <c r="G222" s="522"/>
      <c r="H222" s="522"/>
      <c r="I222" s="522"/>
      <c r="J222" s="522"/>
      <c r="K222" s="522"/>
      <c r="L222" s="553">
        <v>48</v>
      </c>
      <c r="M222" s="553">
        <v>890</v>
      </c>
      <c r="N222" s="553">
        <v>860</v>
      </c>
      <c r="O222" s="553">
        <v>1714</v>
      </c>
      <c r="P222" s="553">
        <v>2309</v>
      </c>
      <c r="Q222" s="553">
        <v>1551</v>
      </c>
      <c r="R222" s="553">
        <f>1834+115</f>
        <v>1949</v>
      </c>
      <c r="S222" s="553">
        <v>1995</v>
      </c>
      <c r="T222" s="553">
        <v>3650</v>
      </c>
      <c r="U222" s="553">
        <v>3277</v>
      </c>
      <c r="V222" s="553">
        <v>3588.6289999999999</v>
      </c>
      <c r="W222" s="553">
        <v>3216.3110000000001</v>
      </c>
      <c r="X222" s="553">
        <v>2972.1019999999999</v>
      </c>
      <c r="Y222" s="553">
        <v>3114.3229999999999</v>
      </c>
      <c r="Z222" s="522">
        <f t="shared" ref="Z222:AI222" si="151">Z223*X8</f>
        <v>2886.7582677336054</v>
      </c>
      <c r="AA222" s="522">
        <f t="shared" si="151"/>
        <v>3114.3229999999999</v>
      </c>
      <c r="AB222" s="522">
        <f t="shared" si="151"/>
        <v>3382.8286674598257</v>
      </c>
      <c r="AC222" s="522">
        <f t="shared" si="151"/>
        <v>3609.9920082877711</v>
      </c>
      <c r="AD222" s="522">
        <f t="shared" si="151"/>
        <v>3821.5333291905599</v>
      </c>
      <c r="AE222" s="522">
        <f t="shared" si="151"/>
        <v>4012.6099956500875</v>
      </c>
      <c r="AF222" s="522">
        <f t="shared" si="151"/>
        <v>4170.0537018031055</v>
      </c>
      <c r="AG222" s="522">
        <f t="shared" si="151"/>
        <v>4253.0987513996006</v>
      </c>
      <c r="AH222" s="522">
        <f t="shared" si="151"/>
        <v>4338.4141889435159</v>
      </c>
      <c r="AI222" s="522">
        <f t="shared" si="151"/>
        <v>4426.0853058642351</v>
      </c>
      <c r="AJ222" s="267"/>
      <c r="AK222" s="267"/>
      <c r="AL222" s="267"/>
      <c r="AM222" s="267"/>
      <c r="AN222" s="267"/>
      <c r="AO222" s="267"/>
      <c r="AP222" s="267"/>
      <c r="AQ222" s="267"/>
      <c r="AR222" s="267"/>
    </row>
    <row r="223" spans="1:44" ht="15.75">
      <c r="A223" s="267"/>
      <c r="B223" s="521" t="s">
        <v>245</v>
      </c>
      <c r="C223" s="534"/>
      <c r="D223" s="534"/>
      <c r="E223" s="534"/>
      <c r="F223" s="534"/>
      <c r="G223" s="534"/>
      <c r="H223" s="534"/>
      <c r="I223" s="534"/>
      <c r="J223" s="534"/>
      <c r="K223" s="534"/>
      <c r="L223" s="534">
        <f t="shared" ref="L223:X223" si="152">L222/L8</f>
        <v>5.3469978834800045E-3</v>
      </c>
      <c r="M223" s="534">
        <f t="shared" si="152"/>
        <v>8.8398887564560991E-2</v>
      </c>
      <c r="N223" s="534">
        <f t="shared" si="152"/>
        <v>7.4945533769063183E-2</v>
      </c>
      <c r="O223" s="534">
        <f t="shared" si="152"/>
        <v>0.11774404066772</v>
      </c>
      <c r="P223" s="534">
        <f t="shared" si="152"/>
        <v>0.13616795423718819</v>
      </c>
      <c r="Q223" s="534">
        <f t="shared" si="152"/>
        <v>8.9720599294267372E-2</v>
      </c>
      <c r="R223" s="534">
        <f t="shared" si="152"/>
        <v>0.10027783494546202</v>
      </c>
      <c r="S223" s="534">
        <f t="shared" si="152"/>
        <v>9.2344010368450288E-2</v>
      </c>
      <c r="T223" s="534">
        <f t="shared" si="152"/>
        <v>0.16307018719563954</v>
      </c>
      <c r="U223" s="534">
        <f t="shared" si="152"/>
        <v>0.13302752293577982</v>
      </c>
      <c r="V223" s="534">
        <f t="shared" si="152"/>
        <v>0.1321508251258352</v>
      </c>
      <c r="W223" s="534">
        <f t="shared" si="152"/>
        <v>0.10767502027080864</v>
      </c>
      <c r="X223" s="534">
        <f t="shared" si="152"/>
        <v>9.0500160044588371E-2</v>
      </c>
      <c r="Y223" s="534">
        <f>Y222/Y8</f>
        <v>8.7901453328294243E-2</v>
      </c>
      <c r="Z223" s="567">
        <f t="shared" ref="Z223:AI223" si="153">Y223</f>
        <v>8.7901453328294243E-2</v>
      </c>
      <c r="AA223" s="567">
        <f t="shared" si="153"/>
        <v>8.7901453328294243E-2</v>
      </c>
      <c r="AB223" s="567">
        <f t="shared" si="153"/>
        <v>8.7901453328294243E-2</v>
      </c>
      <c r="AC223" s="567">
        <f t="shared" si="153"/>
        <v>8.7901453328294243E-2</v>
      </c>
      <c r="AD223" s="567">
        <f t="shared" si="153"/>
        <v>8.7901453328294243E-2</v>
      </c>
      <c r="AE223" s="567">
        <f t="shared" si="153"/>
        <v>8.7901453328294243E-2</v>
      </c>
      <c r="AF223" s="567">
        <f t="shared" si="153"/>
        <v>8.7901453328294243E-2</v>
      </c>
      <c r="AG223" s="567">
        <f t="shared" si="153"/>
        <v>8.7901453328294243E-2</v>
      </c>
      <c r="AH223" s="567">
        <f t="shared" si="153"/>
        <v>8.7901453328294243E-2</v>
      </c>
      <c r="AI223" s="567">
        <f t="shared" si="153"/>
        <v>8.7901453328294243E-2</v>
      </c>
      <c r="AJ223" s="267"/>
      <c r="AK223" s="267"/>
      <c r="AL223" s="267"/>
      <c r="AM223" s="267"/>
      <c r="AN223" s="267"/>
      <c r="AO223" s="267"/>
      <c r="AP223" s="267"/>
      <c r="AQ223" s="267"/>
      <c r="AR223" s="267"/>
    </row>
    <row r="224" spans="1:44" ht="15.75">
      <c r="A224" s="267"/>
      <c r="B224" s="521" t="s">
        <v>247</v>
      </c>
      <c r="C224" s="522"/>
      <c r="D224" s="522"/>
      <c r="E224" s="522"/>
      <c r="F224" s="522"/>
      <c r="G224" s="522"/>
      <c r="H224" s="522"/>
      <c r="I224" s="522"/>
      <c r="J224" s="522"/>
      <c r="K224" s="522"/>
      <c r="L224" s="522">
        <f t="shared" ref="L224:AI224" si="154">K222-L222</f>
        <v>-48</v>
      </c>
      <c r="M224" s="522">
        <f t="shared" si="154"/>
        <v>-842</v>
      </c>
      <c r="N224" s="522">
        <f t="shared" si="154"/>
        <v>30</v>
      </c>
      <c r="O224" s="522">
        <f t="shared" si="154"/>
        <v>-854</v>
      </c>
      <c r="P224" s="522">
        <f t="shared" si="154"/>
        <v>-595</v>
      </c>
      <c r="Q224" s="522">
        <f t="shared" si="154"/>
        <v>758</v>
      </c>
      <c r="R224" s="522">
        <f t="shared" si="154"/>
        <v>-398</v>
      </c>
      <c r="S224" s="522">
        <f t="shared" si="154"/>
        <v>-46</v>
      </c>
      <c r="T224" s="522">
        <f t="shared" si="154"/>
        <v>-1655</v>
      </c>
      <c r="U224" s="522">
        <f t="shared" si="154"/>
        <v>373</v>
      </c>
      <c r="V224" s="522">
        <f t="shared" si="154"/>
        <v>-311.62899999999991</v>
      </c>
      <c r="W224" s="522">
        <f t="shared" si="154"/>
        <v>372.31799999999976</v>
      </c>
      <c r="X224" s="522">
        <f t="shared" si="154"/>
        <v>244.20900000000029</v>
      </c>
      <c r="Y224" s="522">
        <f t="shared" si="154"/>
        <v>-142.221</v>
      </c>
      <c r="Z224" s="522">
        <f t="shared" si="154"/>
        <v>227.56473226639446</v>
      </c>
      <c r="AA224" s="522">
        <f t="shared" si="154"/>
        <v>-227.56473226639446</v>
      </c>
      <c r="AB224" s="522">
        <f t="shared" si="154"/>
        <v>-268.50566745982587</v>
      </c>
      <c r="AC224" s="522">
        <f t="shared" si="154"/>
        <v>-227.16334082794538</v>
      </c>
      <c r="AD224" s="522">
        <f t="shared" si="154"/>
        <v>-211.54132090278881</v>
      </c>
      <c r="AE224" s="522">
        <f t="shared" si="154"/>
        <v>-191.07666645952759</v>
      </c>
      <c r="AF224" s="522">
        <f t="shared" si="154"/>
        <v>-157.44370615301796</v>
      </c>
      <c r="AG224" s="522">
        <f t="shared" si="154"/>
        <v>-83.045049596495119</v>
      </c>
      <c r="AH224" s="522">
        <f t="shared" si="154"/>
        <v>-85.315437543915323</v>
      </c>
      <c r="AI224" s="522">
        <f t="shared" si="154"/>
        <v>-87.671116920719214</v>
      </c>
      <c r="AJ224" s="267"/>
      <c r="AK224" s="267"/>
      <c r="AL224" s="267"/>
      <c r="AM224" s="267"/>
      <c r="AN224" s="267"/>
      <c r="AO224" s="267"/>
      <c r="AP224" s="267"/>
      <c r="AQ224" s="267"/>
      <c r="AR224" s="267"/>
    </row>
    <row r="225" spans="1:44" ht="15.75">
      <c r="A225" s="267"/>
      <c r="B225" s="521" t="s">
        <v>248</v>
      </c>
      <c r="C225" s="552"/>
      <c r="D225" s="552"/>
      <c r="E225" s="552"/>
      <c r="F225" s="552"/>
      <c r="G225" s="552"/>
      <c r="H225" s="552"/>
      <c r="I225" s="552"/>
      <c r="J225" s="552"/>
      <c r="K225" s="552"/>
      <c r="L225" s="553">
        <f>3436-L60-L61-L62</f>
        <v>895</v>
      </c>
      <c r="M225" s="553">
        <f>3919-M60-M61-M62</f>
        <v>422.30000000000018</v>
      </c>
      <c r="N225" s="553">
        <f>5567-N60-N61-N62</f>
        <v>709</v>
      </c>
      <c r="O225" s="553">
        <f>6065-O60-O61-O62</f>
        <v>1548</v>
      </c>
      <c r="P225" s="553">
        <f>5095-P60-P61-P62</f>
        <v>1632</v>
      </c>
      <c r="Q225" s="553">
        <f>5986-Q60-Q61-Q62</f>
        <v>1318</v>
      </c>
      <c r="R225" s="553">
        <f>6175-R60-R61-R62</f>
        <v>895</v>
      </c>
      <c r="S225" s="553">
        <f>5665-S60-S61-S62</f>
        <v>1465</v>
      </c>
      <c r="T225" s="553">
        <f>9106-T60-T61-T62</f>
        <v>1197</v>
      </c>
      <c r="U225" s="553">
        <f>8672-U60-U61-U62</f>
        <v>1260.7609999999995</v>
      </c>
      <c r="V225" s="553">
        <v>1671.501</v>
      </c>
      <c r="W225" s="553">
        <v>1665.374</v>
      </c>
      <c r="X225" s="553">
        <v>1617.2719999999999</v>
      </c>
      <c r="Y225" s="553">
        <v>1746.4670000000001</v>
      </c>
      <c r="Z225" s="522">
        <f t="shared" ref="Z225:AI225" si="155">Z226*X8</f>
        <v>1618.8520110386453</v>
      </c>
      <c r="AA225" s="522">
        <f t="shared" si="155"/>
        <v>1746.4670000000001</v>
      </c>
      <c r="AB225" s="522">
        <f t="shared" si="155"/>
        <v>1897.0410693985691</v>
      </c>
      <c r="AC225" s="522">
        <f t="shared" si="155"/>
        <v>2024.4309638847094</v>
      </c>
      <c r="AD225" s="522">
        <f t="shared" si="155"/>
        <v>2143.0602570226179</v>
      </c>
      <c r="AE225" s="522">
        <f t="shared" si="155"/>
        <v>2250.2132698737487</v>
      </c>
      <c r="AF225" s="522">
        <f t="shared" si="155"/>
        <v>2338.5054082145507</v>
      </c>
      <c r="AG225" s="522">
        <f t="shared" si="155"/>
        <v>2385.0758630561463</v>
      </c>
      <c r="AH225" s="522">
        <f t="shared" si="155"/>
        <v>2432.9195184062846</v>
      </c>
      <c r="AI225" s="522">
        <f t="shared" si="155"/>
        <v>2482.0842044568894</v>
      </c>
      <c r="AJ225" s="267"/>
      <c r="AK225" s="267"/>
      <c r="AL225" s="267"/>
      <c r="AM225" s="267"/>
      <c r="AN225" s="267"/>
      <c r="AO225" s="267"/>
      <c r="AP225" s="267"/>
      <c r="AQ225" s="267"/>
      <c r="AR225" s="267"/>
    </row>
    <row r="226" spans="1:44" ht="15.75">
      <c r="A226" s="267"/>
      <c r="B226" s="521" t="s">
        <v>245</v>
      </c>
      <c r="C226" s="534"/>
      <c r="D226" s="534"/>
      <c r="E226" s="534"/>
      <c r="F226" s="534"/>
      <c r="G226" s="534"/>
      <c r="H226" s="534"/>
      <c r="I226" s="534"/>
      <c r="J226" s="534"/>
      <c r="K226" s="534"/>
      <c r="L226" s="534">
        <f t="shared" ref="L226:X226" si="156">L225/L8</f>
        <v>9.9699231369054245E-2</v>
      </c>
      <c r="M226" s="534">
        <f t="shared" si="156"/>
        <v>4.1944775526420362E-2</v>
      </c>
      <c r="N226" s="534">
        <f t="shared" si="156"/>
        <v>6.1786492374727671E-2</v>
      </c>
      <c r="O226" s="534">
        <f t="shared" si="156"/>
        <v>0.10634059215497699</v>
      </c>
      <c r="P226" s="534">
        <f t="shared" si="156"/>
        <v>9.6243439287609839E-2</v>
      </c>
      <c r="Q226" s="534">
        <f t="shared" si="156"/>
        <v>7.6242262972175623E-2</v>
      </c>
      <c r="R226" s="534">
        <f t="shared" si="156"/>
        <v>4.6048569664540032E-2</v>
      </c>
      <c r="S226" s="534">
        <f t="shared" si="156"/>
        <v>6.7811516385854476E-2</v>
      </c>
      <c r="T226" s="534">
        <f t="shared" si="156"/>
        <v>5.3478086047446721E-2</v>
      </c>
      <c r="U226" s="534">
        <f t="shared" si="156"/>
        <v>5.117971096857999E-2</v>
      </c>
      <c r="V226" s="534">
        <f t="shared" si="156"/>
        <v>6.1552820408200086E-2</v>
      </c>
      <c r="W226" s="534">
        <f t="shared" si="156"/>
        <v>5.5753059703641111E-2</v>
      </c>
      <c r="X226" s="534">
        <f t="shared" si="156"/>
        <v>4.9245744202463956E-2</v>
      </c>
      <c r="Y226" s="534">
        <f>Y225/Y8</f>
        <v>4.9293855354729126E-2</v>
      </c>
      <c r="Z226" s="567">
        <f t="shared" ref="Z226:AI226" si="157">Y226</f>
        <v>4.9293855354729126E-2</v>
      </c>
      <c r="AA226" s="567">
        <f t="shared" si="157"/>
        <v>4.9293855354729126E-2</v>
      </c>
      <c r="AB226" s="567">
        <f t="shared" si="157"/>
        <v>4.9293855354729126E-2</v>
      </c>
      <c r="AC226" s="567">
        <f t="shared" si="157"/>
        <v>4.9293855354729126E-2</v>
      </c>
      <c r="AD226" s="567">
        <f t="shared" si="157"/>
        <v>4.9293855354729126E-2</v>
      </c>
      <c r="AE226" s="567">
        <f t="shared" si="157"/>
        <v>4.9293855354729126E-2</v>
      </c>
      <c r="AF226" s="567">
        <f t="shared" si="157"/>
        <v>4.9293855354729126E-2</v>
      </c>
      <c r="AG226" s="567">
        <f t="shared" si="157"/>
        <v>4.9293855354729126E-2</v>
      </c>
      <c r="AH226" s="567">
        <f t="shared" si="157"/>
        <v>4.9293855354729126E-2</v>
      </c>
      <c r="AI226" s="567">
        <f t="shared" si="157"/>
        <v>4.9293855354729126E-2</v>
      </c>
      <c r="AJ226" s="267"/>
      <c r="AK226" s="267"/>
      <c r="AL226" s="267"/>
      <c r="AM226" s="267"/>
      <c r="AN226" s="267"/>
      <c r="AO226" s="267"/>
      <c r="AP226" s="267"/>
      <c r="AQ226" s="267"/>
      <c r="AR226" s="267"/>
    </row>
    <row r="227" spans="1:44" ht="15.75">
      <c r="A227" s="267"/>
      <c r="B227" s="521" t="s">
        <v>249</v>
      </c>
      <c r="C227" s="522"/>
      <c r="D227" s="522"/>
      <c r="E227" s="522"/>
      <c r="F227" s="522"/>
      <c r="G227" s="522"/>
      <c r="H227" s="522"/>
      <c r="I227" s="522"/>
      <c r="J227" s="522"/>
      <c r="K227" s="522"/>
      <c r="L227" s="522">
        <f t="shared" ref="L227:AI227" si="158">K225-L225</f>
        <v>-895</v>
      </c>
      <c r="M227" s="522">
        <f t="shared" si="158"/>
        <v>472.69999999999982</v>
      </c>
      <c r="N227" s="522">
        <f t="shared" si="158"/>
        <v>-286.69999999999982</v>
      </c>
      <c r="O227" s="522">
        <f t="shared" si="158"/>
        <v>-839</v>
      </c>
      <c r="P227" s="522">
        <f t="shared" si="158"/>
        <v>-84</v>
      </c>
      <c r="Q227" s="522">
        <f t="shared" si="158"/>
        <v>314</v>
      </c>
      <c r="R227" s="522">
        <f t="shared" si="158"/>
        <v>423</v>
      </c>
      <c r="S227" s="522">
        <f t="shared" si="158"/>
        <v>-570</v>
      </c>
      <c r="T227" s="522">
        <f t="shared" si="158"/>
        <v>268</v>
      </c>
      <c r="U227" s="522">
        <f t="shared" si="158"/>
        <v>-63.760999999999513</v>
      </c>
      <c r="V227" s="522">
        <f t="shared" si="158"/>
        <v>-410.74000000000046</v>
      </c>
      <c r="W227" s="522">
        <f t="shared" si="158"/>
        <v>6.1269999999999527</v>
      </c>
      <c r="X227" s="522">
        <f t="shared" si="158"/>
        <v>48.102000000000089</v>
      </c>
      <c r="Y227" s="522">
        <f t="shared" si="158"/>
        <v>-129.19500000000016</v>
      </c>
      <c r="Z227" s="522">
        <f t="shared" si="158"/>
        <v>127.61498896135481</v>
      </c>
      <c r="AA227" s="522">
        <f t="shared" si="158"/>
        <v>-127.61498896135481</v>
      </c>
      <c r="AB227" s="522">
        <f t="shared" si="158"/>
        <v>-150.57406939856901</v>
      </c>
      <c r="AC227" s="522">
        <f t="shared" si="158"/>
        <v>-127.38989448614029</v>
      </c>
      <c r="AD227" s="522">
        <f t="shared" si="158"/>
        <v>-118.62929313790846</v>
      </c>
      <c r="AE227" s="522">
        <f t="shared" si="158"/>
        <v>-107.15301285113082</v>
      </c>
      <c r="AF227" s="522">
        <f t="shared" si="158"/>
        <v>-88.292138340802012</v>
      </c>
      <c r="AG227" s="522">
        <f t="shared" si="158"/>
        <v>-46.57045484159562</v>
      </c>
      <c r="AH227" s="522">
        <f t="shared" si="158"/>
        <v>-47.843655350138306</v>
      </c>
      <c r="AI227" s="522">
        <f t="shared" si="158"/>
        <v>-49.164686050604814</v>
      </c>
      <c r="AJ227" s="267"/>
      <c r="AK227" s="267"/>
      <c r="AL227" s="267"/>
      <c r="AM227" s="267"/>
      <c r="AN227" s="267"/>
      <c r="AO227" s="267"/>
      <c r="AP227" s="267"/>
      <c r="AQ227" s="267"/>
      <c r="AR227" s="267"/>
    </row>
    <row r="228" spans="1:44" ht="15.75">
      <c r="A228" s="267"/>
      <c r="B228" s="521"/>
      <c r="C228" s="521"/>
      <c r="D228" s="521"/>
      <c r="E228" s="521"/>
      <c r="F228" s="521"/>
      <c r="G228" s="521"/>
      <c r="H228" s="521"/>
      <c r="I228" s="521"/>
      <c r="J228" s="521"/>
      <c r="K228" s="521"/>
      <c r="L228" s="521"/>
      <c r="M228" s="521"/>
      <c r="N228" s="521"/>
      <c r="O228" s="521"/>
      <c r="P228" s="521"/>
      <c r="Q228" s="521"/>
      <c r="R228" s="521"/>
      <c r="S228" s="521"/>
      <c r="T228" s="521"/>
      <c r="U228" s="521"/>
      <c r="V228" s="521"/>
      <c r="W228" s="521"/>
      <c r="X228" s="521"/>
      <c r="Y228" s="521"/>
      <c r="Z228" s="521"/>
      <c r="AA228" s="521"/>
      <c r="AB228" s="521"/>
      <c r="AC228" s="521"/>
      <c r="AD228" s="521"/>
      <c r="AE228" s="521"/>
      <c r="AF228" s="521"/>
      <c r="AG228" s="521"/>
      <c r="AH228" s="521"/>
      <c r="AI228" s="521"/>
      <c r="AJ228" s="267"/>
      <c r="AK228" s="267"/>
      <c r="AL228" s="267"/>
      <c r="AM228" s="267"/>
      <c r="AN228" s="267"/>
      <c r="AO228" s="267"/>
      <c r="AP228" s="267"/>
      <c r="AQ228" s="267"/>
      <c r="AR228" s="267"/>
    </row>
    <row r="229" spans="1:44" ht="15.75">
      <c r="A229" s="267"/>
      <c r="B229" s="521" t="s">
        <v>162</v>
      </c>
      <c r="C229" s="552"/>
      <c r="D229" s="552"/>
      <c r="E229" s="552"/>
      <c r="F229" s="552"/>
      <c r="G229" s="552"/>
      <c r="H229" s="552"/>
      <c r="I229" s="552"/>
      <c r="J229" s="552"/>
      <c r="K229" s="552"/>
      <c r="L229" s="553">
        <f>593+538</f>
        <v>1131</v>
      </c>
      <c r="M229" s="553">
        <f>683+642</f>
        <v>1325</v>
      </c>
      <c r="N229" s="553">
        <f>872+84</f>
        <v>956</v>
      </c>
      <c r="O229" s="553">
        <v>1498</v>
      </c>
      <c r="P229" s="553">
        <v>1922</v>
      </c>
      <c r="Q229" s="553">
        <v>1549</v>
      </c>
      <c r="R229" s="553">
        <v>1976</v>
      </c>
      <c r="S229" s="553">
        <v>838</v>
      </c>
      <c r="T229" s="553">
        <v>1717</v>
      </c>
      <c r="U229" s="553">
        <v>1844</v>
      </c>
      <c r="V229" s="553">
        <f>1191.205</f>
        <v>1191.2049999999999</v>
      </c>
      <c r="W229" s="553">
        <v>1680.923</v>
      </c>
      <c r="X229" s="553">
        <v>1743.4079999999999</v>
      </c>
      <c r="Y229" s="553">
        <v>1622.865</v>
      </c>
      <c r="Z229" s="522">
        <f t="shared" ref="Z229:AI229" si="159">Z230*X8</f>
        <v>1504.2816548461728</v>
      </c>
      <c r="AA229" s="522">
        <f t="shared" si="159"/>
        <v>1622.865</v>
      </c>
      <c r="AB229" s="522">
        <f t="shared" si="159"/>
        <v>1762.7825519116643</v>
      </c>
      <c r="AC229" s="522">
        <f t="shared" si="159"/>
        <v>1881.1567331101926</v>
      </c>
      <c r="AD229" s="522">
        <f t="shared" si="159"/>
        <v>1991.3903234432776</v>
      </c>
      <c r="AE229" s="522">
        <f t="shared" si="159"/>
        <v>2090.9598396154411</v>
      </c>
      <c r="AF229" s="522">
        <f t="shared" si="159"/>
        <v>2173.0033142922866</v>
      </c>
      <c r="AG229" s="522">
        <f t="shared" si="159"/>
        <v>2216.277857238993</v>
      </c>
      <c r="AH229" s="522">
        <f t="shared" si="159"/>
        <v>2260.7354929915164</v>
      </c>
      <c r="AI229" s="522">
        <f t="shared" si="159"/>
        <v>2306.4206666750242</v>
      </c>
      <c r="AJ229" s="267"/>
      <c r="AK229" s="267"/>
      <c r="AL229" s="267"/>
      <c r="AM229" s="267"/>
      <c r="AN229" s="267"/>
      <c r="AO229" s="267"/>
      <c r="AP229" s="267"/>
      <c r="AQ229" s="267"/>
      <c r="AR229" s="267"/>
    </row>
    <row r="230" spans="1:44" ht="15.75">
      <c r="A230" s="267"/>
      <c r="B230" s="521" t="s">
        <v>245</v>
      </c>
      <c r="C230" s="534"/>
      <c r="D230" s="534"/>
      <c r="E230" s="534"/>
      <c r="F230" s="534"/>
      <c r="G230" s="534"/>
      <c r="H230" s="534"/>
      <c r="I230" s="534"/>
      <c r="J230" s="534"/>
      <c r="K230" s="534"/>
      <c r="L230" s="534">
        <f t="shared" ref="L230:X230" si="160">L229/L8</f>
        <v>0.12598863762949761</v>
      </c>
      <c r="M230" s="534">
        <f t="shared" si="160"/>
        <v>0.13160508541914978</v>
      </c>
      <c r="N230" s="534">
        <f t="shared" si="160"/>
        <v>8.3311546840958609E-2</v>
      </c>
      <c r="O230" s="534">
        <f t="shared" si="160"/>
        <v>0.10290581850656041</v>
      </c>
      <c r="P230" s="534">
        <f t="shared" si="160"/>
        <v>0.11334552102376599</v>
      </c>
      <c r="Q230" s="534">
        <f t="shared" si="160"/>
        <v>8.9604905420257994E-2</v>
      </c>
      <c r="R230" s="534">
        <f t="shared" si="160"/>
        <v>0.10166700967277217</v>
      </c>
      <c r="S230" s="534">
        <f t="shared" si="160"/>
        <v>3.8789113127198668E-2</v>
      </c>
      <c r="T230" s="534">
        <f t="shared" si="160"/>
        <v>7.6710003127373458E-2</v>
      </c>
      <c r="U230" s="534">
        <f t="shared" si="160"/>
        <v>7.4855890233011285E-2</v>
      </c>
      <c r="V230" s="534">
        <f t="shared" si="160"/>
        <v>4.3865978802495473E-2</v>
      </c>
      <c r="W230" s="534">
        <f t="shared" si="160"/>
        <v>5.6273606034574535E-2</v>
      </c>
      <c r="X230" s="534">
        <f t="shared" si="160"/>
        <v>5.3086570724361321E-2</v>
      </c>
      <c r="Y230" s="534">
        <f>Y229/Y8</f>
        <v>4.580520134090852E-2</v>
      </c>
      <c r="Z230" s="567">
        <f t="shared" ref="Z230:AI230" si="161">Y230</f>
        <v>4.580520134090852E-2</v>
      </c>
      <c r="AA230" s="567">
        <f t="shared" si="161"/>
        <v>4.580520134090852E-2</v>
      </c>
      <c r="AB230" s="567">
        <f t="shared" si="161"/>
        <v>4.580520134090852E-2</v>
      </c>
      <c r="AC230" s="567">
        <f t="shared" si="161"/>
        <v>4.580520134090852E-2</v>
      </c>
      <c r="AD230" s="567">
        <f t="shared" si="161"/>
        <v>4.580520134090852E-2</v>
      </c>
      <c r="AE230" s="567">
        <f t="shared" si="161"/>
        <v>4.580520134090852E-2</v>
      </c>
      <c r="AF230" s="567">
        <f t="shared" si="161"/>
        <v>4.580520134090852E-2</v>
      </c>
      <c r="AG230" s="567">
        <f t="shared" si="161"/>
        <v>4.580520134090852E-2</v>
      </c>
      <c r="AH230" s="567">
        <f t="shared" si="161"/>
        <v>4.580520134090852E-2</v>
      </c>
      <c r="AI230" s="567">
        <f t="shared" si="161"/>
        <v>4.580520134090852E-2</v>
      </c>
      <c r="AJ230" s="267"/>
      <c r="AK230" s="267"/>
      <c r="AL230" s="267"/>
      <c r="AM230" s="267"/>
      <c r="AN230" s="267"/>
      <c r="AO230" s="267"/>
      <c r="AP230" s="267"/>
      <c r="AQ230" s="267"/>
      <c r="AR230" s="267"/>
    </row>
    <row r="231" spans="1:44" ht="15.75">
      <c r="A231" s="267"/>
      <c r="B231" s="521" t="s">
        <v>250</v>
      </c>
      <c r="C231" s="522"/>
      <c r="D231" s="522"/>
      <c r="E231" s="522"/>
      <c r="F231" s="522"/>
      <c r="G231" s="522"/>
      <c r="H231" s="522"/>
      <c r="I231" s="522"/>
      <c r="J231" s="522"/>
      <c r="K231" s="522"/>
      <c r="L231" s="522">
        <f t="shared" ref="L231:AI231" si="162">K229-L229</f>
        <v>-1131</v>
      </c>
      <c r="M231" s="522">
        <f t="shared" si="162"/>
        <v>-194</v>
      </c>
      <c r="N231" s="522">
        <f t="shared" si="162"/>
        <v>369</v>
      </c>
      <c r="O231" s="522">
        <f t="shared" si="162"/>
        <v>-542</v>
      </c>
      <c r="P231" s="522">
        <f t="shared" si="162"/>
        <v>-424</v>
      </c>
      <c r="Q231" s="522">
        <f t="shared" si="162"/>
        <v>373</v>
      </c>
      <c r="R231" s="522">
        <f t="shared" si="162"/>
        <v>-427</v>
      </c>
      <c r="S231" s="522">
        <f t="shared" si="162"/>
        <v>1138</v>
      </c>
      <c r="T231" s="522">
        <f t="shared" si="162"/>
        <v>-879</v>
      </c>
      <c r="U231" s="522">
        <f t="shared" si="162"/>
        <v>-127</v>
      </c>
      <c r="V231" s="522">
        <f t="shared" si="162"/>
        <v>652.79500000000007</v>
      </c>
      <c r="W231" s="522">
        <f t="shared" si="162"/>
        <v>-489.71800000000007</v>
      </c>
      <c r="X231" s="522">
        <f t="shared" si="162"/>
        <v>-62.4849999999999</v>
      </c>
      <c r="Y231" s="522">
        <f t="shared" si="162"/>
        <v>120.54299999999989</v>
      </c>
      <c r="Z231" s="522">
        <f t="shared" si="162"/>
        <v>118.58334515382717</v>
      </c>
      <c r="AA231" s="522">
        <f t="shared" si="162"/>
        <v>-118.58334515382717</v>
      </c>
      <c r="AB231" s="522">
        <f t="shared" si="162"/>
        <v>-139.9175519116643</v>
      </c>
      <c r="AC231" s="522">
        <f t="shared" si="162"/>
        <v>-118.37418119852828</v>
      </c>
      <c r="AD231" s="522">
        <f t="shared" si="162"/>
        <v>-110.23359033308498</v>
      </c>
      <c r="AE231" s="522">
        <f t="shared" si="162"/>
        <v>-99.569516172163503</v>
      </c>
      <c r="AF231" s="522">
        <f t="shared" si="162"/>
        <v>-82.043474676845562</v>
      </c>
      <c r="AG231" s="522">
        <f t="shared" si="162"/>
        <v>-43.274542946706333</v>
      </c>
      <c r="AH231" s="522">
        <f t="shared" si="162"/>
        <v>-44.457635752523402</v>
      </c>
      <c r="AI231" s="522">
        <f t="shared" si="162"/>
        <v>-45.685173683507855</v>
      </c>
      <c r="AJ231" s="267"/>
      <c r="AK231" s="267"/>
      <c r="AL231" s="267"/>
      <c r="AM231" s="267"/>
      <c r="AN231" s="267"/>
      <c r="AO231" s="267"/>
      <c r="AP231" s="267"/>
      <c r="AQ231" s="267"/>
      <c r="AR231" s="267"/>
    </row>
    <row r="232" spans="1:44" ht="15.75">
      <c r="A232" s="267"/>
      <c r="B232" s="521" t="s">
        <v>161</v>
      </c>
      <c r="C232" s="552"/>
      <c r="D232" s="552"/>
      <c r="E232" s="552"/>
      <c r="F232" s="552"/>
      <c r="G232" s="552"/>
      <c r="H232" s="552"/>
      <c r="I232" s="552"/>
      <c r="J232" s="552"/>
      <c r="K232" s="552"/>
      <c r="L232" s="553">
        <f>3714-L73-L74</f>
        <v>471</v>
      </c>
      <c r="M232" s="553">
        <f>1762-M73-M74</f>
        <v>351</v>
      </c>
      <c r="N232" s="553">
        <f>2299-N73-N74</f>
        <v>658</v>
      </c>
      <c r="O232" s="553">
        <f>4818-O73-O74</f>
        <v>1132</v>
      </c>
      <c r="P232" s="553">
        <f>4871-P73-P74</f>
        <v>1376</v>
      </c>
      <c r="Q232" s="553">
        <f>3634-Q73-Q74</f>
        <v>1953</v>
      </c>
      <c r="R232" s="553">
        <f>7850-R73-R74</f>
        <v>2095.4</v>
      </c>
      <c r="S232" s="553">
        <f>2714-S73-S74</f>
        <v>1625</v>
      </c>
      <c r="T232" s="553">
        <f>6293-T73-T74</f>
        <v>3285.1639999999998</v>
      </c>
      <c r="U232" s="553">
        <f>11700-U73-U74</f>
        <v>5296.3190000000004</v>
      </c>
      <c r="V232" s="553">
        <f>8941.445-V73-V74</f>
        <v>4335.5119999999997</v>
      </c>
      <c r="W232" s="553">
        <f>11474.112-W73-W74</f>
        <v>4059.0509999999986</v>
      </c>
      <c r="X232" s="553">
        <f>7301.639-X73-X74</f>
        <v>3880.7659999999996</v>
      </c>
      <c r="Y232" s="553">
        <f>7758.791-Y73-Y74</f>
        <v>3983.9220000000005</v>
      </c>
      <c r="Z232" s="522">
        <f t="shared" ref="Z232:AI232" si="163">Z233*X8</f>
        <v>3743.8566719999999</v>
      </c>
      <c r="AA232" s="522">
        <f t="shared" si="163"/>
        <v>4074.4166500000001</v>
      </c>
      <c r="AB232" s="522">
        <f t="shared" si="163"/>
        <v>4464.1824516800016</v>
      </c>
      <c r="AC232" s="522">
        <f t="shared" si="163"/>
        <v>4805.0293707000019</v>
      </c>
      <c r="AD232" s="522">
        <f t="shared" si="163"/>
        <v>5130.0736878639818</v>
      </c>
      <c r="AE232" s="522">
        <f t="shared" si="163"/>
        <v>5432.2263330390206</v>
      </c>
      <c r="AF232" s="522">
        <f t="shared" si="163"/>
        <v>5692.8119532615156</v>
      </c>
      <c r="AG232" s="522">
        <f t="shared" si="163"/>
        <v>5854.5670115069779</v>
      </c>
      <c r="AH232" s="522">
        <f t="shared" si="163"/>
        <v>6021.3626852599382</v>
      </c>
      <c r="AI232" s="522">
        <f t="shared" si="163"/>
        <v>6193.3958086909524</v>
      </c>
      <c r="AJ232" s="267"/>
      <c r="AK232" s="267"/>
      <c r="AL232" s="267"/>
      <c r="AM232" s="267"/>
      <c r="AN232" s="267"/>
      <c r="AO232" s="267"/>
      <c r="AP232" s="267"/>
      <c r="AQ232" s="267"/>
      <c r="AR232" s="267"/>
    </row>
    <row r="233" spans="1:44" ht="15.75">
      <c r="A233" s="267"/>
      <c r="B233" s="521" t="s">
        <v>245</v>
      </c>
      <c r="C233" s="534"/>
      <c r="D233" s="534"/>
      <c r="E233" s="534"/>
      <c r="F233" s="534"/>
      <c r="G233" s="534"/>
      <c r="H233" s="534"/>
      <c r="I233" s="534"/>
      <c r="J233" s="534"/>
      <c r="K233" s="534"/>
      <c r="L233" s="534">
        <f t="shared" ref="L233:X233" si="164">L232/L8</f>
        <v>5.2467416731647544E-2</v>
      </c>
      <c r="M233" s="534">
        <f t="shared" si="164"/>
        <v>3.4862932061978547E-2</v>
      </c>
      <c r="N233" s="534">
        <f t="shared" si="164"/>
        <v>5.7342047930283226E-2</v>
      </c>
      <c r="O233" s="534">
        <f t="shared" si="164"/>
        <v>7.7763275400151127E-2</v>
      </c>
      <c r="P233" s="534">
        <f t="shared" si="164"/>
        <v>8.1146429203278886E-2</v>
      </c>
      <c r="Q233" s="534">
        <f t="shared" si="164"/>
        <v>0.11297506797015099</v>
      </c>
      <c r="R233" s="534">
        <f t="shared" si="164"/>
        <v>0.10781024902243261</v>
      </c>
      <c r="S233" s="534">
        <f t="shared" si="164"/>
        <v>7.5217552305128679E-2</v>
      </c>
      <c r="T233" s="534">
        <f t="shared" si="164"/>
        <v>0.14677049546530849</v>
      </c>
      <c r="U233" s="534">
        <f t="shared" si="164"/>
        <v>0.21500036534870506</v>
      </c>
      <c r="V233" s="534">
        <f t="shared" si="164"/>
        <v>0.15965470048393413</v>
      </c>
      <c r="W233" s="534">
        <f t="shared" si="164"/>
        <v>0.13588810245814098</v>
      </c>
      <c r="X233" s="534">
        <f t="shared" si="164"/>
        <v>0.11816887310583453</v>
      </c>
      <c r="Y233" s="534">
        <f>Y232/Y8</f>
        <v>0.11244579760884299</v>
      </c>
      <c r="Z233" s="567">
        <v>0.114</v>
      </c>
      <c r="AA233" s="567">
        <v>0.115</v>
      </c>
      <c r="AB233" s="567">
        <f>AA233+0.1%</f>
        <v>0.11600000000000001</v>
      </c>
      <c r="AC233" s="567">
        <f t="shared" ref="AC233:AI233" si="165">AB233+0.1%</f>
        <v>0.11700000000000001</v>
      </c>
      <c r="AD233" s="567">
        <f t="shared" si="165"/>
        <v>0.11800000000000001</v>
      </c>
      <c r="AE233" s="567">
        <f t="shared" si="165"/>
        <v>0.11900000000000001</v>
      </c>
      <c r="AF233" s="567">
        <f t="shared" si="165"/>
        <v>0.12000000000000001</v>
      </c>
      <c r="AG233" s="567">
        <f t="shared" si="165"/>
        <v>0.12100000000000001</v>
      </c>
      <c r="AH233" s="567">
        <f t="shared" si="165"/>
        <v>0.12200000000000001</v>
      </c>
      <c r="AI233" s="567">
        <f t="shared" si="165"/>
        <v>0.12300000000000001</v>
      </c>
      <c r="AJ233" s="267"/>
      <c r="AK233" s="267"/>
      <c r="AL233" s="267"/>
      <c r="AM233" s="267"/>
      <c r="AN233" s="267"/>
      <c r="AO233" s="267"/>
      <c r="AP233" s="267"/>
      <c r="AQ233" s="267"/>
      <c r="AR233" s="267"/>
    </row>
    <row r="234" spans="1:44" ht="15.75">
      <c r="A234" s="267"/>
      <c r="B234" s="521" t="s">
        <v>251</v>
      </c>
      <c r="C234" s="522"/>
      <c r="D234" s="522"/>
      <c r="E234" s="522"/>
      <c r="F234" s="522"/>
      <c r="G234" s="522"/>
      <c r="H234" s="522"/>
      <c r="I234" s="522"/>
      <c r="J234" s="522"/>
      <c r="K234" s="522"/>
      <c r="L234" s="522">
        <f t="shared" ref="L234:T234" si="166">K232-L232</f>
        <v>-471</v>
      </c>
      <c r="M234" s="522">
        <f t="shared" si="166"/>
        <v>120</v>
      </c>
      <c r="N234" s="522">
        <f t="shared" si="166"/>
        <v>-307</v>
      </c>
      <c r="O234" s="522">
        <f t="shared" si="166"/>
        <v>-474</v>
      </c>
      <c r="P234" s="522">
        <f t="shared" si="166"/>
        <v>-244</v>
      </c>
      <c r="Q234" s="522">
        <f t="shared" si="166"/>
        <v>-577</v>
      </c>
      <c r="R234" s="522">
        <f t="shared" si="166"/>
        <v>-142.40000000000009</v>
      </c>
      <c r="S234" s="522">
        <f t="shared" si="166"/>
        <v>470.40000000000009</v>
      </c>
      <c r="T234" s="522">
        <f t="shared" si="166"/>
        <v>-1660.1639999999998</v>
      </c>
      <c r="U234" s="534">
        <f>U233/U9</f>
        <v>2.1378734685029177</v>
      </c>
      <c r="V234" s="534">
        <f>V233/V9</f>
        <v>1.559725602543365</v>
      </c>
      <c r="W234" s="522">
        <f t="shared" ref="W234:AI234" si="167">V232-W232</f>
        <v>276.46100000000115</v>
      </c>
      <c r="X234" s="522">
        <f t="shared" si="167"/>
        <v>178.28499999999894</v>
      </c>
      <c r="Y234" s="522">
        <f t="shared" si="167"/>
        <v>-103.15600000000086</v>
      </c>
      <c r="Z234" s="522">
        <f t="shared" si="167"/>
        <v>240.06532800000059</v>
      </c>
      <c r="AA234" s="522">
        <f t="shared" si="167"/>
        <v>-330.55997800000023</v>
      </c>
      <c r="AB234" s="522">
        <f t="shared" si="167"/>
        <v>-389.76580168000146</v>
      </c>
      <c r="AC234" s="522">
        <f t="shared" si="167"/>
        <v>-340.84691902000031</v>
      </c>
      <c r="AD234" s="522">
        <f t="shared" si="167"/>
        <v>-325.04431716397994</v>
      </c>
      <c r="AE234" s="522">
        <f t="shared" si="167"/>
        <v>-302.15264517503874</v>
      </c>
      <c r="AF234" s="522">
        <f t="shared" si="167"/>
        <v>-260.58562022249498</v>
      </c>
      <c r="AG234" s="522">
        <f t="shared" si="167"/>
        <v>-161.75505824546235</v>
      </c>
      <c r="AH234" s="522">
        <f t="shared" si="167"/>
        <v>-166.79567375296028</v>
      </c>
      <c r="AI234" s="522">
        <f t="shared" si="167"/>
        <v>-172.03312343101425</v>
      </c>
      <c r="AJ234" s="267"/>
      <c r="AK234" s="267"/>
      <c r="AL234" s="267"/>
      <c r="AM234" s="267"/>
      <c r="AN234" s="267"/>
      <c r="AO234" s="267"/>
      <c r="AP234" s="267"/>
      <c r="AQ234" s="267"/>
      <c r="AR234" s="267"/>
    </row>
    <row r="235" spans="1:44" ht="15.75">
      <c r="A235" s="267"/>
      <c r="B235" s="521"/>
      <c r="C235" s="522"/>
      <c r="D235" s="522"/>
      <c r="E235" s="522"/>
      <c r="F235" s="522"/>
      <c r="G235" s="522"/>
      <c r="H235" s="522"/>
      <c r="I235" s="522"/>
      <c r="J235" s="522"/>
      <c r="K235" s="522"/>
      <c r="L235" s="522"/>
      <c r="M235" s="522"/>
      <c r="N235" s="522"/>
      <c r="O235" s="522"/>
      <c r="P235" s="522"/>
      <c r="Q235" s="522"/>
      <c r="R235" s="522"/>
      <c r="S235" s="522"/>
      <c r="T235" s="522"/>
      <c r="U235" s="522"/>
      <c r="V235" s="522"/>
      <c r="W235" s="522"/>
      <c r="X235" s="522"/>
      <c r="Y235" s="522"/>
      <c r="Z235" s="522"/>
      <c r="AA235" s="522"/>
      <c r="AB235" s="522"/>
      <c r="AC235" s="522"/>
      <c r="AD235" s="522"/>
      <c r="AE235" s="522"/>
      <c r="AF235" s="522"/>
      <c r="AG235" s="522"/>
      <c r="AH235" s="522"/>
      <c r="AI235" s="522"/>
      <c r="AJ235" s="267"/>
      <c r="AK235" s="267"/>
      <c r="AL235" s="267"/>
      <c r="AM235" s="267"/>
      <c r="AN235" s="267"/>
      <c r="AO235" s="267"/>
      <c r="AP235" s="267"/>
      <c r="AQ235" s="267"/>
      <c r="AR235" s="267"/>
    </row>
    <row r="236" spans="1:44" ht="15.75">
      <c r="A236" s="267"/>
      <c r="B236" s="520" t="s">
        <v>252</v>
      </c>
      <c r="C236" s="523"/>
      <c r="D236" s="523"/>
      <c r="E236" s="523"/>
      <c r="F236" s="523"/>
      <c r="G236" s="523"/>
      <c r="H236" s="523"/>
      <c r="I236" s="523"/>
      <c r="J236" s="523"/>
      <c r="K236" s="523"/>
      <c r="L236" s="523">
        <f t="shared" ref="L236:AI236" si="168">L221+L224+L227-L231-L234</f>
        <v>659</v>
      </c>
      <c r="M236" s="523">
        <f t="shared" si="168"/>
        <v>-295.30000000000018</v>
      </c>
      <c r="N236" s="523">
        <f t="shared" si="168"/>
        <v>-318.69999999999982</v>
      </c>
      <c r="O236" s="523">
        <f t="shared" si="168"/>
        <v>-677</v>
      </c>
      <c r="P236" s="523">
        <f t="shared" si="168"/>
        <v>-11</v>
      </c>
      <c r="Q236" s="523">
        <f t="shared" si="168"/>
        <v>1276</v>
      </c>
      <c r="R236" s="523">
        <f t="shared" si="168"/>
        <v>594.40000000000009</v>
      </c>
      <c r="S236" s="523">
        <f t="shared" si="168"/>
        <v>-2224.4</v>
      </c>
      <c r="T236" s="523">
        <f t="shared" si="168"/>
        <v>1152.1639999999998</v>
      </c>
      <c r="U236" s="523">
        <f t="shared" si="168"/>
        <v>3.2921265314975439</v>
      </c>
      <c r="V236" s="523">
        <f t="shared" si="168"/>
        <v>-1597.8507256025437</v>
      </c>
      <c r="W236" s="523">
        <f t="shared" si="168"/>
        <v>475.26499999999862</v>
      </c>
      <c r="X236" s="523">
        <f t="shared" si="168"/>
        <v>311.91600000000142</v>
      </c>
      <c r="Y236" s="523">
        <f t="shared" si="168"/>
        <v>-291.37699999999927</v>
      </c>
      <c r="Z236" s="523">
        <f t="shared" si="168"/>
        <v>42.970336829149915</v>
      </c>
      <c r="AA236" s="523">
        <f t="shared" si="168"/>
        <v>47.524313170849723</v>
      </c>
      <c r="AB236" s="523">
        <f t="shared" si="168"/>
        <v>55.809483655631652</v>
      </c>
      <c r="AC236" s="523">
        <f t="shared" si="168"/>
        <v>58.310488371413385</v>
      </c>
      <c r="AD236" s="523">
        <f t="shared" si="168"/>
        <v>61.937913090490269</v>
      </c>
      <c r="AE236" s="523">
        <f t="shared" si="168"/>
        <v>64.499337537716656</v>
      </c>
      <c r="AF236" s="523">
        <f t="shared" si="168"/>
        <v>64.763606853486522</v>
      </c>
      <c r="AG236" s="523">
        <f t="shared" si="168"/>
        <v>58.46703734159712</v>
      </c>
      <c r="AH236" s="523">
        <f t="shared" si="168"/>
        <v>60.683837595658474</v>
      </c>
      <c r="AI236" s="523">
        <f t="shared" si="168"/>
        <v>62.99139004448125</v>
      </c>
      <c r="AJ236" s="267"/>
      <c r="AK236" s="267"/>
      <c r="AL236" s="267"/>
      <c r="AM236" s="267"/>
      <c r="AN236" s="267"/>
      <c r="AO236" s="267"/>
      <c r="AP236" s="267"/>
      <c r="AQ236" s="267"/>
      <c r="AR236" s="267"/>
    </row>
    <row r="237" spans="1:44" ht="15.75">
      <c r="A237" s="267"/>
      <c r="B237" s="520" t="s">
        <v>3381</v>
      </c>
      <c r="C237" s="523"/>
      <c r="D237" s="523"/>
      <c r="E237" s="523"/>
      <c r="F237" s="523"/>
      <c r="G237" s="523"/>
      <c r="H237" s="523"/>
      <c r="I237" s="523"/>
      <c r="J237" s="523"/>
      <c r="K237" s="523"/>
      <c r="L237" s="523"/>
      <c r="M237" s="523"/>
      <c r="N237" s="523"/>
      <c r="O237" s="523"/>
      <c r="P237" s="523"/>
      <c r="Q237" s="523"/>
      <c r="R237" s="523"/>
      <c r="S237" s="523"/>
      <c r="T237" s="523"/>
      <c r="U237" s="1030">
        <f>13147.084-12088.249</f>
        <v>1058.8350000000009</v>
      </c>
      <c r="V237" s="1030">
        <f>11782.238-12484.199</f>
        <v>-701.96100000000115</v>
      </c>
      <c r="W237" s="1030">
        <f>14093.185-13978.564</f>
        <v>114.62099999999919</v>
      </c>
      <c r="X237" s="1030">
        <f>14508.981-14476.189</f>
        <v>32.791999999999462</v>
      </c>
      <c r="Y237" s="829">
        <v>0</v>
      </c>
      <c r="Z237" s="523">
        <f>Z236</f>
        <v>42.970336829149915</v>
      </c>
      <c r="AA237" s="523">
        <f t="shared" ref="AA237:AI237" si="169">AA236</f>
        <v>47.524313170849723</v>
      </c>
      <c r="AB237" s="523">
        <f t="shared" si="169"/>
        <v>55.809483655631652</v>
      </c>
      <c r="AC237" s="523">
        <f t="shared" si="169"/>
        <v>58.310488371413385</v>
      </c>
      <c r="AD237" s="523">
        <f t="shared" si="169"/>
        <v>61.937913090490269</v>
      </c>
      <c r="AE237" s="523">
        <f t="shared" si="169"/>
        <v>64.499337537716656</v>
      </c>
      <c r="AF237" s="523">
        <f t="shared" si="169"/>
        <v>64.763606853486522</v>
      </c>
      <c r="AG237" s="523">
        <f t="shared" si="169"/>
        <v>58.46703734159712</v>
      </c>
      <c r="AH237" s="523">
        <f t="shared" si="169"/>
        <v>60.683837595658474</v>
      </c>
      <c r="AI237" s="523">
        <f t="shared" si="169"/>
        <v>62.99139004448125</v>
      </c>
      <c r="AJ237" s="267"/>
      <c r="AK237" s="267"/>
      <c r="AL237" s="267"/>
      <c r="AM237" s="267"/>
      <c r="AN237" s="267"/>
      <c r="AO237" s="267"/>
      <c r="AP237" s="267"/>
      <c r="AQ237" s="267"/>
      <c r="AR237" s="267"/>
    </row>
    <row r="238" spans="1:44" ht="15.75">
      <c r="A238" s="267"/>
      <c r="B238" s="520"/>
      <c r="C238" s="523"/>
      <c r="D238" s="523"/>
      <c r="E238" s="523"/>
      <c r="F238" s="523"/>
      <c r="G238" s="523"/>
      <c r="H238" s="523"/>
      <c r="I238" s="523"/>
      <c r="J238" s="523"/>
      <c r="K238" s="523"/>
      <c r="L238" s="523"/>
      <c r="M238" s="523"/>
      <c r="N238" s="523"/>
      <c r="O238" s="523"/>
      <c r="P238" s="523"/>
      <c r="Q238" s="523"/>
      <c r="R238" s="523"/>
      <c r="S238" s="523"/>
      <c r="T238" s="523"/>
      <c r="U238" s="523"/>
      <c r="V238" s="523"/>
      <c r="W238" s="523"/>
      <c r="X238" s="523"/>
      <c r="Y238" s="523"/>
      <c r="Z238" s="523"/>
      <c r="AA238" s="523"/>
      <c r="AB238" s="523"/>
      <c r="AC238" s="523"/>
      <c r="AD238" s="523"/>
      <c r="AE238" s="523"/>
      <c r="AF238" s="523"/>
      <c r="AG238" s="523"/>
      <c r="AH238" s="523"/>
      <c r="AI238" s="523"/>
      <c r="AJ238" s="267"/>
      <c r="AK238" s="267"/>
      <c r="AL238" s="267"/>
      <c r="AM238" s="267"/>
      <c r="AN238" s="267"/>
      <c r="AO238" s="267"/>
      <c r="AP238" s="267"/>
      <c r="AQ238" s="267"/>
      <c r="AR238" s="267"/>
    </row>
    <row r="239" spans="1:44" ht="15.75">
      <c r="A239" s="267"/>
      <c r="B239" s="520"/>
      <c r="C239" s="523"/>
      <c r="D239" s="523"/>
      <c r="E239" s="523"/>
      <c r="F239" s="523"/>
      <c r="G239" s="523"/>
      <c r="H239" s="523"/>
      <c r="I239" s="523"/>
      <c r="J239" s="523"/>
      <c r="K239" s="523"/>
      <c r="L239" s="523"/>
      <c r="M239" s="523"/>
      <c r="N239" s="523"/>
      <c r="O239" s="523"/>
      <c r="P239" s="523"/>
      <c r="Q239" s="523"/>
      <c r="R239" s="523"/>
      <c r="S239" s="523"/>
      <c r="T239" s="523"/>
      <c r="U239" s="523"/>
      <c r="V239" s="523"/>
      <c r="W239" s="523"/>
      <c r="X239" s="523"/>
      <c r="Y239" s="523"/>
      <c r="Z239" s="523"/>
      <c r="AA239" s="523"/>
      <c r="AB239" s="523"/>
      <c r="AC239" s="523"/>
      <c r="AD239" s="523"/>
      <c r="AE239" s="523"/>
      <c r="AF239" s="523"/>
      <c r="AG239" s="523"/>
      <c r="AH239" s="523"/>
      <c r="AI239" s="523"/>
      <c r="AJ239" s="267"/>
      <c r="AK239" s="267"/>
      <c r="AL239" s="267"/>
      <c r="AM239" s="267"/>
      <c r="AN239" s="267"/>
      <c r="AO239" s="267"/>
      <c r="AP239" s="267"/>
      <c r="AQ239" s="267"/>
      <c r="AR239" s="267"/>
    </row>
    <row r="240" spans="1:44" ht="15.75">
      <c r="A240" s="267"/>
      <c r="B240" s="520"/>
      <c r="C240" s="523"/>
      <c r="D240" s="523"/>
      <c r="E240" s="523"/>
      <c r="F240" s="523"/>
      <c r="G240" s="523"/>
      <c r="H240" s="523"/>
      <c r="I240" s="523"/>
      <c r="J240" s="523"/>
      <c r="K240" s="523"/>
      <c r="L240" s="523"/>
      <c r="M240" s="523"/>
      <c r="N240" s="523"/>
      <c r="O240" s="523"/>
      <c r="P240" s="523"/>
      <c r="Q240" s="523"/>
      <c r="R240" s="523"/>
      <c r="S240" s="523"/>
      <c r="T240" s="523"/>
      <c r="U240" s="523"/>
      <c r="V240" s="523"/>
      <c r="W240" s="523"/>
      <c r="X240" s="523"/>
      <c r="Y240" s="523"/>
      <c r="Z240" s="523"/>
      <c r="AA240" s="523"/>
      <c r="AB240" s="523"/>
      <c r="AC240" s="523"/>
      <c r="AD240" s="523"/>
      <c r="AE240" s="523"/>
      <c r="AF240" s="523"/>
      <c r="AG240" s="523"/>
      <c r="AH240" s="523"/>
      <c r="AI240" s="523"/>
      <c r="AJ240" s="267"/>
      <c r="AK240" s="267"/>
      <c r="AL240" s="267"/>
      <c r="AM240" s="267"/>
      <c r="AN240" s="267"/>
      <c r="AO240" s="267"/>
      <c r="AP240" s="267"/>
      <c r="AQ240" s="267"/>
      <c r="AR240" s="267"/>
    </row>
    <row r="241" spans="1:44" ht="15.75">
      <c r="A241" s="267"/>
      <c r="B241" s="519" t="s">
        <v>253</v>
      </c>
      <c r="C241" s="519">
        <v>2003</v>
      </c>
      <c r="D241" s="519">
        <f t="shared" ref="D241:AI241" si="170">C241+1</f>
        <v>2004</v>
      </c>
      <c r="E241" s="519">
        <f t="shared" si="170"/>
        <v>2005</v>
      </c>
      <c r="F241" s="519">
        <f t="shared" si="170"/>
        <v>2006</v>
      </c>
      <c r="G241" s="519">
        <f t="shared" si="170"/>
        <v>2007</v>
      </c>
      <c r="H241" s="519">
        <f t="shared" si="170"/>
        <v>2008</v>
      </c>
      <c r="I241" s="519">
        <f t="shared" si="170"/>
        <v>2009</v>
      </c>
      <c r="J241" s="519">
        <f t="shared" si="170"/>
        <v>2010</v>
      </c>
      <c r="K241" s="519">
        <f t="shared" si="170"/>
        <v>2011</v>
      </c>
      <c r="L241" s="519">
        <f t="shared" si="170"/>
        <v>2012</v>
      </c>
      <c r="M241" s="519">
        <f t="shared" si="170"/>
        <v>2013</v>
      </c>
      <c r="N241" s="519">
        <f t="shared" si="170"/>
        <v>2014</v>
      </c>
      <c r="O241" s="519">
        <f t="shared" si="170"/>
        <v>2015</v>
      </c>
      <c r="P241" s="519">
        <f t="shared" si="170"/>
        <v>2016</v>
      </c>
      <c r="Q241" s="519">
        <f t="shared" si="170"/>
        <v>2017</v>
      </c>
      <c r="R241" s="519">
        <f t="shared" si="170"/>
        <v>2018</v>
      </c>
      <c r="S241" s="519">
        <f t="shared" si="170"/>
        <v>2019</v>
      </c>
      <c r="T241" s="519">
        <f t="shared" si="170"/>
        <v>2020</v>
      </c>
      <c r="U241" s="519">
        <f t="shared" si="170"/>
        <v>2021</v>
      </c>
      <c r="V241" s="519">
        <f t="shared" si="170"/>
        <v>2022</v>
      </c>
      <c r="W241" s="519">
        <f t="shared" si="170"/>
        <v>2023</v>
      </c>
      <c r="X241" s="519">
        <f t="shared" si="170"/>
        <v>2024</v>
      </c>
      <c r="Y241" s="519">
        <f t="shared" si="170"/>
        <v>2025</v>
      </c>
      <c r="Z241" s="519">
        <f t="shared" si="170"/>
        <v>2026</v>
      </c>
      <c r="AA241" s="519">
        <f t="shared" si="170"/>
        <v>2027</v>
      </c>
      <c r="AB241" s="519">
        <f t="shared" si="170"/>
        <v>2028</v>
      </c>
      <c r="AC241" s="519">
        <f t="shared" si="170"/>
        <v>2029</v>
      </c>
      <c r="AD241" s="519">
        <f t="shared" si="170"/>
        <v>2030</v>
      </c>
      <c r="AE241" s="519">
        <f t="shared" si="170"/>
        <v>2031</v>
      </c>
      <c r="AF241" s="519">
        <f t="shared" si="170"/>
        <v>2032</v>
      </c>
      <c r="AG241" s="519">
        <f t="shared" si="170"/>
        <v>2033</v>
      </c>
      <c r="AH241" s="519">
        <f t="shared" si="170"/>
        <v>2034</v>
      </c>
      <c r="AI241" s="519">
        <f t="shared" si="170"/>
        <v>2035</v>
      </c>
      <c r="AJ241" s="267"/>
      <c r="AK241" s="267"/>
      <c r="AL241" s="267"/>
      <c r="AM241" s="267"/>
      <c r="AN241" s="267"/>
      <c r="AO241" s="267"/>
      <c r="AP241" s="267"/>
      <c r="AQ241" s="267"/>
      <c r="AR241" s="267"/>
    </row>
    <row r="242" spans="1:44" ht="15.75">
      <c r="A242" s="267"/>
      <c r="B242" s="521" t="s">
        <v>253</v>
      </c>
      <c r="C242" s="522"/>
      <c r="D242" s="522">
        <f t="shared" ref="D242:AI242" si="171">D246</f>
        <v>0</v>
      </c>
      <c r="E242" s="522">
        <f t="shared" si="171"/>
        <v>0</v>
      </c>
      <c r="F242" s="522">
        <f t="shared" si="171"/>
        <v>0</v>
      </c>
      <c r="G242" s="522">
        <f t="shared" si="171"/>
        <v>0</v>
      </c>
      <c r="H242" s="522">
        <f t="shared" si="171"/>
        <v>0</v>
      </c>
      <c r="I242" s="522">
        <f t="shared" si="171"/>
        <v>0</v>
      </c>
      <c r="J242" s="522">
        <f t="shared" si="171"/>
        <v>0</v>
      </c>
      <c r="K242" s="522">
        <f t="shared" si="171"/>
        <v>0</v>
      </c>
      <c r="L242" s="522">
        <f t="shared" si="171"/>
        <v>0</v>
      </c>
      <c r="M242" s="522">
        <f t="shared" si="171"/>
        <v>0</v>
      </c>
      <c r="N242" s="522">
        <f t="shared" si="171"/>
        <v>0</v>
      </c>
      <c r="O242" s="522">
        <f t="shared" si="171"/>
        <v>0</v>
      </c>
      <c r="P242" s="522">
        <f t="shared" si="171"/>
        <v>0</v>
      </c>
      <c r="Q242" s="522">
        <f t="shared" si="171"/>
        <v>0</v>
      </c>
      <c r="R242" s="522">
        <f t="shared" si="171"/>
        <v>0</v>
      </c>
      <c r="S242" s="522">
        <f t="shared" si="171"/>
        <v>0</v>
      </c>
      <c r="T242" s="522">
        <f t="shared" si="171"/>
        <v>0</v>
      </c>
      <c r="U242" s="522">
        <f t="shared" si="171"/>
        <v>0</v>
      </c>
      <c r="V242" s="522">
        <f t="shared" si="171"/>
        <v>0</v>
      </c>
      <c r="W242" s="522">
        <f t="shared" si="171"/>
        <v>0</v>
      </c>
      <c r="X242" s="522">
        <f t="shared" si="171"/>
        <v>0</v>
      </c>
      <c r="Y242" s="522">
        <f t="shared" si="171"/>
        <v>0</v>
      </c>
      <c r="Z242" s="522">
        <f t="shared" si="171"/>
        <v>0</v>
      </c>
      <c r="AA242" s="522">
        <f t="shared" si="171"/>
        <v>0</v>
      </c>
      <c r="AB242" s="522">
        <f t="shared" si="171"/>
        <v>0</v>
      </c>
      <c r="AC242" s="522">
        <f t="shared" si="171"/>
        <v>0</v>
      </c>
      <c r="AD242" s="522">
        <f t="shared" si="171"/>
        <v>0</v>
      </c>
      <c r="AE242" s="522">
        <f t="shared" si="171"/>
        <v>0</v>
      </c>
      <c r="AF242" s="522">
        <f t="shared" si="171"/>
        <v>0</v>
      </c>
      <c r="AG242" s="522">
        <f t="shared" si="171"/>
        <v>0</v>
      </c>
      <c r="AH242" s="522">
        <f t="shared" si="171"/>
        <v>0</v>
      </c>
      <c r="AI242" s="522">
        <f t="shared" si="171"/>
        <v>0</v>
      </c>
      <c r="AJ242" s="267"/>
      <c r="AK242" s="267"/>
      <c r="AL242" s="267"/>
      <c r="AM242" s="267"/>
      <c r="AN242" s="267"/>
      <c r="AO242" s="267"/>
      <c r="AP242" s="267"/>
      <c r="AQ242" s="267"/>
      <c r="AR242" s="267"/>
    </row>
    <row r="243" spans="1:44" ht="15.75">
      <c r="A243" s="267"/>
      <c r="B243" s="521" t="s">
        <v>225</v>
      </c>
      <c r="C243" s="522"/>
      <c r="D243" s="522"/>
      <c r="E243" s="522">
        <f t="shared" ref="E243:AI243" si="172">D242-E242</f>
        <v>0</v>
      </c>
      <c r="F243" s="522">
        <f t="shared" si="172"/>
        <v>0</v>
      </c>
      <c r="G243" s="522">
        <f t="shared" si="172"/>
        <v>0</v>
      </c>
      <c r="H243" s="522">
        <f t="shared" si="172"/>
        <v>0</v>
      </c>
      <c r="I243" s="522">
        <f t="shared" si="172"/>
        <v>0</v>
      </c>
      <c r="J243" s="522">
        <f t="shared" si="172"/>
        <v>0</v>
      </c>
      <c r="K243" s="522">
        <f t="shared" si="172"/>
        <v>0</v>
      </c>
      <c r="L243" s="522">
        <f t="shared" si="172"/>
        <v>0</v>
      </c>
      <c r="M243" s="522">
        <f t="shared" si="172"/>
        <v>0</v>
      </c>
      <c r="N243" s="522">
        <f t="shared" si="172"/>
        <v>0</v>
      </c>
      <c r="O243" s="522">
        <f t="shared" si="172"/>
        <v>0</v>
      </c>
      <c r="P243" s="522">
        <f t="shared" si="172"/>
        <v>0</v>
      </c>
      <c r="Q243" s="522">
        <f t="shared" si="172"/>
        <v>0</v>
      </c>
      <c r="R243" s="522">
        <f t="shared" si="172"/>
        <v>0</v>
      </c>
      <c r="S243" s="522">
        <f t="shared" si="172"/>
        <v>0</v>
      </c>
      <c r="T243" s="522">
        <f t="shared" si="172"/>
        <v>0</v>
      </c>
      <c r="U243" s="522">
        <f t="shared" si="172"/>
        <v>0</v>
      </c>
      <c r="V243" s="522">
        <f t="shared" si="172"/>
        <v>0</v>
      </c>
      <c r="W243" s="522">
        <f t="shared" si="172"/>
        <v>0</v>
      </c>
      <c r="X243" s="522">
        <f t="shared" si="172"/>
        <v>0</v>
      </c>
      <c r="Y243" s="522">
        <f t="shared" si="172"/>
        <v>0</v>
      </c>
      <c r="Z243" s="522">
        <f t="shared" si="172"/>
        <v>0</v>
      </c>
      <c r="AA243" s="522">
        <f t="shared" si="172"/>
        <v>0</v>
      </c>
      <c r="AB243" s="522">
        <f t="shared" si="172"/>
        <v>0</v>
      </c>
      <c r="AC243" s="522">
        <f t="shared" si="172"/>
        <v>0</v>
      </c>
      <c r="AD243" s="522">
        <f t="shared" si="172"/>
        <v>0</v>
      </c>
      <c r="AE243" s="522">
        <f t="shared" si="172"/>
        <v>0</v>
      </c>
      <c r="AF243" s="522">
        <f t="shared" si="172"/>
        <v>0</v>
      </c>
      <c r="AG243" s="522">
        <f t="shared" si="172"/>
        <v>0</v>
      </c>
      <c r="AH243" s="522">
        <f t="shared" si="172"/>
        <v>0</v>
      </c>
      <c r="AI243" s="522">
        <f t="shared" si="172"/>
        <v>0</v>
      </c>
      <c r="AJ243" s="267"/>
      <c r="AK243" s="267"/>
      <c r="AL243" s="267"/>
      <c r="AM243" s="267"/>
      <c r="AN243" s="267"/>
      <c r="AO243" s="267"/>
      <c r="AP243" s="267"/>
      <c r="AQ243" s="267"/>
      <c r="AR243" s="267"/>
    </row>
    <row r="244" spans="1:44" ht="15.75">
      <c r="A244" s="267"/>
      <c r="B244" s="521" t="s">
        <v>254</v>
      </c>
      <c r="C244" s="522"/>
      <c r="D244" s="537">
        <v>0</v>
      </c>
      <c r="E244" s="537">
        <v>0</v>
      </c>
      <c r="F244" s="537">
        <v>0</v>
      </c>
      <c r="G244" s="537">
        <v>0</v>
      </c>
      <c r="H244" s="537">
        <v>0</v>
      </c>
      <c r="I244" s="537">
        <v>0</v>
      </c>
      <c r="J244" s="537">
        <v>0</v>
      </c>
      <c r="K244" s="537">
        <v>0</v>
      </c>
      <c r="L244" s="537">
        <v>0</v>
      </c>
      <c r="M244" s="537">
        <v>0</v>
      </c>
      <c r="N244" s="537">
        <v>0</v>
      </c>
      <c r="O244" s="537">
        <v>0</v>
      </c>
      <c r="P244" s="537">
        <v>0</v>
      </c>
      <c r="Q244" s="537">
        <v>0</v>
      </c>
      <c r="R244" s="537">
        <v>0</v>
      </c>
      <c r="S244" s="537">
        <v>0</v>
      </c>
      <c r="T244" s="537">
        <v>0</v>
      </c>
      <c r="U244" s="537">
        <v>0</v>
      </c>
      <c r="V244" s="537">
        <v>0</v>
      </c>
      <c r="W244" s="537">
        <v>0</v>
      </c>
      <c r="X244" s="537">
        <v>0</v>
      </c>
      <c r="Y244" s="537">
        <v>0</v>
      </c>
      <c r="Z244" s="537">
        <v>0</v>
      </c>
      <c r="AA244" s="537">
        <v>0</v>
      </c>
      <c r="AB244" s="537">
        <v>0</v>
      </c>
      <c r="AC244" s="537">
        <v>0</v>
      </c>
      <c r="AD244" s="537">
        <v>0</v>
      </c>
      <c r="AE244" s="537">
        <v>0</v>
      </c>
      <c r="AF244" s="537">
        <v>0</v>
      </c>
      <c r="AG244" s="537">
        <v>0</v>
      </c>
      <c r="AH244" s="537">
        <v>0</v>
      </c>
      <c r="AI244" s="537">
        <v>0</v>
      </c>
      <c r="AJ244" s="267"/>
      <c r="AK244" s="267"/>
      <c r="AL244" s="267"/>
      <c r="AM244" s="267"/>
      <c r="AN244" s="267"/>
      <c r="AO244" s="267"/>
      <c r="AP244" s="267"/>
      <c r="AQ244" s="267"/>
      <c r="AR244" s="267"/>
    </row>
    <row r="245" spans="1:44" ht="15.75">
      <c r="A245" s="267"/>
      <c r="B245" s="520"/>
      <c r="C245" s="523"/>
      <c r="D245" s="523"/>
      <c r="E245" s="523"/>
      <c r="F245" s="523"/>
      <c r="G245" s="523"/>
      <c r="H245" s="523"/>
      <c r="I245" s="523"/>
      <c r="J245" s="523"/>
      <c r="K245" s="523"/>
      <c r="L245" s="523"/>
      <c r="M245" s="523"/>
      <c r="N245" s="523"/>
      <c r="O245" s="523"/>
      <c r="P245" s="523"/>
      <c r="Q245" s="523"/>
      <c r="R245" s="523"/>
      <c r="S245" s="523"/>
      <c r="T245" s="523"/>
      <c r="U245" s="523"/>
      <c r="V245" s="523"/>
      <c r="W245" s="523"/>
      <c r="X245" s="523"/>
      <c r="Y245" s="523"/>
      <c r="Z245" s="523"/>
      <c r="AA245" s="523"/>
      <c r="AB245" s="523"/>
      <c r="AC245" s="523"/>
      <c r="AD245" s="523"/>
      <c r="AE245" s="523"/>
      <c r="AF245" s="523"/>
      <c r="AG245" s="523"/>
      <c r="AH245" s="523"/>
      <c r="AI245" s="523"/>
      <c r="AJ245" s="267"/>
      <c r="AK245" s="267"/>
      <c r="AL245" s="267"/>
      <c r="AM245" s="267"/>
      <c r="AN245" s="267"/>
      <c r="AO245" s="267"/>
      <c r="AP245" s="267"/>
      <c r="AQ245" s="267"/>
      <c r="AR245" s="267"/>
    </row>
    <row r="246" spans="1:44" ht="15.75">
      <c r="A246" s="267"/>
      <c r="B246" s="521" t="s">
        <v>255</v>
      </c>
      <c r="C246" s="552"/>
      <c r="D246" s="553"/>
      <c r="E246" s="553"/>
      <c r="F246" s="553"/>
      <c r="G246" s="553"/>
      <c r="H246" s="553"/>
      <c r="I246" s="553"/>
      <c r="J246" s="553"/>
      <c r="K246" s="553"/>
      <c r="L246" s="553"/>
      <c r="M246" s="553"/>
      <c r="N246" s="553"/>
      <c r="O246" s="553"/>
      <c r="P246" s="553"/>
      <c r="Q246" s="553"/>
      <c r="R246" s="553"/>
      <c r="S246" s="553"/>
      <c r="T246" s="553"/>
      <c r="U246" s="553"/>
      <c r="V246" s="553"/>
      <c r="W246" s="553"/>
      <c r="X246" s="553"/>
      <c r="Y246" s="522">
        <f t="shared" ref="Y246:AI246" si="173">X246+Y247</f>
        <v>0</v>
      </c>
      <c r="Z246" s="522">
        <f t="shared" si="173"/>
        <v>0</v>
      </c>
      <c r="AA246" s="522">
        <f t="shared" si="173"/>
        <v>0</v>
      </c>
      <c r="AB246" s="522">
        <f t="shared" si="173"/>
        <v>0</v>
      </c>
      <c r="AC246" s="522">
        <f t="shared" si="173"/>
        <v>0</v>
      </c>
      <c r="AD246" s="522">
        <f t="shared" si="173"/>
        <v>0</v>
      </c>
      <c r="AE246" s="522">
        <f t="shared" si="173"/>
        <v>0</v>
      </c>
      <c r="AF246" s="522">
        <f t="shared" si="173"/>
        <v>0</v>
      </c>
      <c r="AG246" s="522">
        <f t="shared" si="173"/>
        <v>0</v>
      </c>
      <c r="AH246" s="522">
        <f t="shared" si="173"/>
        <v>0</v>
      </c>
      <c r="AI246" s="522">
        <f t="shared" si="173"/>
        <v>0</v>
      </c>
      <c r="AJ246" s="267"/>
      <c r="AK246" s="267"/>
      <c r="AL246" s="267"/>
      <c r="AM246" s="267"/>
      <c r="AN246" s="267"/>
      <c r="AO246" s="267"/>
      <c r="AP246" s="267"/>
      <c r="AQ246" s="267"/>
      <c r="AR246" s="267"/>
    </row>
    <row r="247" spans="1:44" ht="15.75">
      <c r="A247" s="267"/>
      <c r="B247" s="521" t="s">
        <v>256</v>
      </c>
      <c r="C247" s="522"/>
      <c r="D247" s="522"/>
      <c r="E247" s="522"/>
      <c r="F247" s="522"/>
      <c r="G247" s="522"/>
      <c r="H247" s="522"/>
      <c r="I247" s="522"/>
      <c r="J247" s="522"/>
      <c r="K247" s="522"/>
      <c r="L247" s="522"/>
      <c r="M247" s="522"/>
      <c r="N247" s="522"/>
      <c r="O247" s="522"/>
      <c r="P247" s="522"/>
      <c r="Q247" s="522"/>
      <c r="R247" s="522"/>
      <c r="S247" s="522"/>
      <c r="T247" s="522"/>
      <c r="U247" s="522"/>
      <c r="V247" s="522"/>
      <c r="W247" s="522"/>
      <c r="X247" s="522"/>
      <c r="Y247" s="537"/>
      <c r="Z247" s="537"/>
      <c r="AA247" s="537"/>
      <c r="AB247" s="537"/>
      <c r="AC247" s="537"/>
      <c r="AD247" s="537"/>
      <c r="AE247" s="537"/>
      <c r="AF247" s="537"/>
      <c r="AG247" s="537"/>
      <c r="AH247" s="537"/>
      <c r="AI247" s="537"/>
      <c r="AJ247" s="267"/>
      <c r="AK247" s="267"/>
      <c r="AL247" s="267"/>
      <c r="AM247" s="267"/>
      <c r="AN247" s="267"/>
      <c r="AO247" s="267"/>
      <c r="AP247" s="267"/>
      <c r="AQ247" s="267"/>
      <c r="AR247" s="267"/>
    </row>
    <row r="248" spans="1:44" ht="15.75">
      <c r="A248" s="267"/>
      <c r="B248" s="520"/>
      <c r="C248" s="523"/>
      <c r="D248" s="523"/>
      <c r="E248" s="523"/>
      <c r="F248" s="523"/>
      <c r="G248" s="523"/>
      <c r="H248" s="523"/>
      <c r="I248" s="523"/>
      <c r="J248" s="523"/>
      <c r="K248" s="523"/>
      <c r="L248" s="523"/>
      <c r="M248" s="523"/>
      <c r="N248" s="523"/>
      <c r="O248" s="523"/>
      <c r="P248" s="523"/>
      <c r="Q248" s="523"/>
      <c r="R248" s="523"/>
      <c r="S248" s="523"/>
      <c r="T248" s="523"/>
      <c r="U248" s="523"/>
      <c r="V248" s="523"/>
      <c r="W248" s="523"/>
      <c r="X248" s="523"/>
      <c r="Y248" s="523"/>
      <c r="Z248" s="523"/>
      <c r="AA248" s="523"/>
      <c r="AB248" s="523"/>
      <c r="AC248" s="523"/>
      <c r="AD248" s="523"/>
      <c r="AE248" s="523"/>
      <c r="AF248" s="523"/>
      <c r="AG248" s="523"/>
      <c r="AH248" s="523"/>
      <c r="AI248" s="523"/>
      <c r="AJ248" s="267"/>
      <c r="AK248" s="267"/>
      <c r="AL248" s="267"/>
      <c r="AM248" s="267"/>
      <c r="AN248" s="267"/>
      <c r="AO248" s="267"/>
      <c r="AP248" s="267"/>
      <c r="AQ248" s="267"/>
      <c r="AR248" s="267"/>
    </row>
    <row r="249" spans="1:44" ht="15.75">
      <c r="A249" s="267"/>
      <c r="B249" s="521" t="s">
        <v>257</v>
      </c>
      <c r="C249" s="552"/>
      <c r="D249" s="553"/>
      <c r="E249" s="553"/>
      <c r="F249" s="553"/>
      <c r="G249" s="553"/>
      <c r="H249" s="553"/>
      <c r="I249" s="553"/>
      <c r="J249" s="553"/>
      <c r="K249" s="553"/>
      <c r="L249" s="553"/>
      <c r="M249" s="553"/>
      <c r="N249" s="553"/>
      <c r="O249" s="553"/>
      <c r="P249" s="553"/>
      <c r="Q249" s="553"/>
      <c r="R249" s="553"/>
      <c r="S249" s="553"/>
      <c r="T249" s="553"/>
      <c r="U249" s="553"/>
      <c r="V249" s="553"/>
      <c r="W249" s="553"/>
      <c r="X249" s="553"/>
      <c r="Y249" s="522">
        <f>X249+Y250</f>
        <v>0</v>
      </c>
      <c r="Z249" s="522">
        <f t="shared" ref="Z249:AI249" si="174">Y249+Z250</f>
        <v>0</v>
      </c>
      <c r="AA249" s="522">
        <f t="shared" si="174"/>
        <v>0</v>
      </c>
      <c r="AB249" s="522">
        <f t="shared" si="174"/>
        <v>0</v>
      </c>
      <c r="AC249" s="522">
        <f t="shared" si="174"/>
        <v>0</v>
      </c>
      <c r="AD249" s="522">
        <f t="shared" si="174"/>
        <v>0</v>
      </c>
      <c r="AE249" s="522">
        <f t="shared" si="174"/>
        <v>0</v>
      </c>
      <c r="AF249" s="522">
        <f t="shared" si="174"/>
        <v>0</v>
      </c>
      <c r="AG249" s="522">
        <f t="shared" si="174"/>
        <v>0</v>
      </c>
      <c r="AH249" s="522">
        <f t="shared" si="174"/>
        <v>0</v>
      </c>
      <c r="AI249" s="522">
        <f t="shared" si="174"/>
        <v>0</v>
      </c>
      <c r="AJ249" s="267"/>
      <c r="AK249" s="267"/>
      <c r="AL249" s="267"/>
      <c r="AM249" s="267"/>
      <c r="AN249" s="267"/>
      <c r="AO249" s="267"/>
      <c r="AP249" s="267"/>
      <c r="AQ249" s="267"/>
      <c r="AR249" s="267"/>
    </row>
    <row r="250" spans="1:44" ht="15.75">
      <c r="A250" s="267"/>
      <c r="B250" s="521" t="s">
        <v>258</v>
      </c>
      <c r="C250" s="552"/>
      <c r="D250" s="552"/>
      <c r="E250" s="552"/>
      <c r="F250" s="552"/>
      <c r="G250" s="552"/>
      <c r="H250" s="552"/>
      <c r="I250" s="552"/>
      <c r="J250" s="552"/>
      <c r="K250" s="552"/>
      <c r="L250" s="552"/>
      <c r="M250" s="552"/>
      <c r="N250" s="552"/>
      <c r="O250" s="552"/>
      <c r="P250" s="552"/>
      <c r="Q250" s="552"/>
      <c r="R250" s="552"/>
      <c r="S250" s="552"/>
      <c r="T250" s="552"/>
      <c r="U250" s="552"/>
      <c r="V250" s="552"/>
      <c r="W250" s="552"/>
      <c r="X250" s="552"/>
      <c r="Y250" s="537"/>
      <c r="Z250" s="537"/>
      <c r="AA250" s="537"/>
      <c r="AB250" s="537"/>
      <c r="AC250" s="537"/>
      <c r="AD250" s="537"/>
      <c r="AE250" s="537"/>
      <c r="AF250" s="537"/>
      <c r="AG250" s="537"/>
      <c r="AH250" s="537"/>
      <c r="AI250" s="537"/>
      <c r="AJ250" s="267"/>
      <c r="AK250" s="267"/>
      <c r="AL250" s="267"/>
      <c r="AM250" s="267"/>
      <c r="AN250" s="267"/>
      <c r="AO250" s="267"/>
      <c r="AP250" s="267"/>
      <c r="AQ250" s="267"/>
      <c r="AR250" s="267"/>
    </row>
    <row r="251" spans="1:44" ht="15.75">
      <c r="A251" s="267"/>
      <c r="B251" s="520"/>
      <c r="C251" s="523"/>
      <c r="D251" s="523"/>
      <c r="E251" s="523"/>
      <c r="F251" s="523"/>
      <c r="G251" s="523"/>
      <c r="H251" s="523"/>
      <c r="I251" s="523"/>
      <c r="J251" s="523"/>
      <c r="K251" s="523"/>
      <c r="L251" s="523"/>
      <c r="M251" s="523"/>
      <c r="N251" s="523"/>
      <c r="O251" s="523"/>
      <c r="P251" s="523"/>
      <c r="Q251" s="523"/>
      <c r="R251" s="523"/>
      <c r="S251" s="523"/>
      <c r="T251" s="523"/>
      <c r="U251" s="523"/>
      <c r="V251" s="523"/>
      <c r="W251" s="523"/>
      <c r="X251" s="523"/>
      <c r="Y251" s="523"/>
      <c r="Z251" s="523"/>
      <c r="AA251" s="523"/>
      <c r="AB251" s="523"/>
      <c r="AC251" s="523"/>
      <c r="AD251" s="523"/>
      <c r="AE251" s="523"/>
      <c r="AF251" s="523"/>
      <c r="AG251" s="523"/>
      <c r="AH251" s="523"/>
      <c r="AI251" s="523"/>
      <c r="AJ251" s="267"/>
      <c r="AK251" s="267"/>
      <c r="AL251" s="267"/>
      <c r="AM251" s="267"/>
      <c r="AN251" s="267"/>
      <c r="AO251" s="267"/>
      <c r="AP251" s="267"/>
      <c r="AQ251" s="267"/>
      <c r="AR251" s="267"/>
    </row>
    <row r="252" spans="1:44" ht="15.75">
      <c r="A252" s="267"/>
      <c r="B252" s="521" t="s">
        <v>166</v>
      </c>
      <c r="C252" s="522"/>
      <c r="D252" s="537"/>
      <c r="E252" s="537"/>
      <c r="F252" s="537"/>
      <c r="G252" s="537"/>
      <c r="H252" s="537"/>
      <c r="I252" s="537"/>
      <c r="J252" s="537"/>
      <c r="K252" s="537"/>
      <c r="L252" s="537">
        <f>2036-L77-L249</f>
        <v>2007</v>
      </c>
      <c r="M252" s="537">
        <f>4852-M77-M249</f>
        <v>2737</v>
      </c>
      <c r="N252" s="537">
        <f>5102-N77-N249</f>
        <v>2887</v>
      </c>
      <c r="O252" s="537">
        <f>4331-O77-O249</f>
        <v>3315</v>
      </c>
      <c r="P252" s="537">
        <f>4897-P77-P249</f>
        <v>2832</v>
      </c>
      <c r="Q252" s="537">
        <f>6721-Q77-Q249</f>
        <v>2800</v>
      </c>
      <c r="R252" s="537">
        <f>2908-R77-R249</f>
        <v>2787.7</v>
      </c>
      <c r="S252" s="537">
        <f>9619-S77-S249</f>
        <v>2871</v>
      </c>
      <c r="T252" s="537">
        <f>9653-T77-T249</f>
        <v>3062.5</v>
      </c>
      <c r="U252" s="537">
        <f>6662-U77-U249</f>
        <v>2850</v>
      </c>
      <c r="V252" s="537">
        <f>15001.797-V77-V249</f>
        <v>4189.866</v>
      </c>
      <c r="W252" s="537">
        <f>21155.227-W77-W249</f>
        <v>5119.3319999999985</v>
      </c>
      <c r="X252" s="537">
        <f>30465.211-X77-X249</f>
        <v>5954.2669999999998</v>
      </c>
      <c r="Y252" s="359">
        <f>X252</f>
        <v>5954.2669999999998</v>
      </c>
      <c r="Z252" s="359">
        <f t="shared" ref="Z252:AI252" si="175">Y252</f>
        <v>5954.2669999999998</v>
      </c>
      <c r="AA252" s="359">
        <f t="shared" si="175"/>
        <v>5954.2669999999998</v>
      </c>
      <c r="AB252" s="359">
        <f t="shared" si="175"/>
        <v>5954.2669999999998</v>
      </c>
      <c r="AC252" s="359">
        <f t="shared" si="175"/>
        <v>5954.2669999999998</v>
      </c>
      <c r="AD252" s="359">
        <f t="shared" si="175"/>
        <v>5954.2669999999998</v>
      </c>
      <c r="AE252" s="359">
        <f t="shared" si="175"/>
        <v>5954.2669999999998</v>
      </c>
      <c r="AF252" s="359">
        <f t="shared" si="175"/>
        <v>5954.2669999999998</v>
      </c>
      <c r="AG252" s="359">
        <f t="shared" si="175"/>
        <v>5954.2669999999998</v>
      </c>
      <c r="AH252" s="359">
        <f t="shared" si="175"/>
        <v>5954.2669999999998</v>
      </c>
      <c r="AI252" s="359">
        <f t="shared" si="175"/>
        <v>5954.2669999999998</v>
      </c>
      <c r="AJ252" s="267"/>
      <c r="AK252" s="267"/>
      <c r="AL252" s="267"/>
      <c r="AM252" s="267"/>
      <c r="AN252" s="267"/>
      <c r="AO252" s="267"/>
      <c r="AP252" s="267"/>
      <c r="AQ252" s="267"/>
      <c r="AR252" s="267"/>
    </row>
    <row r="253" spans="1:44" ht="15.75">
      <c r="A253" s="267"/>
      <c r="B253" s="520"/>
      <c r="C253" s="523"/>
      <c r="D253" s="523"/>
      <c r="E253" s="523"/>
      <c r="F253" s="523"/>
      <c r="G253" s="523"/>
      <c r="H253" s="523"/>
      <c r="I253" s="523"/>
      <c r="J253" s="523"/>
      <c r="K253" s="523"/>
      <c r="L253" s="523"/>
      <c r="M253" s="523"/>
      <c r="N253" s="523"/>
      <c r="O253" s="523"/>
      <c r="P253" s="523"/>
      <c r="Q253" s="523"/>
      <c r="R253" s="523"/>
      <c r="S253" s="523"/>
      <c r="T253" s="523"/>
      <c r="U253" s="523"/>
      <c r="V253" s="523"/>
      <c r="W253" s="523"/>
      <c r="X253" s="523"/>
      <c r="Y253" s="523"/>
      <c r="Z253" s="523"/>
      <c r="AA253" s="523"/>
      <c r="AB253" s="523"/>
      <c r="AC253" s="523"/>
      <c r="AD253" s="523"/>
      <c r="AE253" s="523"/>
      <c r="AF253" s="523"/>
      <c r="AG253" s="523"/>
      <c r="AH253" s="523"/>
      <c r="AI253" s="523"/>
      <c r="AJ253" s="267"/>
      <c r="AK253" s="267"/>
      <c r="AL253" s="267"/>
      <c r="AM253" s="267"/>
      <c r="AN253" s="267"/>
      <c r="AO253" s="267"/>
      <c r="AP253" s="267"/>
      <c r="AQ253" s="267"/>
      <c r="AR253" s="267"/>
    </row>
    <row r="254" spans="1:44" ht="15.75">
      <c r="A254" s="267"/>
      <c r="B254" s="520"/>
      <c r="C254" s="523"/>
      <c r="D254" s="523"/>
      <c r="E254" s="523"/>
      <c r="F254" s="523"/>
      <c r="G254" s="523"/>
      <c r="H254" s="523"/>
      <c r="I254" s="523"/>
      <c r="J254" s="523"/>
      <c r="K254" s="523"/>
      <c r="L254" s="523"/>
      <c r="M254" s="523"/>
      <c r="N254" s="523"/>
      <c r="O254" s="523"/>
      <c r="P254" s="523"/>
      <c r="Q254" s="523"/>
      <c r="R254" s="523"/>
      <c r="S254" s="523"/>
      <c r="T254" s="523"/>
      <c r="U254" s="523"/>
      <c r="V254" s="523"/>
      <c r="W254" s="523"/>
      <c r="X254" s="523"/>
      <c r="Y254" s="523"/>
      <c r="Z254" s="523"/>
      <c r="AA254" s="523"/>
      <c r="AB254" s="523"/>
      <c r="AC254" s="523"/>
      <c r="AD254" s="523"/>
      <c r="AE254" s="523"/>
      <c r="AF254" s="523"/>
      <c r="AG254" s="523"/>
      <c r="AH254" s="523"/>
      <c r="AI254" s="523"/>
      <c r="AJ254" s="267"/>
      <c r="AK254" s="267"/>
      <c r="AL254" s="267"/>
      <c r="AM254" s="267"/>
      <c r="AN254" s="267"/>
      <c r="AO254" s="267"/>
      <c r="AP254" s="267"/>
      <c r="AQ254" s="267"/>
      <c r="AR254" s="267"/>
    </row>
    <row r="255" spans="1:44" ht="15.75">
      <c r="A255" s="267"/>
      <c r="B255" s="520"/>
      <c r="C255" s="523"/>
      <c r="D255" s="523"/>
      <c r="E255" s="523"/>
      <c r="F255" s="523"/>
      <c r="G255" s="523"/>
      <c r="H255" s="523"/>
      <c r="I255" s="523"/>
      <c r="J255" s="523"/>
      <c r="K255" s="523"/>
      <c r="L255" s="523"/>
      <c r="M255" s="523"/>
      <c r="N255" s="523"/>
      <c r="O255" s="523"/>
      <c r="P255" s="523"/>
      <c r="Q255" s="523"/>
      <c r="R255" s="523"/>
      <c r="S255" s="523"/>
      <c r="T255" s="523"/>
      <c r="U255" s="523"/>
      <c r="V255" s="523"/>
      <c r="W255" s="523"/>
      <c r="X255" s="523"/>
      <c r="Y255" s="523"/>
      <c r="Z255" s="523"/>
      <c r="AA255" s="523"/>
      <c r="AB255" s="523"/>
      <c r="AC255" s="523"/>
      <c r="AD255" s="523"/>
      <c r="AE255" s="523"/>
      <c r="AF255" s="523"/>
      <c r="AG255" s="523"/>
      <c r="AH255" s="523"/>
      <c r="AI255" s="523"/>
      <c r="AJ255" s="267"/>
      <c r="AK255" s="267"/>
      <c r="AL255" s="267"/>
      <c r="AM255" s="267"/>
      <c r="AN255" s="267"/>
      <c r="AO255" s="267"/>
      <c r="AP255" s="267"/>
      <c r="AQ255" s="267"/>
      <c r="AR255" s="267"/>
    </row>
    <row r="256" spans="1:44" ht="15.75">
      <c r="A256" s="267"/>
      <c r="B256" s="519" t="s">
        <v>114</v>
      </c>
      <c r="C256" s="519">
        <v>2003</v>
      </c>
      <c r="D256" s="519">
        <f t="shared" ref="D256:AI256" si="176">C256+1</f>
        <v>2004</v>
      </c>
      <c r="E256" s="519">
        <f t="shared" si="176"/>
        <v>2005</v>
      </c>
      <c r="F256" s="519">
        <f t="shared" si="176"/>
        <v>2006</v>
      </c>
      <c r="G256" s="519">
        <f t="shared" si="176"/>
        <v>2007</v>
      </c>
      <c r="H256" s="519">
        <f t="shared" si="176"/>
        <v>2008</v>
      </c>
      <c r="I256" s="519">
        <f t="shared" si="176"/>
        <v>2009</v>
      </c>
      <c r="J256" s="519">
        <f t="shared" si="176"/>
        <v>2010</v>
      </c>
      <c r="K256" s="519">
        <f t="shared" si="176"/>
        <v>2011</v>
      </c>
      <c r="L256" s="519">
        <f t="shared" si="176"/>
        <v>2012</v>
      </c>
      <c r="M256" s="519">
        <f t="shared" si="176"/>
        <v>2013</v>
      </c>
      <c r="N256" s="519">
        <f t="shared" si="176"/>
        <v>2014</v>
      </c>
      <c r="O256" s="519">
        <f t="shared" si="176"/>
        <v>2015</v>
      </c>
      <c r="P256" s="519">
        <f t="shared" si="176"/>
        <v>2016</v>
      </c>
      <c r="Q256" s="519">
        <f t="shared" si="176"/>
        <v>2017</v>
      </c>
      <c r="R256" s="519">
        <f t="shared" si="176"/>
        <v>2018</v>
      </c>
      <c r="S256" s="519">
        <f t="shared" si="176"/>
        <v>2019</v>
      </c>
      <c r="T256" s="519">
        <f t="shared" si="176"/>
        <v>2020</v>
      </c>
      <c r="U256" s="519">
        <f t="shared" si="176"/>
        <v>2021</v>
      </c>
      <c r="V256" s="519">
        <f t="shared" si="176"/>
        <v>2022</v>
      </c>
      <c r="W256" s="519">
        <f t="shared" si="176"/>
        <v>2023</v>
      </c>
      <c r="X256" s="519">
        <f t="shared" si="176"/>
        <v>2024</v>
      </c>
      <c r="Y256" s="519">
        <f t="shared" si="176"/>
        <v>2025</v>
      </c>
      <c r="Z256" s="519">
        <f t="shared" si="176"/>
        <v>2026</v>
      </c>
      <c r="AA256" s="519">
        <f t="shared" si="176"/>
        <v>2027</v>
      </c>
      <c r="AB256" s="519">
        <f t="shared" si="176"/>
        <v>2028</v>
      </c>
      <c r="AC256" s="519">
        <f t="shared" si="176"/>
        <v>2029</v>
      </c>
      <c r="AD256" s="519">
        <f t="shared" si="176"/>
        <v>2030</v>
      </c>
      <c r="AE256" s="519">
        <f t="shared" si="176"/>
        <v>2031</v>
      </c>
      <c r="AF256" s="519">
        <f t="shared" si="176"/>
        <v>2032</v>
      </c>
      <c r="AG256" s="519">
        <f t="shared" si="176"/>
        <v>2033</v>
      </c>
      <c r="AH256" s="519">
        <f t="shared" si="176"/>
        <v>2034</v>
      </c>
      <c r="AI256" s="519">
        <f t="shared" si="176"/>
        <v>2035</v>
      </c>
      <c r="AJ256" s="267"/>
      <c r="AK256" s="267"/>
      <c r="AL256" s="267"/>
      <c r="AM256" s="267"/>
      <c r="AN256" s="267"/>
      <c r="AO256" s="267"/>
      <c r="AP256" s="267"/>
      <c r="AQ256" s="267"/>
      <c r="AR256" s="267"/>
    </row>
    <row r="257" spans="1:44" ht="15.75">
      <c r="A257" s="267"/>
      <c r="B257" s="521" t="s">
        <v>114</v>
      </c>
      <c r="C257" s="552"/>
      <c r="D257" s="553"/>
      <c r="E257" s="553"/>
      <c r="F257" s="553"/>
      <c r="G257" s="553"/>
      <c r="H257" s="553"/>
      <c r="I257" s="553"/>
      <c r="J257" s="553"/>
      <c r="K257" s="553"/>
      <c r="L257" s="553">
        <v>502</v>
      </c>
      <c r="M257" s="553">
        <v>872</v>
      </c>
      <c r="N257" s="553">
        <v>785.5</v>
      </c>
      <c r="O257" s="553">
        <v>959</v>
      </c>
      <c r="P257" s="553">
        <v>845</v>
      </c>
      <c r="Q257" s="553">
        <v>1013</v>
      </c>
      <c r="R257" s="553">
        <v>1347</v>
      </c>
      <c r="S257" s="553">
        <v>1267</v>
      </c>
      <c r="T257" s="553">
        <v>1430</v>
      </c>
      <c r="U257" s="553">
        <v>1645.319</v>
      </c>
      <c r="V257" s="553">
        <v>1614.981</v>
      </c>
      <c r="W257" s="553">
        <v>1301.4839999999999</v>
      </c>
      <c r="X257" s="553">
        <v>1095</v>
      </c>
      <c r="Y257" s="553">
        <v>1299.261</v>
      </c>
      <c r="Z257" s="522">
        <f t="shared" ref="Z257:AI257" si="177">Z258+Z259</f>
        <v>1429.0995535855532</v>
      </c>
      <c r="AA257" s="522">
        <f t="shared" si="177"/>
        <v>2132.9916656806081</v>
      </c>
      <c r="AB257" s="522">
        <f t="shared" si="177"/>
        <v>2632.7421324739876</v>
      </c>
      <c r="AC257" s="522">
        <f t="shared" si="177"/>
        <v>3015.2875230411705</v>
      </c>
      <c r="AD257" s="522">
        <f t="shared" si="177"/>
        <v>3350.5363120254701</v>
      </c>
      <c r="AE257" s="522">
        <f t="shared" si="177"/>
        <v>3577.199163624789</v>
      </c>
      <c r="AF257" s="522">
        <f t="shared" si="177"/>
        <v>3801.0439548330651</v>
      </c>
      <c r="AG257" s="522">
        <f t="shared" si="177"/>
        <v>4033.2090784514276</v>
      </c>
      <c r="AH257" s="522">
        <f t="shared" si="177"/>
        <v>4266.1827970118857</v>
      </c>
      <c r="AI257" s="522">
        <f t="shared" si="177"/>
        <v>4519.8338687137311</v>
      </c>
      <c r="AJ257" s="267"/>
      <c r="AK257" s="267"/>
      <c r="AL257" s="267"/>
      <c r="AM257" s="267"/>
      <c r="AN257" s="267"/>
      <c r="AO257" s="267"/>
      <c r="AP257" s="267"/>
      <c r="AQ257" s="267"/>
      <c r="AR257" s="267"/>
    </row>
    <row r="258" spans="1:44" ht="15.75">
      <c r="A258" s="267"/>
      <c r="B258" s="521" t="s">
        <v>259</v>
      </c>
      <c r="C258" s="521"/>
      <c r="D258" s="521"/>
      <c r="E258" s="521"/>
      <c r="F258" s="521"/>
      <c r="G258" s="521"/>
      <c r="H258" s="521"/>
      <c r="I258" s="521"/>
      <c r="J258" s="521"/>
      <c r="K258" s="521"/>
      <c r="L258" s="521"/>
      <c r="M258" s="521"/>
      <c r="N258" s="521"/>
      <c r="O258" s="521"/>
      <c r="P258" s="521"/>
      <c r="Q258" s="521"/>
      <c r="R258" s="521"/>
      <c r="S258" s="521"/>
      <c r="T258" s="521"/>
      <c r="U258" s="521"/>
      <c r="V258" s="521"/>
      <c r="W258" s="521"/>
      <c r="X258" s="521"/>
      <c r="Y258" s="521"/>
      <c r="Z258" s="553">
        <v>0</v>
      </c>
      <c r="AA258" s="553">
        <v>0</v>
      </c>
      <c r="AB258" s="553">
        <v>0</v>
      </c>
      <c r="AC258" s="553">
        <v>0</v>
      </c>
      <c r="AD258" s="553">
        <v>0</v>
      </c>
      <c r="AE258" s="553">
        <v>0</v>
      </c>
      <c r="AF258" s="553">
        <v>0</v>
      </c>
      <c r="AG258" s="553">
        <v>0</v>
      </c>
      <c r="AH258" s="553">
        <v>0</v>
      </c>
      <c r="AI258" s="553">
        <v>0</v>
      </c>
      <c r="AJ258" s="267"/>
      <c r="AK258" s="267"/>
      <c r="AL258" s="267"/>
      <c r="AM258" s="267"/>
      <c r="AN258" s="267"/>
      <c r="AO258" s="267"/>
      <c r="AP258" s="267"/>
      <c r="AQ258" s="267"/>
      <c r="AR258" s="267"/>
    </row>
    <row r="259" spans="1:44" ht="15.75">
      <c r="A259" s="267"/>
      <c r="B259" s="521" t="s">
        <v>260</v>
      </c>
      <c r="C259" s="522"/>
      <c r="D259" s="521"/>
      <c r="E259" s="521"/>
      <c r="F259" s="521"/>
      <c r="G259" s="521"/>
      <c r="H259" s="521"/>
      <c r="I259" s="521"/>
      <c r="J259" s="521"/>
      <c r="K259" s="521"/>
      <c r="L259" s="522">
        <f t="shared" ref="L259:T259" si="178">L257</f>
        <v>502</v>
      </c>
      <c r="M259" s="522">
        <f t="shared" si="178"/>
        <v>872</v>
      </c>
      <c r="N259" s="522">
        <f t="shared" si="178"/>
        <v>785.5</v>
      </c>
      <c r="O259" s="522">
        <f t="shared" si="178"/>
        <v>959</v>
      </c>
      <c r="P259" s="522">
        <f t="shared" si="178"/>
        <v>845</v>
      </c>
      <c r="Q259" s="522">
        <f t="shared" si="178"/>
        <v>1013</v>
      </c>
      <c r="R259" s="522">
        <f t="shared" si="178"/>
        <v>1347</v>
      </c>
      <c r="S259" s="522">
        <f t="shared" si="178"/>
        <v>1267</v>
      </c>
      <c r="T259" s="522">
        <f t="shared" si="178"/>
        <v>1430</v>
      </c>
      <c r="U259" s="522">
        <f t="shared" ref="U259:AI259" si="179">U268</f>
        <v>1346.6200000000001</v>
      </c>
      <c r="V259" s="522">
        <f t="shared" si="179"/>
        <v>1422.8489700000002</v>
      </c>
      <c r="W259" s="522">
        <f t="shared" si="179"/>
        <v>1306.5012000000002</v>
      </c>
      <c r="X259" s="522">
        <f t="shared" si="179"/>
        <v>1090.9566</v>
      </c>
      <c r="Y259" s="522">
        <f t="shared" si="179"/>
        <v>1288.6841999999999</v>
      </c>
      <c r="Z259" s="522">
        <f t="shared" si="179"/>
        <v>1429.0995535855532</v>
      </c>
      <c r="AA259" s="522">
        <f t="shared" si="179"/>
        <v>2132.9916656806081</v>
      </c>
      <c r="AB259" s="522">
        <f t="shared" si="179"/>
        <v>2632.7421324739876</v>
      </c>
      <c r="AC259" s="522">
        <f t="shared" si="179"/>
        <v>3015.2875230411705</v>
      </c>
      <c r="AD259" s="522">
        <f t="shared" si="179"/>
        <v>3350.5363120254701</v>
      </c>
      <c r="AE259" s="522">
        <f t="shared" si="179"/>
        <v>3577.199163624789</v>
      </c>
      <c r="AF259" s="522">
        <f t="shared" si="179"/>
        <v>3801.0439548330651</v>
      </c>
      <c r="AG259" s="522">
        <f t="shared" si="179"/>
        <v>4033.2090784514276</v>
      </c>
      <c r="AH259" s="522">
        <f t="shared" si="179"/>
        <v>4266.1827970118857</v>
      </c>
      <c r="AI259" s="522">
        <f t="shared" si="179"/>
        <v>4519.8338687137311</v>
      </c>
      <c r="AJ259" s="267"/>
      <c r="AK259" s="267"/>
      <c r="AL259" s="267"/>
      <c r="AM259" s="267"/>
      <c r="AN259" s="267"/>
      <c r="AO259" s="267"/>
      <c r="AP259" s="267"/>
      <c r="AQ259" s="267"/>
      <c r="AR259" s="267"/>
    </row>
    <row r="260" spans="1:44" ht="15.75">
      <c r="A260" s="267"/>
      <c r="B260" s="521"/>
      <c r="C260" s="521"/>
      <c r="D260" s="521"/>
      <c r="E260" s="521"/>
      <c r="F260" s="521"/>
      <c r="G260" s="521"/>
      <c r="H260" s="521"/>
      <c r="I260" s="521"/>
      <c r="J260" s="521"/>
      <c r="K260" s="521"/>
      <c r="L260" s="521"/>
      <c r="M260" s="521"/>
      <c r="N260" s="521"/>
      <c r="O260" s="521"/>
      <c r="P260" s="521"/>
      <c r="Q260" s="521"/>
      <c r="R260" s="521"/>
      <c r="S260" s="521"/>
      <c r="T260" s="521"/>
      <c r="U260" s="521"/>
      <c r="V260" s="521"/>
      <c r="W260" s="521"/>
      <c r="X260" s="521"/>
      <c r="Y260" s="521"/>
      <c r="Z260" s="521"/>
      <c r="AA260" s="521"/>
      <c r="AB260" s="521"/>
      <c r="AC260" s="521"/>
      <c r="AD260" s="521"/>
      <c r="AE260" s="521"/>
      <c r="AF260" s="521"/>
      <c r="AG260" s="521"/>
      <c r="AH260" s="521"/>
      <c r="AI260" s="521"/>
      <c r="AJ260" s="267"/>
      <c r="AK260" s="267"/>
      <c r="AL260" s="267"/>
      <c r="AM260" s="267"/>
      <c r="AN260" s="267"/>
      <c r="AO260" s="267"/>
      <c r="AP260" s="267"/>
      <c r="AQ260" s="267"/>
      <c r="AR260" s="267"/>
    </row>
    <row r="261" spans="1:44" ht="15.75">
      <c r="A261" s="267"/>
      <c r="B261" s="521" t="s">
        <v>135</v>
      </c>
      <c r="C261" s="522"/>
      <c r="D261" s="521"/>
      <c r="E261" s="521"/>
      <c r="F261" s="521"/>
      <c r="G261" s="521"/>
      <c r="H261" s="521"/>
      <c r="I261" s="521"/>
      <c r="J261" s="521"/>
      <c r="K261" s="521"/>
      <c r="L261" s="522">
        <f t="shared" ref="L261:AI261" si="180">L18</f>
        <v>3777</v>
      </c>
      <c r="M261" s="522">
        <f t="shared" si="180"/>
        <v>4356</v>
      </c>
      <c r="N261" s="522">
        <f t="shared" si="180"/>
        <v>4847</v>
      </c>
      <c r="O261" s="522">
        <f t="shared" si="180"/>
        <v>5843</v>
      </c>
      <c r="P261" s="522">
        <f t="shared" si="180"/>
        <v>6915</v>
      </c>
      <c r="Q261" s="522">
        <f t="shared" si="180"/>
        <v>7715</v>
      </c>
      <c r="R261" s="522">
        <f t="shared" si="180"/>
        <v>9347</v>
      </c>
      <c r="S261" s="522">
        <f t="shared" si="180"/>
        <v>10161</v>
      </c>
      <c r="T261" s="522">
        <f t="shared" si="180"/>
        <v>11037</v>
      </c>
      <c r="U261" s="522">
        <f t="shared" si="180"/>
        <v>12116</v>
      </c>
      <c r="V261" s="522">
        <f t="shared" si="180"/>
        <v>12769.018</v>
      </c>
      <c r="W261" s="522">
        <f t="shared" si="180"/>
        <v>13319.993</v>
      </c>
      <c r="X261" s="522">
        <f t="shared" si="180"/>
        <v>14629.852999999999</v>
      </c>
      <c r="Y261" s="522">
        <f t="shared" si="180"/>
        <v>15936.034</v>
      </c>
      <c r="Z261" s="522">
        <f t="shared" si="180"/>
        <v>17317.949166000006</v>
      </c>
      <c r="AA261" s="522">
        <f t="shared" si="180"/>
        <v>18891.568466000008</v>
      </c>
      <c r="AB261" s="522">
        <f t="shared" si="180"/>
        <v>20433.344349966705</v>
      </c>
      <c r="AC261" s="522">
        <f t="shared" si="180"/>
        <v>21683.256371374238</v>
      </c>
      <c r="AD261" s="522">
        <f t="shared" si="180"/>
        <v>22771.247813046059</v>
      </c>
      <c r="AE261" s="522">
        <f t="shared" si="180"/>
        <v>23466.652897362677</v>
      </c>
      <c r="AF261" s="522">
        <f t="shared" si="180"/>
        <v>24184.161604732537</v>
      </c>
      <c r="AG261" s="522">
        <f t="shared" si="180"/>
        <v>24924.641669122124</v>
      </c>
      <c r="AH261" s="522">
        <f t="shared" si="180"/>
        <v>25689.002079840422</v>
      </c>
      <c r="AI261" s="522">
        <f t="shared" si="180"/>
        <v>26478.195240894362</v>
      </c>
      <c r="AJ261" s="267"/>
      <c r="AK261" s="267"/>
      <c r="AL261" s="267"/>
      <c r="AM261" s="267"/>
      <c r="AN261" s="267"/>
      <c r="AO261" s="267"/>
      <c r="AP261" s="267"/>
      <c r="AQ261" s="267"/>
      <c r="AR261" s="267"/>
    </row>
    <row r="262" spans="1:44" ht="15.75">
      <c r="A262" s="267"/>
      <c r="B262" s="521" t="s">
        <v>261</v>
      </c>
      <c r="C262" s="522"/>
      <c r="D262" s="521"/>
      <c r="E262" s="521"/>
      <c r="F262" s="521"/>
      <c r="G262" s="521"/>
      <c r="H262" s="521"/>
      <c r="I262" s="521"/>
      <c r="J262" s="521"/>
      <c r="K262" s="521"/>
      <c r="L262" s="522">
        <f t="shared" ref="L262:AI262" si="181">-L115</f>
        <v>-1057</v>
      </c>
      <c r="M262" s="522">
        <f t="shared" si="181"/>
        <v>-1250</v>
      </c>
      <c r="N262" s="522">
        <f t="shared" si="181"/>
        <v>-1558.6596881959911</v>
      </c>
      <c r="O262" s="522">
        <f t="shared" si="181"/>
        <v>-1851.2081983720318</v>
      </c>
      <c r="P262" s="522">
        <f t="shared" si="181"/>
        <v>-1877.4840745931269</v>
      </c>
      <c r="Q262" s="522">
        <f t="shared" si="181"/>
        <v>-2364.6981962095792</v>
      </c>
      <c r="R262" s="522">
        <f t="shared" si="181"/>
        <v>-3181.64957479646</v>
      </c>
      <c r="S262" s="522">
        <f t="shared" si="181"/>
        <v>-4070.5279947361491</v>
      </c>
      <c r="T262" s="522">
        <f t="shared" si="181"/>
        <v>-4661.4850579178892</v>
      </c>
      <c r="U262" s="522">
        <f t="shared" si="181"/>
        <v>-4991.6720000000005</v>
      </c>
      <c r="V262" s="522">
        <f t="shared" si="181"/>
        <v>-5981.6769999999997</v>
      </c>
      <c r="W262" s="522">
        <f t="shared" si="181"/>
        <v>-6853.018</v>
      </c>
      <c r="X262" s="522">
        <f t="shared" si="181"/>
        <v>-7954.9509999999991</v>
      </c>
      <c r="Y262" s="522">
        <f t="shared" si="181"/>
        <v>-8803.8250000000007</v>
      </c>
      <c r="Z262" s="522">
        <f t="shared" si="181"/>
        <v>-9663.6387925350573</v>
      </c>
      <c r="AA262" s="522">
        <f t="shared" si="181"/>
        <v>-9760.6767804969986</v>
      </c>
      <c r="AB262" s="522">
        <f t="shared" si="181"/>
        <v>-9701.8705025970685</v>
      </c>
      <c r="AC262" s="522">
        <f t="shared" si="181"/>
        <v>-9775.9425208365865</v>
      </c>
      <c r="AD262" s="522">
        <f t="shared" si="181"/>
        <v>-9845.00339211153</v>
      </c>
      <c r="AE262" s="522">
        <f t="shared" si="181"/>
        <v>-9887.9532062991002</v>
      </c>
      <c r="AF262" s="522">
        <f t="shared" si="181"/>
        <v>-9915.9815820478416</v>
      </c>
      <c r="AG262" s="522">
        <f t="shared" si="181"/>
        <v>-9930.9875841609446</v>
      </c>
      <c r="AH262" s="522">
        <f t="shared" si="181"/>
        <v>-9956.8618612168393</v>
      </c>
      <c r="AI262" s="522">
        <f t="shared" si="181"/>
        <v>-9991.7603407307233</v>
      </c>
      <c r="AJ262" s="267"/>
      <c r="AK262" s="267"/>
      <c r="AL262" s="267"/>
      <c r="AM262" s="267"/>
      <c r="AN262" s="267"/>
      <c r="AO262" s="267"/>
      <c r="AP262" s="267"/>
      <c r="AQ262" s="267"/>
      <c r="AR262" s="267"/>
    </row>
    <row r="263" spans="1:44" ht="15.75">
      <c r="A263" s="267"/>
      <c r="B263" s="521" t="s">
        <v>262</v>
      </c>
      <c r="C263" s="522"/>
      <c r="D263" s="521"/>
      <c r="E263" s="521"/>
      <c r="F263" s="521"/>
      <c r="G263" s="521"/>
      <c r="H263" s="521"/>
      <c r="I263" s="521"/>
      <c r="J263" s="521"/>
      <c r="K263" s="521"/>
      <c r="L263" s="522">
        <f t="shared" ref="L263:AI263" si="182">-L149</f>
        <v>-309</v>
      </c>
      <c r="M263" s="522">
        <f t="shared" si="182"/>
        <v>-260</v>
      </c>
      <c r="N263" s="522">
        <f t="shared" si="182"/>
        <v>-173.14031180400892</v>
      </c>
      <c r="O263" s="522">
        <f t="shared" si="182"/>
        <v>-100.79180162796816</v>
      </c>
      <c r="P263" s="522">
        <f t="shared" si="182"/>
        <v>-222.51592540687301</v>
      </c>
      <c r="Q263" s="522">
        <f t="shared" si="182"/>
        <v>-120.30180379042088</v>
      </c>
      <c r="R263" s="522">
        <f t="shared" si="182"/>
        <v>-105.65042520354027</v>
      </c>
      <c r="S263" s="522">
        <f t="shared" si="182"/>
        <v>-44.472005263851067</v>
      </c>
      <c r="T263" s="522">
        <f t="shared" si="182"/>
        <v>-46.514942082111013</v>
      </c>
      <c r="U263" s="522">
        <f t="shared" si="182"/>
        <v>-306.32799999999997</v>
      </c>
      <c r="V263" s="522">
        <f t="shared" si="182"/>
        <v>-258.54000000000002</v>
      </c>
      <c r="W263" s="522">
        <f t="shared" si="182"/>
        <v>-346.197</v>
      </c>
      <c r="X263" s="522">
        <f t="shared" si="182"/>
        <v>-502.67200000000003</v>
      </c>
      <c r="Y263" s="522">
        <f t="shared" si="182"/>
        <v>-732.07100000000003</v>
      </c>
      <c r="Z263" s="522">
        <f t="shared" si="182"/>
        <v>-0.20200000000000001</v>
      </c>
      <c r="AA263" s="522">
        <f t="shared" si="182"/>
        <v>0.20200000000022555</v>
      </c>
      <c r="AB263" s="522">
        <f t="shared" si="182"/>
        <v>0</v>
      </c>
      <c r="AC263" s="522">
        <f t="shared" si="182"/>
        <v>0</v>
      </c>
      <c r="AD263" s="522">
        <f t="shared" si="182"/>
        <v>0</v>
      </c>
      <c r="AE263" s="522">
        <f t="shared" si="182"/>
        <v>0</v>
      </c>
      <c r="AF263" s="522">
        <f t="shared" si="182"/>
        <v>0</v>
      </c>
      <c r="AG263" s="522">
        <f t="shared" si="182"/>
        <v>0</v>
      </c>
      <c r="AH263" s="522">
        <f t="shared" si="182"/>
        <v>0</v>
      </c>
      <c r="AI263" s="522">
        <f t="shared" si="182"/>
        <v>0</v>
      </c>
      <c r="AJ263" s="267"/>
      <c r="AK263" s="267"/>
      <c r="AL263" s="267"/>
      <c r="AM263" s="267"/>
      <c r="AN263" s="267"/>
      <c r="AO263" s="267"/>
      <c r="AP263" s="267"/>
      <c r="AQ263" s="267"/>
      <c r="AR263" s="267"/>
    </row>
    <row r="264" spans="1:44" ht="15.75">
      <c r="A264" s="267"/>
      <c r="B264" s="521" t="s">
        <v>263</v>
      </c>
      <c r="C264" s="522"/>
      <c r="D264" s="521"/>
      <c r="E264" s="521"/>
      <c r="F264" s="521"/>
      <c r="G264" s="521"/>
      <c r="H264" s="521"/>
      <c r="I264" s="521"/>
      <c r="J264" s="521"/>
      <c r="K264" s="521"/>
      <c r="L264" s="522">
        <f>L176</f>
        <v>112</v>
      </c>
      <c r="M264" s="522">
        <f>M176</f>
        <v>34</v>
      </c>
      <c r="N264" s="522">
        <f t="shared" ref="N264:AI264" si="183">-N176</f>
        <v>36.900000000000006</v>
      </c>
      <c r="O264" s="522">
        <f t="shared" si="183"/>
        <v>80.733000000000004</v>
      </c>
      <c r="P264" s="522">
        <f t="shared" si="183"/>
        <v>213</v>
      </c>
      <c r="Q264" s="522">
        <f t="shared" si="183"/>
        <v>-2.5</v>
      </c>
      <c r="R264" s="522">
        <f t="shared" si="183"/>
        <v>-29.299999999999997</v>
      </c>
      <c r="S264" s="522">
        <f t="shared" si="183"/>
        <v>-413</v>
      </c>
      <c r="T264" s="522">
        <f t="shared" si="183"/>
        <v>-545</v>
      </c>
      <c r="U264" s="522">
        <f t="shared" si="183"/>
        <v>-697</v>
      </c>
      <c r="V264" s="522">
        <f t="shared" si="183"/>
        <v>-1258.9899999999998</v>
      </c>
      <c r="W264" s="522">
        <f t="shared" si="183"/>
        <v>-1906.258</v>
      </c>
      <c r="X264" s="522">
        <f t="shared" si="183"/>
        <v>-2535.7079999999996</v>
      </c>
      <c r="Y264" s="522">
        <f t="shared" si="183"/>
        <v>-2104.5239999999999</v>
      </c>
      <c r="Z264" s="522">
        <f t="shared" si="183"/>
        <v>-2049.7963986196419</v>
      </c>
      <c r="AA264" s="522">
        <f t="shared" si="183"/>
        <v>-2021.1214665676478</v>
      </c>
      <c r="AB264" s="522">
        <f t="shared" si="183"/>
        <v>-1955.6667391230112</v>
      </c>
      <c r="AC264" s="522">
        <f t="shared" si="183"/>
        <v>-1856.3554404004174</v>
      </c>
      <c r="AD264" s="522">
        <f t="shared" si="183"/>
        <v>-1757.7900475162949</v>
      </c>
      <c r="AE264" s="522">
        <f t="shared" si="183"/>
        <v>-1654.702478980947</v>
      </c>
      <c r="AF264" s="522">
        <f t="shared" si="183"/>
        <v>-1598.033506574478</v>
      </c>
      <c r="AG264" s="522">
        <f t="shared" si="183"/>
        <v>-1549.623823456421</v>
      </c>
      <c r="AH264" s="522">
        <f t="shared" si="183"/>
        <v>-1511.5308952506296</v>
      </c>
      <c r="AI264" s="522">
        <f t="shared" si="183"/>
        <v>-1420.3220044511982</v>
      </c>
      <c r="AJ264" s="267"/>
      <c r="AK264" s="267"/>
      <c r="AL264" s="267"/>
      <c r="AM264" s="267"/>
      <c r="AN264" s="267"/>
      <c r="AO264" s="267"/>
      <c r="AP264" s="267"/>
      <c r="AQ264" s="267"/>
      <c r="AR264" s="267"/>
    </row>
    <row r="265" spans="1:44" ht="15.75">
      <c r="A265" s="267"/>
      <c r="B265" s="521" t="s">
        <v>264</v>
      </c>
      <c r="C265" s="521"/>
      <c r="D265" s="521"/>
      <c r="E265" s="521"/>
      <c r="F265" s="521"/>
      <c r="G265" s="521"/>
      <c r="H265" s="521"/>
      <c r="I265" s="521"/>
      <c r="J265" s="521"/>
      <c r="K265" s="521"/>
      <c r="L265" s="521"/>
      <c r="M265" s="521"/>
      <c r="N265" s="521"/>
      <c r="O265" s="521"/>
      <c r="P265" s="521"/>
      <c r="Q265" s="521"/>
      <c r="R265" s="521"/>
      <c r="S265" s="521"/>
      <c r="T265" s="521"/>
      <c r="U265" s="521"/>
      <c r="V265" s="521"/>
      <c r="W265" s="521"/>
      <c r="X265" s="521"/>
      <c r="Y265" s="521"/>
      <c r="Z265" s="521"/>
      <c r="AA265" s="521"/>
      <c r="AB265" s="521"/>
      <c r="AC265" s="521"/>
      <c r="AD265" s="521"/>
      <c r="AE265" s="521"/>
      <c r="AF265" s="521"/>
      <c r="AG265" s="521"/>
      <c r="AH265" s="521"/>
      <c r="AI265" s="521"/>
      <c r="AJ265" s="267"/>
      <c r="AK265" s="267"/>
      <c r="AL265" s="267"/>
      <c r="AM265" s="267"/>
      <c r="AN265" s="267"/>
      <c r="AO265" s="267"/>
      <c r="AP265" s="267"/>
      <c r="AQ265" s="267"/>
      <c r="AR265" s="267"/>
    </row>
    <row r="266" spans="1:44" ht="15.75">
      <c r="A266" s="267"/>
      <c r="B266" s="521" t="s">
        <v>265</v>
      </c>
      <c r="C266" s="522"/>
      <c r="D266" s="521"/>
      <c r="E266" s="521"/>
      <c r="F266" s="521"/>
      <c r="G266" s="521"/>
      <c r="H266" s="521"/>
      <c r="I266" s="521"/>
      <c r="J266" s="521"/>
      <c r="K266" s="521"/>
      <c r="L266" s="568">
        <f t="shared" ref="L266:AI266" si="184">SUM(L261:L265)</f>
        <v>2523</v>
      </c>
      <c r="M266" s="568">
        <f t="shared" si="184"/>
        <v>2880</v>
      </c>
      <c r="N266" s="568">
        <f t="shared" si="184"/>
        <v>3152.1</v>
      </c>
      <c r="O266" s="568">
        <f t="shared" si="184"/>
        <v>3971.7330000000002</v>
      </c>
      <c r="P266" s="568">
        <f t="shared" si="184"/>
        <v>5028</v>
      </c>
      <c r="Q266" s="568">
        <f t="shared" si="184"/>
        <v>5227.4999999999991</v>
      </c>
      <c r="R266" s="568">
        <f t="shared" si="184"/>
        <v>6030.4</v>
      </c>
      <c r="S266" s="568">
        <f t="shared" si="184"/>
        <v>5633</v>
      </c>
      <c r="T266" s="568">
        <f t="shared" si="184"/>
        <v>5784</v>
      </c>
      <c r="U266" s="568">
        <f t="shared" si="184"/>
        <v>6121</v>
      </c>
      <c r="V266" s="568">
        <f t="shared" si="184"/>
        <v>5269.8110000000006</v>
      </c>
      <c r="W266" s="568">
        <f t="shared" si="184"/>
        <v>4214.5200000000004</v>
      </c>
      <c r="X266" s="568">
        <f t="shared" si="184"/>
        <v>3636.5219999999999</v>
      </c>
      <c r="Y266" s="568">
        <f t="shared" si="184"/>
        <v>4295.6139999999996</v>
      </c>
      <c r="Z266" s="568">
        <f t="shared" si="184"/>
        <v>5604.3119748453064</v>
      </c>
      <c r="AA266" s="568">
        <f t="shared" si="184"/>
        <v>7109.9722189353606</v>
      </c>
      <c r="AB266" s="568">
        <f t="shared" si="184"/>
        <v>8775.8071082466249</v>
      </c>
      <c r="AC266" s="568">
        <f t="shared" si="184"/>
        <v>10050.958410137235</v>
      </c>
      <c r="AD266" s="568">
        <f t="shared" si="184"/>
        <v>11168.454373418233</v>
      </c>
      <c r="AE266" s="568">
        <f t="shared" si="184"/>
        <v>11923.99721208263</v>
      </c>
      <c r="AF266" s="568">
        <f t="shared" si="184"/>
        <v>12670.146516110217</v>
      </c>
      <c r="AG266" s="568">
        <f t="shared" si="184"/>
        <v>13444.030261504759</v>
      </c>
      <c r="AH266" s="568">
        <f t="shared" si="184"/>
        <v>14220.609323372953</v>
      </c>
      <c r="AI266" s="568">
        <f t="shared" si="184"/>
        <v>15066.112895712438</v>
      </c>
      <c r="AJ266" s="267"/>
      <c r="AK266" s="267"/>
      <c r="AL266" s="267"/>
      <c r="AM266" s="267"/>
      <c r="AN266" s="267"/>
      <c r="AO266" s="267"/>
      <c r="AP266" s="267"/>
      <c r="AQ266" s="267"/>
      <c r="AR266" s="267"/>
    </row>
    <row r="267" spans="1:44" ht="15.75">
      <c r="A267" s="267"/>
      <c r="B267" s="521" t="s">
        <v>266</v>
      </c>
      <c r="C267" s="527"/>
      <c r="D267" s="521"/>
      <c r="E267" s="521"/>
      <c r="F267" s="521"/>
      <c r="G267" s="521"/>
      <c r="H267" s="521"/>
      <c r="I267" s="521"/>
      <c r="J267" s="521"/>
      <c r="K267" s="521"/>
      <c r="L267" s="557">
        <v>0.28000000000000003</v>
      </c>
      <c r="M267" s="557">
        <v>0.28000000000000003</v>
      </c>
      <c r="N267" s="557">
        <v>0.28000000000000003</v>
      </c>
      <c r="O267" s="557">
        <v>0.28000000000000003</v>
      </c>
      <c r="P267" s="557">
        <v>0.22</v>
      </c>
      <c r="Q267" s="557">
        <v>0.23</v>
      </c>
      <c r="R267" s="557">
        <v>0.22</v>
      </c>
      <c r="S267" s="557">
        <v>0.22</v>
      </c>
      <c r="T267" s="557">
        <v>0.22</v>
      </c>
      <c r="U267" s="557">
        <v>0.22</v>
      </c>
      <c r="V267" s="557">
        <v>0.27</v>
      </c>
      <c r="W267" s="557">
        <v>0.31</v>
      </c>
      <c r="X267" s="557">
        <v>0.3</v>
      </c>
      <c r="Y267" s="557">
        <v>0.3</v>
      </c>
      <c r="Z267" s="557">
        <v>0.255</v>
      </c>
      <c r="AA267" s="557">
        <v>0.3</v>
      </c>
      <c r="AB267" s="557">
        <v>0.3</v>
      </c>
      <c r="AC267" s="557">
        <v>0.3</v>
      </c>
      <c r="AD267" s="557">
        <v>0.3</v>
      </c>
      <c r="AE267" s="557">
        <v>0.3</v>
      </c>
      <c r="AF267" s="557">
        <v>0.3</v>
      </c>
      <c r="AG267" s="557">
        <v>0.3</v>
      </c>
      <c r="AH267" s="557">
        <v>0.3</v>
      </c>
      <c r="AI267" s="557">
        <v>0.3</v>
      </c>
      <c r="AJ267" s="267"/>
      <c r="AK267" s="267"/>
      <c r="AL267" s="267"/>
      <c r="AM267" s="267"/>
      <c r="AN267" s="267"/>
      <c r="AO267" s="267"/>
      <c r="AP267" s="267"/>
      <c r="AQ267" s="267"/>
      <c r="AR267" s="267"/>
    </row>
    <row r="268" spans="1:44" ht="15.75">
      <c r="A268" s="267"/>
      <c r="B268" s="521" t="s">
        <v>114</v>
      </c>
      <c r="C268" s="522"/>
      <c r="D268" s="521"/>
      <c r="E268" s="521"/>
      <c r="F268" s="521"/>
      <c r="G268" s="521"/>
      <c r="H268" s="521"/>
      <c r="I268" s="521"/>
      <c r="J268" s="521"/>
      <c r="K268" s="521"/>
      <c r="L268" s="522">
        <f t="shared" ref="L268:AI268" si="185">L266*L267</f>
        <v>706.44</v>
      </c>
      <c r="M268" s="522">
        <f t="shared" si="185"/>
        <v>806.40000000000009</v>
      </c>
      <c r="N268" s="522">
        <f t="shared" si="185"/>
        <v>882.58800000000008</v>
      </c>
      <c r="O268" s="522">
        <f t="shared" si="185"/>
        <v>1112.0852400000001</v>
      </c>
      <c r="P268" s="522">
        <f t="shared" si="185"/>
        <v>1106.1600000000001</v>
      </c>
      <c r="Q268" s="522">
        <f t="shared" si="185"/>
        <v>1202.3249999999998</v>
      </c>
      <c r="R268" s="522">
        <f t="shared" si="185"/>
        <v>1326.6879999999999</v>
      </c>
      <c r="S268" s="522">
        <f t="shared" si="185"/>
        <v>1239.26</v>
      </c>
      <c r="T268" s="522">
        <f t="shared" si="185"/>
        <v>1272.48</v>
      </c>
      <c r="U268" s="522">
        <f t="shared" si="185"/>
        <v>1346.6200000000001</v>
      </c>
      <c r="V268" s="522">
        <f t="shared" si="185"/>
        <v>1422.8489700000002</v>
      </c>
      <c r="W268" s="522">
        <f t="shared" si="185"/>
        <v>1306.5012000000002</v>
      </c>
      <c r="X268" s="522">
        <f t="shared" si="185"/>
        <v>1090.9566</v>
      </c>
      <c r="Y268" s="522">
        <f t="shared" si="185"/>
        <v>1288.6841999999999</v>
      </c>
      <c r="Z268" s="522">
        <f t="shared" si="185"/>
        <v>1429.0995535855532</v>
      </c>
      <c r="AA268" s="522">
        <f t="shared" si="185"/>
        <v>2132.9916656806081</v>
      </c>
      <c r="AB268" s="522">
        <f t="shared" si="185"/>
        <v>2632.7421324739876</v>
      </c>
      <c r="AC268" s="522">
        <f t="shared" si="185"/>
        <v>3015.2875230411705</v>
      </c>
      <c r="AD268" s="522">
        <f t="shared" si="185"/>
        <v>3350.5363120254701</v>
      </c>
      <c r="AE268" s="522">
        <f t="shared" si="185"/>
        <v>3577.199163624789</v>
      </c>
      <c r="AF268" s="522">
        <f t="shared" si="185"/>
        <v>3801.0439548330651</v>
      </c>
      <c r="AG268" s="522">
        <f t="shared" si="185"/>
        <v>4033.2090784514276</v>
      </c>
      <c r="AH268" s="522">
        <f t="shared" si="185"/>
        <v>4266.1827970118857</v>
      </c>
      <c r="AI268" s="522">
        <f t="shared" si="185"/>
        <v>4519.8338687137311</v>
      </c>
      <c r="AJ268" s="267"/>
      <c r="AK268" s="267"/>
      <c r="AL268" s="267"/>
      <c r="AM268" s="267"/>
      <c r="AN268" s="267"/>
      <c r="AO268" s="267"/>
      <c r="AP268" s="267"/>
      <c r="AQ268" s="267"/>
      <c r="AR268" s="267"/>
    </row>
    <row r="269" spans="1:44" ht="15.75">
      <c r="A269" s="267"/>
      <c r="B269" s="521" t="s">
        <v>267</v>
      </c>
      <c r="C269" s="527"/>
      <c r="D269" s="521"/>
      <c r="E269" s="521"/>
      <c r="F269" s="521"/>
      <c r="G269" s="521"/>
      <c r="H269" s="521"/>
      <c r="I269" s="521"/>
      <c r="J269" s="521"/>
      <c r="K269" s="521"/>
      <c r="L269" s="527">
        <f>L257/L266</f>
        <v>0.19896948077685295</v>
      </c>
      <c r="M269" s="527">
        <f t="shared" ref="M269:Y269" si="186">M257/M266</f>
        <v>0.30277777777777776</v>
      </c>
      <c r="N269" s="527">
        <f t="shared" si="186"/>
        <v>0.24919894673392343</v>
      </c>
      <c r="O269" s="527">
        <f t="shared" si="186"/>
        <v>0.24145631138850471</v>
      </c>
      <c r="P269" s="527">
        <f t="shared" si="186"/>
        <v>0.16805887032617342</v>
      </c>
      <c r="Q269" s="527">
        <f t="shared" si="186"/>
        <v>0.19378287900526067</v>
      </c>
      <c r="R269" s="527">
        <f t="shared" si="186"/>
        <v>0.22336826744494562</v>
      </c>
      <c r="S269" s="527">
        <f t="shared" si="186"/>
        <v>0.22492455174862419</v>
      </c>
      <c r="T269" s="527">
        <f t="shared" si="186"/>
        <v>0.24723374827109268</v>
      </c>
      <c r="U269" s="527">
        <f t="shared" si="186"/>
        <v>0.26879905244241137</v>
      </c>
      <c r="V269" s="527">
        <f t="shared" si="186"/>
        <v>0.30645899824490858</v>
      </c>
      <c r="W269" s="527">
        <f t="shared" si="186"/>
        <v>0.30880954414737616</v>
      </c>
      <c r="X269" s="527">
        <f t="shared" si="186"/>
        <v>0.30111188657733956</v>
      </c>
      <c r="Y269" s="527">
        <f t="shared" si="186"/>
        <v>0.30246223240728803</v>
      </c>
      <c r="Z269" s="527">
        <f t="shared" ref="Z269:AI269" si="187">Z259/Z266</f>
        <v>0.255</v>
      </c>
      <c r="AA269" s="527">
        <f t="shared" si="187"/>
        <v>0.3</v>
      </c>
      <c r="AB269" s="527">
        <f t="shared" si="187"/>
        <v>0.3</v>
      </c>
      <c r="AC269" s="527">
        <f t="shared" si="187"/>
        <v>0.3</v>
      </c>
      <c r="AD269" s="527">
        <f t="shared" si="187"/>
        <v>0.3</v>
      </c>
      <c r="AE269" s="527">
        <f t="shared" si="187"/>
        <v>0.3</v>
      </c>
      <c r="AF269" s="527">
        <f t="shared" si="187"/>
        <v>0.3</v>
      </c>
      <c r="AG269" s="527">
        <f t="shared" si="187"/>
        <v>0.3</v>
      </c>
      <c r="AH269" s="527">
        <f t="shared" si="187"/>
        <v>0.3</v>
      </c>
      <c r="AI269" s="527">
        <f t="shared" si="187"/>
        <v>0.3</v>
      </c>
      <c r="AJ269" s="267"/>
      <c r="AK269" s="267"/>
      <c r="AL269" s="267"/>
      <c r="AM269" s="267"/>
      <c r="AN269" s="267"/>
      <c r="AO269" s="267"/>
      <c r="AP269" s="267"/>
      <c r="AQ269" s="267"/>
      <c r="AR269" s="267"/>
    </row>
    <row r="270" spans="1:44" ht="15.75">
      <c r="A270" s="267"/>
      <c r="B270" s="521"/>
      <c r="C270" s="527"/>
      <c r="D270" s="521"/>
      <c r="E270" s="521"/>
      <c r="F270" s="521"/>
      <c r="G270" s="521"/>
      <c r="H270" s="521"/>
      <c r="I270" s="521"/>
      <c r="J270" s="521"/>
      <c r="K270" s="521"/>
      <c r="L270" s="527"/>
      <c r="M270" s="527"/>
      <c r="N270" s="527"/>
      <c r="O270" s="527"/>
      <c r="P270" s="527"/>
      <c r="Q270" s="527"/>
      <c r="R270" s="527"/>
      <c r="S270" s="527"/>
      <c r="T270" s="527"/>
      <c r="U270" s="527"/>
      <c r="V270" s="527"/>
      <c r="W270" s="527"/>
      <c r="X270" s="527"/>
      <c r="Y270" s="527"/>
      <c r="Z270" s="527"/>
      <c r="AA270" s="527"/>
      <c r="AB270" s="527"/>
      <c r="AC270" s="527"/>
      <c r="AD270" s="527"/>
      <c r="AE270" s="527"/>
      <c r="AF270" s="527"/>
      <c r="AG270" s="527"/>
      <c r="AH270" s="527"/>
      <c r="AI270" s="527"/>
      <c r="AJ270" s="267"/>
      <c r="AK270" s="267"/>
      <c r="AL270" s="267"/>
      <c r="AM270" s="267"/>
      <c r="AN270" s="267"/>
      <c r="AO270" s="267"/>
      <c r="AP270" s="267"/>
      <c r="AQ270" s="267"/>
      <c r="AR270" s="267"/>
    </row>
    <row r="271" spans="1:44" ht="15.75">
      <c r="A271" s="267"/>
      <c r="B271" s="521" t="s">
        <v>268</v>
      </c>
      <c r="C271" s="522"/>
      <c r="D271" s="521"/>
      <c r="E271" s="521"/>
      <c r="F271" s="521"/>
      <c r="G271" s="521"/>
      <c r="H271" s="521"/>
      <c r="I271" s="521"/>
      <c r="J271" s="521"/>
      <c r="K271" s="521"/>
      <c r="L271" s="522">
        <f t="shared" ref="L271:AI271" si="188">L266</f>
        <v>2523</v>
      </c>
      <c r="M271" s="522">
        <f t="shared" si="188"/>
        <v>2880</v>
      </c>
      <c r="N271" s="522">
        <f t="shared" si="188"/>
        <v>3152.1</v>
      </c>
      <c r="O271" s="522">
        <f t="shared" si="188"/>
        <v>3971.7330000000002</v>
      </c>
      <c r="P271" s="522">
        <f t="shared" si="188"/>
        <v>5028</v>
      </c>
      <c r="Q271" s="522">
        <f t="shared" si="188"/>
        <v>5227.4999999999991</v>
      </c>
      <c r="R271" s="522">
        <f t="shared" si="188"/>
        <v>6030.4</v>
      </c>
      <c r="S271" s="522">
        <f t="shared" si="188"/>
        <v>5633</v>
      </c>
      <c r="T271" s="522">
        <f t="shared" si="188"/>
        <v>5784</v>
      </c>
      <c r="U271" s="522">
        <f t="shared" si="188"/>
        <v>6121</v>
      </c>
      <c r="V271" s="522">
        <f t="shared" si="188"/>
        <v>5269.8110000000006</v>
      </c>
      <c r="W271" s="522">
        <f t="shared" si="188"/>
        <v>4214.5200000000004</v>
      </c>
      <c r="X271" s="522">
        <f t="shared" si="188"/>
        <v>3636.5219999999999</v>
      </c>
      <c r="Y271" s="522">
        <f t="shared" si="188"/>
        <v>4295.6139999999996</v>
      </c>
      <c r="Z271" s="522">
        <f t="shared" si="188"/>
        <v>5604.3119748453064</v>
      </c>
      <c r="AA271" s="522">
        <f t="shared" si="188"/>
        <v>7109.9722189353606</v>
      </c>
      <c r="AB271" s="522">
        <f t="shared" si="188"/>
        <v>8775.8071082466249</v>
      </c>
      <c r="AC271" s="522">
        <f t="shared" si="188"/>
        <v>10050.958410137235</v>
      </c>
      <c r="AD271" s="522">
        <f t="shared" si="188"/>
        <v>11168.454373418233</v>
      </c>
      <c r="AE271" s="522">
        <f t="shared" si="188"/>
        <v>11923.99721208263</v>
      </c>
      <c r="AF271" s="522">
        <f t="shared" si="188"/>
        <v>12670.146516110217</v>
      </c>
      <c r="AG271" s="522">
        <f t="shared" si="188"/>
        <v>13444.030261504759</v>
      </c>
      <c r="AH271" s="522">
        <f t="shared" si="188"/>
        <v>14220.609323372953</v>
      </c>
      <c r="AI271" s="522">
        <f t="shared" si="188"/>
        <v>15066.112895712438</v>
      </c>
      <c r="AJ271" s="267"/>
      <c r="AK271" s="267"/>
      <c r="AL271" s="267"/>
      <c r="AM271" s="267"/>
      <c r="AN271" s="267"/>
      <c r="AO271" s="267"/>
      <c r="AP271" s="267"/>
      <c r="AQ271" s="267"/>
      <c r="AR271" s="267"/>
    </row>
    <row r="272" spans="1:44" ht="15.75">
      <c r="A272" s="267"/>
      <c r="B272" s="521"/>
      <c r="C272" s="527"/>
      <c r="D272" s="521"/>
      <c r="E272" s="521"/>
      <c r="F272" s="521"/>
      <c r="G272" s="521"/>
      <c r="H272" s="521"/>
      <c r="I272" s="521"/>
      <c r="J272" s="521"/>
      <c r="K272" s="521"/>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267"/>
      <c r="AK272" s="267"/>
      <c r="AL272" s="267"/>
      <c r="AM272" s="267"/>
      <c r="AN272" s="267"/>
      <c r="AO272" s="267"/>
      <c r="AP272" s="267"/>
      <c r="AQ272" s="267"/>
      <c r="AR272" s="267"/>
    </row>
    <row r="273" spans="1:44" ht="15.75">
      <c r="A273" s="267"/>
      <c r="B273" s="521" t="s">
        <v>269</v>
      </c>
      <c r="C273" s="552"/>
      <c r="D273" s="521"/>
      <c r="E273" s="521"/>
      <c r="F273" s="521"/>
      <c r="G273" s="521"/>
      <c r="H273" s="521"/>
      <c r="I273" s="521"/>
      <c r="J273" s="521"/>
      <c r="K273" s="521"/>
      <c r="L273" s="522">
        <v>0</v>
      </c>
      <c r="M273" s="522">
        <v>0</v>
      </c>
      <c r="N273" s="522">
        <v>0</v>
      </c>
      <c r="O273" s="522">
        <v>0</v>
      </c>
      <c r="P273" s="522">
        <v>0</v>
      </c>
      <c r="Q273" s="522">
        <v>0</v>
      </c>
      <c r="R273" s="522">
        <v>0</v>
      </c>
      <c r="S273" s="522">
        <v>0</v>
      </c>
      <c r="T273" s="522">
        <v>0</v>
      </c>
      <c r="U273" s="522">
        <v>0</v>
      </c>
      <c r="V273" s="522">
        <v>0</v>
      </c>
      <c r="W273" s="522">
        <v>0</v>
      </c>
      <c r="X273" s="522">
        <v>0</v>
      </c>
      <c r="Y273" s="522">
        <v>0</v>
      </c>
      <c r="Z273" s="522">
        <v>0</v>
      </c>
      <c r="AA273" s="522">
        <v>0</v>
      </c>
      <c r="AB273" s="522">
        <v>0</v>
      </c>
      <c r="AC273" s="522">
        <v>0</v>
      </c>
      <c r="AD273" s="522">
        <v>0</v>
      </c>
      <c r="AE273" s="522">
        <v>0</v>
      </c>
      <c r="AF273" s="522">
        <v>0</v>
      </c>
      <c r="AG273" s="522">
        <v>0</v>
      </c>
      <c r="AH273" s="522">
        <v>0</v>
      </c>
      <c r="AI273" s="522">
        <v>0</v>
      </c>
      <c r="AJ273" s="267"/>
      <c r="AK273" s="267"/>
      <c r="AL273" s="267"/>
      <c r="AM273" s="267"/>
      <c r="AN273" s="267"/>
      <c r="AO273" s="267"/>
      <c r="AP273" s="267"/>
      <c r="AQ273" s="267"/>
      <c r="AR273" s="267"/>
    </row>
    <row r="274" spans="1:44" ht="15.75">
      <c r="A274" s="267"/>
      <c r="B274" s="521" t="s">
        <v>270</v>
      </c>
      <c r="C274" s="527"/>
      <c r="D274" s="521"/>
      <c r="E274" s="521"/>
      <c r="F274" s="521"/>
      <c r="G274" s="521"/>
      <c r="H274" s="521"/>
      <c r="I274" s="521"/>
      <c r="J274" s="521"/>
      <c r="K274" s="521"/>
      <c r="L274" s="863">
        <f t="shared" ref="L274:AI274" si="189">K273</f>
        <v>0</v>
      </c>
      <c r="M274" s="863">
        <f t="shared" si="189"/>
        <v>0</v>
      </c>
      <c r="N274" s="863">
        <f t="shared" si="189"/>
        <v>0</v>
      </c>
      <c r="O274" s="863">
        <f t="shared" si="189"/>
        <v>0</v>
      </c>
      <c r="P274" s="863">
        <f t="shared" si="189"/>
        <v>0</v>
      </c>
      <c r="Q274" s="863">
        <f t="shared" si="189"/>
        <v>0</v>
      </c>
      <c r="R274" s="863">
        <f t="shared" si="189"/>
        <v>0</v>
      </c>
      <c r="S274" s="863">
        <f t="shared" si="189"/>
        <v>0</v>
      </c>
      <c r="T274" s="863">
        <f t="shared" si="189"/>
        <v>0</v>
      </c>
      <c r="U274" s="863">
        <f t="shared" si="189"/>
        <v>0</v>
      </c>
      <c r="V274" s="863">
        <f t="shared" si="189"/>
        <v>0</v>
      </c>
      <c r="W274" s="863">
        <f t="shared" si="189"/>
        <v>0</v>
      </c>
      <c r="X274" s="863">
        <f t="shared" si="189"/>
        <v>0</v>
      </c>
      <c r="Y274" s="863">
        <f t="shared" si="189"/>
        <v>0</v>
      </c>
      <c r="Z274" s="863">
        <f t="shared" si="189"/>
        <v>0</v>
      </c>
      <c r="AA274" s="863">
        <f t="shared" si="189"/>
        <v>0</v>
      </c>
      <c r="AB274" s="863">
        <f t="shared" si="189"/>
        <v>0</v>
      </c>
      <c r="AC274" s="863">
        <f t="shared" si="189"/>
        <v>0</v>
      </c>
      <c r="AD274" s="863">
        <f t="shared" si="189"/>
        <v>0</v>
      </c>
      <c r="AE274" s="863">
        <f t="shared" si="189"/>
        <v>0</v>
      </c>
      <c r="AF274" s="863">
        <f t="shared" si="189"/>
        <v>0</v>
      </c>
      <c r="AG274" s="863">
        <f t="shared" si="189"/>
        <v>0</v>
      </c>
      <c r="AH274" s="863">
        <f t="shared" si="189"/>
        <v>0</v>
      </c>
      <c r="AI274" s="863">
        <f t="shared" si="189"/>
        <v>0</v>
      </c>
      <c r="AJ274" s="267"/>
      <c r="AK274" s="267"/>
      <c r="AL274" s="267"/>
      <c r="AM274" s="267"/>
      <c r="AN274" s="267"/>
      <c r="AO274" s="267"/>
      <c r="AP274" s="267"/>
      <c r="AQ274" s="267"/>
      <c r="AR274" s="267"/>
    </row>
    <row r="275" spans="1:44" ht="15.75">
      <c r="A275" s="267"/>
      <c r="B275" s="521" t="s">
        <v>271</v>
      </c>
      <c r="C275" s="527"/>
      <c r="D275" s="521"/>
      <c r="E275" s="521"/>
      <c r="F275" s="521"/>
      <c r="G275" s="521"/>
      <c r="H275" s="521"/>
      <c r="I275" s="521"/>
      <c r="J275" s="521"/>
      <c r="K275" s="521"/>
      <c r="L275" s="522">
        <f t="shared" ref="L275:AI275" si="190">L271-L274</f>
        <v>2523</v>
      </c>
      <c r="M275" s="522">
        <f t="shared" si="190"/>
        <v>2880</v>
      </c>
      <c r="N275" s="522">
        <f t="shared" si="190"/>
        <v>3152.1</v>
      </c>
      <c r="O275" s="522">
        <f t="shared" si="190"/>
        <v>3971.7330000000002</v>
      </c>
      <c r="P275" s="522">
        <f t="shared" si="190"/>
        <v>5028</v>
      </c>
      <c r="Q275" s="522">
        <f t="shared" si="190"/>
        <v>5227.4999999999991</v>
      </c>
      <c r="R275" s="522">
        <f t="shared" si="190"/>
        <v>6030.4</v>
      </c>
      <c r="S275" s="522">
        <f t="shared" si="190"/>
        <v>5633</v>
      </c>
      <c r="T275" s="522">
        <f t="shared" si="190"/>
        <v>5784</v>
      </c>
      <c r="U275" s="522">
        <f t="shared" si="190"/>
        <v>6121</v>
      </c>
      <c r="V275" s="522">
        <f t="shared" si="190"/>
        <v>5269.8110000000006</v>
      </c>
      <c r="W275" s="522">
        <f t="shared" si="190"/>
        <v>4214.5200000000004</v>
      </c>
      <c r="X275" s="522">
        <f t="shared" si="190"/>
        <v>3636.5219999999999</v>
      </c>
      <c r="Y275" s="522">
        <f t="shared" si="190"/>
        <v>4295.6139999999996</v>
      </c>
      <c r="Z275" s="522">
        <f t="shared" si="190"/>
        <v>5604.3119748453064</v>
      </c>
      <c r="AA275" s="522">
        <f t="shared" si="190"/>
        <v>7109.9722189353606</v>
      </c>
      <c r="AB275" s="522">
        <f t="shared" si="190"/>
        <v>8775.8071082466249</v>
      </c>
      <c r="AC275" s="522">
        <f t="shared" si="190"/>
        <v>10050.958410137235</v>
      </c>
      <c r="AD275" s="522">
        <f t="shared" si="190"/>
        <v>11168.454373418233</v>
      </c>
      <c r="AE275" s="522">
        <f t="shared" si="190"/>
        <v>11923.99721208263</v>
      </c>
      <c r="AF275" s="522">
        <f t="shared" si="190"/>
        <v>12670.146516110217</v>
      </c>
      <c r="AG275" s="522">
        <f t="shared" si="190"/>
        <v>13444.030261504759</v>
      </c>
      <c r="AH275" s="522">
        <f t="shared" si="190"/>
        <v>14220.609323372953</v>
      </c>
      <c r="AI275" s="522">
        <f t="shared" si="190"/>
        <v>15066.112895712438</v>
      </c>
      <c r="AJ275" s="267"/>
      <c r="AK275" s="267"/>
      <c r="AL275" s="267"/>
      <c r="AM275" s="267"/>
      <c r="AN275" s="267"/>
      <c r="AO275" s="267"/>
      <c r="AP275" s="267"/>
      <c r="AQ275" s="267"/>
      <c r="AR275" s="267"/>
    </row>
    <row r="276" spans="1:44" ht="15.75">
      <c r="A276" s="267"/>
      <c r="B276" s="521"/>
      <c r="C276" s="527"/>
      <c r="D276" s="521"/>
      <c r="E276" s="521"/>
      <c r="F276" s="521"/>
      <c r="G276" s="521"/>
      <c r="H276" s="521"/>
      <c r="I276" s="521"/>
      <c r="J276" s="521"/>
      <c r="K276" s="521"/>
      <c r="L276" s="522"/>
      <c r="M276" s="522"/>
      <c r="N276" s="522"/>
      <c r="O276" s="522"/>
      <c r="P276" s="522"/>
      <c r="Q276" s="522"/>
      <c r="R276" s="522"/>
      <c r="S276" s="522"/>
      <c r="T276" s="522"/>
      <c r="U276" s="522"/>
      <c r="V276" s="522"/>
      <c r="W276" s="522"/>
      <c r="X276" s="522"/>
      <c r="Y276" s="522"/>
      <c r="Z276" s="522"/>
      <c r="AA276" s="522"/>
      <c r="AB276" s="522"/>
      <c r="AC276" s="522"/>
      <c r="AD276" s="522"/>
      <c r="AE276" s="522"/>
      <c r="AF276" s="522"/>
      <c r="AG276" s="522"/>
      <c r="AH276" s="522"/>
      <c r="AI276" s="522"/>
      <c r="AJ276" s="267"/>
      <c r="AK276" s="267"/>
      <c r="AL276" s="267"/>
      <c r="AM276" s="267"/>
      <c r="AN276" s="267"/>
      <c r="AO276" s="267"/>
      <c r="AP276" s="267"/>
      <c r="AQ276" s="267"/>
      <c r="AR276" s="267"/>
    </row>
    <row r="277" spans="1:44" ht="15.75">
      <c r="A277" s="267"/>
      <c r="B277" s="521" t="s">
        <v>272</v>
      </c>
      <c r="C277" s="527"/>
      <c r="D277" s="521"/>
      <c r="E277" s="521"/>
      <c r="F277" s="521"/>
      <c r="G277" s="521"/>
      <c r="H277" s="521"/>
      <c r="I277" s="521"/>
      <c r="J277" s="521"/>
      <c r="K277" s="521"/>
      <c r="L277" s="522">
        <f t="shared" ref="L277:AI277" si="191">L275*L269+L276</f>
        <v>502</v>
      </c>
      <c r="M277" s="522">
        <f t="shared" si="191"/>
        <v>871.99999999999989</v>
      </c>
      <c r="N277" s="522">
        <f t="shared" si="191"/>
        <v>785.5</v>
      </c>
      <c r="O277" s="522">
        <f t="shared" si="191"/>
        <v>959</v>
      </c>
      <c r="P277" s="522">
        <f t="shared" si="191"/>
        <v>845</v>
      </c>
      <c r="Q277" s="522">
        <f t="shared" si="191"/>
        <v>1013</v>
      </c>
      <c r="R277" s="522">
        <f t="shared" si="191"/>
        <v>1347</v>
      </c>
      <c r="S277" s="522">
        <f t="shared" si="191"/>
        <v>1267</v>
      </c>
      <c r="T277" s="522">
        <f t="shared" si="191"/>
        <v>1430</v>
      </c>
      <c r="U277" s="522">
        <f t="shared" si="191"/>
        <v>1645.319</v>
      </c>
      <c r="V277" s="522">
        <f t="shared" si="191"/>
        <v>1614.981</v>
      </c>
      <c r="W277" s="522">
        <f t="shared" si="191"/>
        <v>1301.4839999999999</v>
      </c>
      <c r="X277" s="522">
        <f t="shared" si="191"/>
        <v>1095</v>
      </c>
      <c r="Y277" s="522">
        <f t="shared" si="191"/>
        <v>1299.261</v>
      </c>
      <c r="Z277" s="522">
        <f t="shared" si="191"/>
        <v>1429.0995535855532</v>
      </c>
      <c r="AA277" s="522">
        <f t="shared" si="191"/>
        <v>2132.9916656806081</v>
      </c>
      <c r="AB277" s="522">
        <f t="shared" si="191"/>
        <v>2632.7421324739876</v>
      </c>
      <c r="AC277" s="522">
        <f t="shared" si="191"/>
        <v>3015.2875230411705</v>
      </c>
      <c r="AD277" s="522">
        <f t="shared" si="191"/>
        <v>3350.5363120254701</v>
      </c>
      <c r="AE277" s="522">
        <f t="shared" si="191"/>
        <v>3577.199163624789</v>
      </c>
      <c r="AF277" s="522">
        <f t="shared" si="191"/>
        <v>3801.0439548330651</v>
      </c>
      <c r="AG277" s="522">
        <f t="shared" si="191"/>
        <v>4033.2090784514276</v>
      </c>
      <c r="AH277" s="522">
        <f t="shared" si="191"/>
        <v>4266.1827970118857</v>
      </c>
      <c r="AI277" s="522">
        <f t="shared" si="191"/>
        <v>4519.8338687137311</v>
      </c>
      <c r="AJ277" s="267"/>
      <c r="AK277" s="267"/>
      <c r="AL277" s="267"/>
      <c r="AM277" s="267"/>
      <c r="AN277" s="267"/>
      <c r="AO277" s="267"/>
      <c r="AP277" s="267"/>
      <c r="AQ277" s="267"/>
      <c r="AR277" s="267"/>
    </row>
    <row r="278" spans="1:44" ht="15.75">
      <c r="A278" s="267"/>
      <c r="B278" s="521" t="s">
        <v>273</v>
      </c>
      <c r="C278" s="527"/>
      <c r="D278" s="521"/>
      <c r="E278" s="521"/>
      <c r="F278" s="521"/>
      <c r="G278" s="521"/>
      <c r="H278" s="521"/>
      <c r="I278" s="521"/>
      <c r="J278" s="521"/>
      <c r="K278" s="521"/>
      <c r="L278" s="522">
        <f t="shared" ref="L278:AI278" si="192">L273*0.39</f>
        <v>0</v>
      </c>
      <c r="M278" s="522">
        <f t="shared" si="192"/>
        <v>0</v>
      </c>
      <c r="N278" s="522">
        <f t="shared" si="192"/>
        <v>0</v>
      </c>
      <c r="O278" s="522">
        <f t="shared" si="192"/>
        <v>0</v>
      </c>
      <c r="P278" s="522">
        <f t="shared" si="192"/>
        <v>0</v>
      </c>
      <c r="Q278" s="522">
        <f t="shared" si="192"/>
        <v>0</v>
      </c>
      <c r="R278" s="522">
        <f t="shared" si="192"/>
        <v>0</v>
      </c>
      <c r="S278" s="522">
        <f t="shared" si="192"/>
        <v>0</v>
      </c>
      <c r="T278" s="522">
        <f t="shared" si="192"/>
        <v>0</v>
      </c>
      <c r="U278" s="522">
        <f t="shared" si="192"/>
        <v>0</v>
      </c>
      <c r="V278" s="522">
        <f t="shared" si="192"/>
        <v>0</v>
      </c>
      <c r="W278" s="522">
        <f t="shared" si="192"/>
        <v>0</v>
      </c>
      <c r="X278" s="522">
        <f t="shared" si="192"/>
        <v>0</v>
      </c>
      <c r="Y278" s="522">
        <f t="shared" si="192"/>
        <v>0</v>
      </c>
      <c r="Z278" s="522">
        <f t="shared" si="192"/>
        <v>0</v>
      </c>
      <c r="AA278" s="522">
        <f t="shared" si="192"/>
        <v>0</v>
      </c>
      <c r="AB278" s="522">
        <f t="shared" si="192"/>
        <v>0</v>
      </c>
      <c r="AC278" s="522">
        <f t="shared" si="192"/>
        <v>0</v>
      </c>
      <c r="AD278" s="522">
        <f t="shared" si="192"/>
        <v>0</v>
      </c>
      <c r="AE278" s="522">
        <f t="shared" si="192"/>
        <v>0</v>
      </c>
      <c r="AF278" s="522">
        <f t="shared" si="192"/>
        <v>0</v>
      </c>
      <c r="AG278" s="522">
        <f t="shared" si="192"/>
        <v>0</v>
      </c>
      <c r="AH278" s="522">
        <f t="shared" si="192"/>
        <v>0</v>
      </c>
      <c r="AI278" s="522">
        <f t="shared" si="192"/>
        <v>0</v>
      </c>
      <c r="AJ278" s="267"/>
      <c r="AK278" s="267"/>
      <c r="AL278" s="267"/>
      <c r="AM278" s="267"/>
      <c r="AN278" s="267"/>
      <c r="AO278" s="267"/>
      <c r="AP278" s="267"/>
      <c r="AQ278" s="267"/>
      <c r="AR278" s="267"/>
    </row>
    <row r="279" spans="1:44" ht="15.75">
      <c r="A279" s="267"/>
      <c r="B279" s="521" t="s">
        <v>274</v>
      </c>
      <c r="C279" s="527"/>
      <c r="D279" s="521"/>
      <c r="E279" s="521"/>
      <c r="F279" s="521"/>
      <c r="G279" s="521"/>
      <c r="H279" s="521"/>
      <c r="I279" s="521"/>
      <c r="J279" s="521"/>
      <c r="K279" s="521"/>
      <c r="L279" s="522">
        <f t="shared" ref="L279:AI279" si="193">L266*L267-L277</f>
        <v>204.44000000000005</v>
      </c>
      <c r="M279" s="522">
        <f t="shared" si="193"/>
        <v>-65.599999999999795</v>
      </c>
      <c r="N279" s="522">
        <f t="shared" si="193"/>
        <v>97.088000000000079</v>
      </c>
      <c r="O279" s="522">
        <f t="shared" si="193"/>
        <v>153.08524000000011</v>
      </c>
      <c r="P279" s="522">
        <f t="shared" si="193"/>
        <v>261.16000000000008</v>
      </c>
      <c r="Q279" s="522">
        <f t="shared" si="193"/>
        <v>189.32499999999982</v>
      </c>
      <c r="R279" s="522">
        <f t="shared" si="193"/>
        <v>-20.312000000000126</v>
      </c>
      <c r="S279" s="522">
        <f t="shared" si="193"/>
        <v>-27.740000000000009</v>
      </c>
      <c r="T279" s="522">
        <f t="shared" si="193"/>
        <v>-157.51999999999998</v>
      </c>
      <c r="U279" s="522">
        <f t="shared" si="193"/>
        <v>-298.69899999999984</v>
      </c>
      <c r="V279" s="522">
        <f t="shared" si="193"/>
        <v>-192.13202999999976</v>
      </c>
      <c r="W279" s="522">
        <f t="shared" si="193"/>
        <v>5.0172000000002299</v>
      </c>
      <c r="X279" s="522">
        <f t="shared" si="193"/>
        <v>-4.0434000000000196</v>
      </c>
      <c r="Y279" s="522">
        <f t="shared" si="193"/>
        <v>-10.576800000000048</v>
      </c>
      <c r="Z279" s="522">
        <f t="shared" si="193"/>
        <v>0</v>
      </c>
      <c r="AA279" s="522">
        <f t="shared" si="193"/>
        <v>0</v>
      </c>
      <c r="AB279" s="522">
        <f t="shared" si="193"/>
        <v>0</v>
      </c>
      <c r="AC279" s="522">
        <f t="shared" si="193"/>
        <v>0</v>
      </c>
      <c r="AD279" s="522">
        <f t="shared" si="193"/>
        <v>0</v>
      </c>
      <c r="AE279" s="522">
        <f t="shared" si="193"/>
        <v>0</v>
      </c>
      <c r="AF279" s="522">
        <f t="shared" si="193"/>
        <v>0</v>
      </c>
      <c r="AG279" s="522">
        <f t="shared" si="193"/>
        <v>0</v>
      </c>
      <c r="AH279" s="522">
        <f t="shared" si="193"/>
        <v>0</v>
      </c>
      <c r="AI279" s="522">
        <f t="shared" si="193"/>
        <v>0</v>
      </c>
      <c r="AJ279" s="267"/>
      <c r="AK279" s="267"/>
      <c r="AL279" s="267"/>
      <c r="AM279" s="267"/>
      <c r="AN279" s="267"/>
      <c r="AO279" s="267"/>
      <c r="AP279" s="267"/>
      <c r="AQ279" s="267"/>
      <c r="AR279" s="267"/>
    </row>
    <row r="280" spans="1:44" ht="15.75">
      <c r="A280" s="267"/>
      <c r="B280" s="521" t="s">
        <v>275</v>
      </c>
      <c r="C280" s="527"/>
      <c r="D280" s="521"/>
      <c r="E280" s="521"/>
      <c r="F280" s="521"/>
      <c r="G280" s="521"/>
      <c r="H280" s="521"/>
      <c r="I280" s="521"/>
      <c r="J280" s="521"/>
      <c r="K280" s="521"/>
      <c r="L280" s="522">
        <f t="shared" ref="L280:AI280" si="194">NPV(7%,L279:AS279)</f>
        <v>281.0166041359642</v>
      </c>
      <c r="M280" s="522">
        <f t="shared" si="194"/>
        <v>96.2477664254817</v>
      </c>
      <c r="N280" s="522">
        <f t="shared" si="194"/>
        <v>168.58511007526519</v>
      </c>
      <c r="O280" s="522">
        <f t="shared" si="194"/>
        <v>83.298067780533756</v>
      </c>
      <c r="P280" s="522">
        <f t="shared" si="194"/>
        <v>-63.95630747482906</v>
      </c>
      <c r="Q280" s="522">
        <f t="shared" si="194"/>
        <v>-329.59324899806717</v>
      </c>
      <c r="R280" s="522">
        <f t="shared" si="194"/>
        <v>-541.9897764279317</v>
      </c>
      <c r="S280" s="522">
        <f t="shared" si="194"/>
        <v>-559.61706077788676</v>
      </c>
      <c r="T280" s="522">
        <f t="shared" si="194"/>
        <v>-571.05025503233901</v>
      </c>
      <c r="U280" s="522">
        <f t="shared" si="194"/>
        <v>-453.50377288460271</v>
      </c>
      <c r="V280" s="522">
        <f t="shared" si="194"/>
        <v>-186.5500369865251</v>
      </c>
      <c r="W280" s="522">
        <f t="shared" si="194"/>
        <v>-7.4765095755820861</v>
      </c>
      <c r="X280" s="522">
        <f t="shared" si="194"/>
        <v>-13.017065245873061</v>
      </c>
      <c r="Y280" s="522">
        <f t="shared" si="194"/>
        <v>-9.884859813084157</v>
      </c>
      <c r="Z280" s="522">
        <f t="shared" si="194"/>
        <v>0</v>
      </c>
      <c r="AA280" s="522">
        <f t="shared" si="194"/>
        <v>0</v>
      </c>
      <c r="AB280" s="522">
        <f t="shared" si="194"/>
        <v>0</v>
      </c>
      <c r="AC280" s="522">
        <f t="shared" si="194"/>
        <v>0</v>
      </c>
      <c r="AD280" s="522">
        <f t="shared" si="194"/>
        <v>0</v>
      </c>
      <c r="AE280" s="522">
        <f t="shared" si="194"/>
        <v>0</v>
      </c>
      <c r="AF280" s="522">
        <f t="shared" si="194"/>
        <v>0</v>
      </c>
      <c r="AG280" s="522">
        <f t="shared" si="194"/>
        <v>0</v>
      </c>
      <c r="AH280" s="522">
        <f t="shared" si="194"/>
        <v>0</v>
      </c>
      <c r="AI280" s="522">
        <f t="shared" si="194"/>
        <v>0</v>
      </c>
      <c r="AJ280" s="267"/>
      <c r="AK280" s="267"/>
      <c r="AL280" s="267"/>
      <c r="AM280" s="267"/>
      <c r="AN280" s="267"/>
      <c r="AO280" s="267"/>
      <c r="AP280" s="267"/>
      <c r="AQ280" s="267"/>
      <c r="AR280" s="267"/>
    </row>
    <row r="281" spans="1:44" ht="15.75">
      <c r="A281" s="267"/>
      <c r="B281" s="521"/>
      <c r="C281" s="521"/>
      <c r="D281" s="521"/>
      <c r="E281" s="521"/>
      <c r="F281" s="521"/>
      <c r="G281" s="521"/>
      <c r="H281" s="521"/>
      <c r="I281" s="521"/>
      <c r="J281" s="521"/>
      <c r="K281" s="521"/>
      <c r="L281" s="521"/>
      <c r="M281" s="521"/>
      <c r="N281" s="521"/>
      <c r="O281" s="521"/>
      <c r="P281" s="521"/>
      <c r="Q281" s="521"/>
      <c r="R281" s="521"/>
      <c r="S281" s="521"/>
      <c r="T281" s="521"/>
      <c r="U281" s="521"/>
      <c r="V281" s="521"/>
      <c r="W281" s="521"/>
      <c r="X281" s="521"/>
      <c r="Y281" s="521"/>
      <c r="Z281" s="521"/>
      <c r="AA281" s="521"/>
      <c r="AB281" s="521"/>
      <c r="AC281" s="521"/>
      <c r="AD281" s="521"/>
      <c r="AE281" s="521"/>
      <c r="AF281" s="521"/>
      <c r="AG281" s="521"/>
      <c r="AH281" s="521"/>
      <c r="AI281" s="521"/>
      <c r="AJ281" s="267"/>
      <c r="AK281" s="267"/>
      <c r="AL281" s="267"/>
      <c r="AM281" s="267"/>
      <c r="AN281" s="267"/>
      <c r="AO281" s="267"/>
      <c r="AP281" s="267"/>
      <c r="AQ281" s="267"/>
      <c r="AR281" s="267"/>
    </row>
    <row r="282" spans="1:44" ht="15.75">
      <c r="A282" s="267"/>
      <c r="B282" s="520" t="s">
        <v>276</v>
      </c>
      <c r="C282" s="521"/>
      <c r="D282" s="521"/>
      <c r="E282" s="521"/>
      <c r="F282" s="521"/>
      <c r="G282" s="521"/>
      <c r="H282" s="521"/>
      <c r="I282" s="521"/>
      <c r="J282" s="521"/>
      <c r="K282" s="521"/>
      <c r="L282" s="521"/>
      <c r="M282" s="521"/>
      <c r="N282" s="521"/>
      <c r="O282" s="521"/>
      <c r="P282" s="521"/>
      <c r="Q282" s="521"/>
      <c r="R282" s="521"/>
      <c r="S282" s="521"/>
      <c r="T282" s="521"/>
      <c r="U282" s="521"/>
      <c r="V282" s="521"/>
      <c r="W282" s="521"/>
      <c r="X282" s="521"/>
      <c r="Y282" s="521"/>
      <c r="Z282" s="521"/>
      <c r="AA282" s="521"/>
      <c r="AB282" s="521"/>
      <c r="AC282" s="521"/>
      <c r="AD282" s="521"/>
      <c r="AE282" s="521"/>
      <c r="AF282" s="521"/>
      <c r="AG282" s="521"/>
      <c r="AH282" s="521"/>
      <c r="AI282" s="521"/>
      <c r="AJ282" s="267"/>
      <c r="AK282" s="267"/>
      <c r="AL282" s="267"/>
      <c r="AM282" s="267"/>
      <c r="AN282" s="267"/>
      <c r="AO282" s="267"/>
      <c r="AP282" s="267"/>
      <c r="AQ282" s="267"/>
      <c r="AR282" s="267"/>
    </row>
    <row r="283" spans="1:44" ht="15.75">
      <c r="A283" s="267"/>
      <c r="B283" s="521" t="s">
        <v>277</v>
      </c>
      <c r="C283" s="521"/>
      <c r="D283" s="521"/>
      <c r="E283" s="521"/>
      <c r="F283" s="521"/>
      <c r="G283" s="521"/>
      <c r="H283" s="521"/>
      <c r="I283" s="521"/>
      <c r="J283" s="521"/>
      <c r="K283" s="521"/>
      <c r="L283" s="522">
        <f t="shared" ref="L283:AI283" si="195">L277</f>
        <v>502</v>
      </c>
      <c r="M283" s="522">
        <f t="shared" si="195"/>
        <v>871.99999999999989</v>
      </c>
      <c r="N283" s="522">
        <f t="shared" si="195"/>
        <v>785.5</v>
      </c>
      <c r="O283" s="522">
        <f t="shared" si="195"/>
        <v>959</v>
      </c>
      <c r="P283" s="522">
        <f t="shared" si="195"/>
        <v>845</v>
      </c>
      <c r="Q283" s="522">
        <f t="shared" si="195"/>
        <v>1013</v>
      </c>
      <c r="R283" s="522">
        <f t="shared" si="195"/>
        <v>1347</v>
      </c>
      <c r="S283" s="522">
        <f t="shared" si="195"/>
        <v>1267</v>
      </c>
      <c r="T283" s="522">
        <f t="shared" si="195"/>
        <v>1430</v>
      </c>
      <c r="U283" s="522">
        <f t="shared" si="195"/>
        <v>1645.319</v>
      </c>
      <c r="V283" s="522">
        <f t="shared" si="195"/>
        <v>1614.981</v>
      </c>
      <c r="W283" s="522">
        <f t="shared" si="195"/>
        <v>1301.4839999999999</v>
      </c>
      <c r="X283" s="522">
        <f t="shared" si="195"/>
        <v>1095</v>
      </c>
      <c r="Y283" s="522">
        <f t="shared" si="195"/>
        <v>1299.261</v>
      </c>
      <c r="Z283" s="522">
        <f t="shared" si="195"/>
        <v>1429.0995535855532</v>
      </c>
      <c r="AA283" s="522">
        <f t="shared" si="195"/>
        <v>2132.9916656806081</v>
      </c>
      <c r="AB283" s="522">
        <f t="shared" si="195"/>
        <v>2632.7421324739876</v>
      </c>
      <c r="AC283" s="522">
        <f t="shared" si="195"/>
        <v>3015.2875230411705</v>
      </c>
      <c r="AD283" s="522">
        <f t="shared" si="195"/>
        <v>3350.5363120254701</v>
      </c>
      <c r="AE283" s="522">
        <f t="shared" si="195"/>
        <v>3577.199163624789</v>
      </c>
      <c r="AF283" s="522">
        <f t="shared" si="195"/>
        <v>3801.0439548330651</v>
      </c>
      <c r="AG283" s="522">
        <f t="shared" si="195"/>
        <v>4033.2090784514276</v>
      </c>
      <c r="AH283" s="522">
        <f t="shared" si="195"/>
        <v>4266.1827970118857</v>
      </c>
      <c r="AI283" s="522">
        <f t="shared" si="195"/>
        <v>4519.8338687137311</v>
      </c>
      <c r="AJ283" s="267"/>
      <c r="AK283" s="267"/>
      <c r="AL283" s="267"/>
      <c r="AM283" s="267"/>
      <c r="AN283" s="267"/>
      <c r="AO283" s="267"/>
      <c r="AP283" s="267"/>
      <c r="AQ283" s="267"/>
      <c r="AR283" s="267"/>
    </row>
    <row r="284" spans="1:44" ht="15.75">
      <c r="A284" s="267"/>
      <c r="B284" s="521" t="s">
        <v>278</v>
      </c>
      <c r="C284" s="521"/>
      <c r="D284" s="521"/>
      <c r="E284" s="521"/>
      <c r="F284" s="521"/>
      <c r="G284" s="521"/>
      <c r="H284" s="521"/>
      <c r="I284" s="521"/>
      <c r="J284" s="521"/>
      <c r="K284" s="521"/>
      <c r="L284" s="554">
        <f t="shared" ref="L284:AI284" si="196">L283</f>
        <v>502</v>
      </c>
      <c r="M284" s="554">
        <f t="shared" si="196"/>
        <v>871.99999999999989</v>
      </c>
      <c r="N284" s="554">
        <f t="shared" si="196"/>
        <v>785.5</v>
      </c>
      <c r="O284" s="554">
        <f t="shared" si="196"/>
        <v>959</v>
      </c>
      <c r="P284" s="554">
        <f t="shared" si="196"/>
        <v>845</v>
      </c>
      <c r="Q284" s="554">
        <f t="shared" si="196"/>
        <v>1013</v>
      </c>
      <c r="R284" s="554">
        <f t="shared" si="196"/>
        <v>1347</v>
      </c>
      <c r="S284" s="554">
        <f t="shared" si="196"/>
        <v>1267</v>
      </c>
      <c r="T284" s="554">
        <f t="shared" si="196"/>
        <v>1430</v>
      </c>
      <c r="U284" s="554">
        <f t="shared" si="196"/>
        <v>1645.319</v>
      </c>
      <c r="V284" s="554">
        <f t="shared" si="196"/>
        <v>1614.981</v>
      </c>
      <c r="W284" s="554">
        <f t="shared" si="196"/>
        <v>1301.4839999999999</v>
      </c>
      <c r="X284" s="554">
        <f t="shared" si="196"/>
        <v>1095</v>
      </c>
      <c r="Y284" s="554">
        <f t="shared" si="196"/>
        <v>1299.261</v>
      </c>
      <c r="Z284" s="554">
        <f t="shared" si="196"/>
        <v>1429.0995535855532</v>
      </c>
      <c r="AA284" s="554">
        <f t="shared" si="196"/>
        <v>2132.9916656806081</v>
      </c>
      <c r="AB284" s="554">
        <f t="shared" si="196"/>
        <v>2632.7421324739876</v>
      </c>
      <c r="AC284" s="554">
        <f t="shared" si="196"/>
        <v>3015.2875230411705</v>
      </c>
      <c r="AD284" s="554">
        <f t="shared" si="196"/>
        <v>3350.5363120254701</v>
      </c>
      <c r="AE284" s="554">
        <f t="shared" si="196"/>
        <v>3577.199163624789</v>
      </c>
      <c r="AF284" s="554">
        <f t="shared" si="196"/>
        <v>3801.0439548330651</v>
      </c>
      <c r="AG284" s="554">
        <f t="shared" si="196"/>
        <v>4033.2090784514276</v>
      </c>
      <c r="AH284" s="554">
        <f t="shared" si="196"/>
        <v>4266.1827970118857</v>
      </c>
      <c r="AI284" s="554">
        <f t="shared" si="196"/>
        <v>4519.8338687137311</v>
      </c>
      <c r="AJ284" s="267"/>
      <c r="AK284" s="267"/>
      <c r="AL284" s="267"/>
      <c r="AM284" s="267"/>
      <c r="AN284" s="267"/>
      <c r="AO284" s="267"/>
      <c r="AP284" s="267"/>
      <c r="AQ284" s="267"/>
      <c r="AR284" s="267"/>
    </row>
    <row r="285" spans="1:44" ht="15.75">
      <c r="A285" s="267"/>
      <c r="B285" s="521"/>
      <c r="C285" s="521"/>
      <c r="D285" s="521"/>
      <c r="E285" s="521"/>
      <c r="F285" s="521"/>
      <c r="G285" s="521"/>
      <c r="H285" s="521"/>
      <c r="I285" s="521"/>
      <c r="J285" s="521"/>
      <c r="K285" s="521"/>
      <c r="L285" s="521"/>
      <c r="M285" s="521"/>
      <c r="N285" s="521"/>
      <c r="O285" s="521"/>
      <c r="P285" s="521"/>
      <c r="Q285" s="521"/>
      <c r="R285" s="521"/>
      <c r="S285" s="521"/>
      <c r="T285" s="521"/>
      <c r="U285" s="521"/>
      <c r="V285" s="521"/>
      <c r="W285" s="521"/>
      <c r="X285" s="521"/>
      <c r="Y285" s="521"/>
      <c r="Z285" s="521"/>
      <c r="AA285" s="521"/>
      <c r="AB285" s="521"/>
      <c r="AC285" s="521"/>
      <c r="AD285" s="521"/>
      <c r="AE285" s="521"/>
      <c r="AF285" s="521"/>
      <c r="AG285" s="521"/>
      <c r="AH285" s="521"/>
      <c r="AI285" s="521"/>
      <c r="AJ285" s="267"/>
      <c r="AK285" s="267"/>
      <c r="AL285" s="267"/>
      <c r="AM285" s="267"/>
      <c r="AN285" s="267"/>
      <c r="AO285" s="267"/>
      <c r="AP285" s="267"/>
      <c r="AQ285" s="267"/>
      <c r="AR285" s="267"/>
    </row>
    <row r="286" spans="1:44" ht="15.75">
      <c r="A286" s="267"/>
      <c r="B286" s="521"/>
      <c r="C286" s="521"/>
      <c r="D286" s="521"/>
      <c r="E286" s="521"/>
      <c r="F286" s="521"/>
      <c r="G286" s="521"/>
      <c r="H286" s="521"/>
      <c r="I286" s="521"/>
      <c r="J286" s="521"/>
      <c r="K286" s="521"/>
      <c r="L286" s="521"/>
      <c r="M286" s="521"/>
      <c r="N286" s="521"/>
      <c r="O286" s="521"/>
      <c r="P286" s="521"/>
      <c r="Q286" s="521"/>
      <c r="R286" s="521"/>
      <c r="S286" s="521"/>
      <c r="T286" s="521"/>
      <c r="U286" s="521"/>
      <c r="V286" s="521"/>
      <c r="W286" s="521"/>
      <c r="X286" s="521"/>
      <c r="Y286" s="521"/>
      <c r="Z286" s="521"/>
      <c r="AA286" s="521"/>
      <c r="AB286" s="521"/>
      <c r="AC286" s="521"/>
      <c r="AD286" s="521"/>
      <c r="AE286" s="521"/>
      <c r="AF286" s="521"/>
      <c r="AG286" s="521"/>
      <c r="AH286" s="521"/>
      <c r="AI286" s="521"/>
      <c r="AJ286" s="267"/>
      <c r="AK286" s="267"/>
      <c r="AL286" s="267"/>
      <c r="AM286" s="267"/>
      <c r="AN286" s="267"/>
      <c r="AO286" s="267"/>
      <c r="AP286" s="267"/>
      <c r="AQ286" s="267"/>
      <c r="AR286" s="267"/>
    </row>
    <row r="287" spans="1:44" ht="15.75">
      <c r="A287" s="267"/>
      <c r="B287" s="521"/>
      <c r="C287" s="521"/>
      <c r="D287" s="521"/>
      <c r="E287" s="521"/>
      <c r="F287" s="521"/>
      <c r="G287" s="521"/>
      <c r="H287" s="521"/>
      <c r="I287" s="521"/>
      <c r="J287" s="521"/>
      <c r="K287" s="521"/>
      <c r="L287" s="521"/>
      <c r="M287" s="521"/>
      <c r="N287" s="521"/>
      <c r="O287" s="521"/>
      <c r="P287" s="521"/>
      <c r="Q287" s="521"/>
      <c r="R287" s="521"/>
      <c r="S287" s="521"/>
      <c r="T287" s="521"/>
      <c r="U287" s="521"/>
      <c r="V287" s="521"/>
      <c r="W287" s="521"/>
      <c r="X287" s="521"/>
      <c r="Y287" s="521"/>
      <c r="Z287" s="521"/>
      <c r="AA287" s="521"/>
      <c r="AB287" s="521"/>
      <c r="AC287" s="521"/>
      <c r="AD287" s="521"/>
      <c r="AE287" s="521"/>
      <c r="AF287" s="521"/>
      <c r="AG287" s="521"/>
      <c r="AH287" s="521"/>
      <c r="AI287" s="521"/>
      <c r="AJ287" s="267"/>
      <c r="AK287" s="267"/>
      <c r="AL287" s="267"/>
      <c r="AM287" s="267"/>
      <c r="AN287" s="267"/>
      <c r="AO287" s="267"/>
      <c r="AP287" s="267"/>
      <c r="AQ287" s="267"/>
      <c r="AR287" s="267"/>
    </row>
    <row r="288" spans="1:44" ht="15.75">
      <c r="A288" s="267"/>
      <c r="B288" s="519" t="s">
        <v>279</v>
      </c>
      <c r="C288" s="519">
        <v>2003</v>
      </c>
      <c r="D288" s="519">
        <f t="shared" ref="D288:AI288" si="197">C288+1</f>
        <v>2004</v>
      </c>
      <c r="E288" s="519">
        <f t="shared" si="197"/>
        <v>2005</v>
      </c>
      <c r="F288" s="519">
        <f t="shared" si="197"/>
        <v>2006</v>
      </c>
      <c r="G288" s="519">
        <f t="shared" si="197"/>
        <v>2007</v>
      </c>
      <c r="H288" s="519">
        <f t="shared" si="197"/>
        <v>2008</v>
      </c>
      <c r="I288" s="519">
        <f t="shared" si="197"/>
        <v>2009</v>
      </c>
      <c r="J288" s="519">
        <f t="shared" si="197"/>
        <v>2010</v>
      </c>
      <c r="K288" s="519">
        <f t="shared" si="197"/>
        <v>2011</v>
      </c>
      <c r="L288" s="519">
        <f t="shared" si="197"/>
        <v>2012</v>
      </c>
      <c r="M288" s="519">
        <f t="shared" si="197"/>
        <v>2013</v>
      </c>
      <c r="N288" s="519">
        <f t="shared" si="197"/>
        <v>2014</v>
      </c>
      <c r="O288" s="519">
        <f t="shared" si="197"/>
        <v>2015</v>
      </c>
      <c r="P288" s="519">
        <f t="shared" si="197"/>
        <v>2016</v>
      </c>
      <c r="Q288" s="519">
        <f t="shared" si="197"/>
        <v>2017</v>
      </c>
      <c r="R288" s="519">
        <f t="shared" si="197"/>
        <v>2018</v>
      </c>
      <c r="S288" s="519">
        <f t="shared" si="197"/>
        <v>2019</v>
      </c>
      <c r="T288" s="519">
        <f t="shared" si="197"/>
        <v>2020</v>
      </c>
      <c r="U288" s="519">
        <f t="shared" si="197"/>
        <v>2021</v>
      </c>
      <c r="V288" s="519">
        <f t="shared" si="197"/>
        <v>2022</v>
      </c>
      <c r="W288" s="519">
        <f t="shared" si="197"/>
        <v>2023</v>
      </c>
      <c r="X288" s="519">
        <f t="shared" si="197"/>
        <v>2024</v>
      </c>
      <c r="Y288" s="519">
        <f t="shared" si="197"/>
        <v>2025</v>
      </c>
      <c r="Z288" s="519">
        <f t="shared" si="197"/>
        <v>2026</v>
      </c>
      <c r="AA288" s="519">
        <f t="shared" si="197"/>
        <v>2027</v>
      </c>
      <c r="AB288" s="519">
        <f t="shared" si="197"/>
        <v>2028</v>
      </c>
      <c r="AC288" s="519">
        <f t="shared" si="197"/>
        <v>2029</v>
      </c>
      <c r="AD288" s="519">
        <f t="shared" si="197"/>
        <v>2030</v>
      </c>
      <c r="AE288" s="519">
        <f t="shared" si="197"/>
        <v>2031</v>
      </c>
      <c r="AF288" s="519">
        <f t="shared" si="197"/>
        <v>2032</v>
      </c>
      <c r="AG288" s="519">
        <f t="shared" si="197"/>
        <v>2033</v>
      </c>
      <c r="AH288" s="519">
        <f t="shared" si="197"/>
        <v>2034</v>
      </c>
      <c r="AI288" s="519">
        <f t="shared" si="197"/>
        <v>2035</v>
      </c>
      <c r="AJ288" s="267"/>
      <c r="AK288" s="267"/>
      <c r="AL288" s="267"/>
      <c r="AM288" s="267"/>
      <c r="AN288" s="267"/>
      <c r="AO288" s="267"/>
      <c r="AP288" s="267"/>
      <c r="AQ288" s="267"/>
      <c r="AR288" s="267"/>
    </row>
    <row r="289" spans="1:44" ht="15.75">
      <c r="A289" s="267"/>
      <c r="B289" s="521" t="s">
        <v>279</v>
      </c>
      <c r="C289" s="552"/>
      <c r="D289" s="553"/>
      <c r="E289" s="553"/>
      <c r="F289" s="553"/>
      <c r="G289" s="553"/>
      <c r="H289" s="553"/>
      <c r="I289" s="553"/>
      <c r="J289" s="553"/>
      <c r="K289" s="553"/>
      <c r="L289" s="553">
        <v>3</v>
      </c>
      <c r="M289" s="553">
        <v>15</v>
      </c>
      <c r="N289" s="553">
        <v>3.4</v>
      </c>
      <c r="O289" s="553">
        <v>0</v>
      </c>
      <c r="P289" s="553">
        <v>0</v>
      </c>
      <c r="Q289" s="553">
        <v>0</v>
      </c>
      <c r="R289" s="553">
        <v>0</v>
      </c>
      <c r="S289" s="553">
        <v>0</v>
      </c>
      <c r="T289" s="553">
        <v>0</v>
      </c>
      <c r="U289" s="522">
        <f t="shared" ref="U289:AI289" si="198">T289</f>
        <v>0</v>
      </c>
      <c r="V289" s="522">
        <f t="shared" si="198"/>
        <v>0</v>
      </c>
      <c r="W289" s="522">
        <f t="shared" si="198"/>
        <v>0</v>
      </c>
      <c r="X289" s="522">
        <f t="shared" si="198"/>
        <v>0</v>
      </c>
      <c r="Y289" s="522">
        <f t="shared" si="198"/>
        <v>0</v>
      </c>
      <c r="Z289" s="522">
        <f t="shared" si="198"/>
        <v>0</v>
      </c>
      <c r="AA289" s="522">
        <f t="shared" si="198"/>
        <v>0</v>
      </c>
      <c r="AB289" s="522">
        <f t="shared" si="198"/>
        <v>0</v>
      </c>
      <c r="AC289" s="522">
        <f t="shared" si="198"/>
        <v>0</v>
      </c>
      <c r="AD289" s="522">
        <f t="shared" si="198"/>
        <v>0</v>
      </c>
      <c r="AE289" s="522">
        <f t="shared" si="198"/>
        <v>0</v>
      </c>
      <c r="AF289" s="522">
        <f t="shared" si="198"/>
        <v>0</v>
      </c>
      <c r="AG289" s="522">
        <f t="shared" si="198"/>
        <v>0</v>
      </c>
      <c r="AH289" s="522">
        <f t="shared" si="198"/>
        <v>0</v>
      </c>
      <c r="AI289" s="522">
        <f t="shared" si="198"/>
        <v>0</v>
      </c>
      <c r="AJ289" s="267"/>
      <c r="AK289" s="267"/>
      <c r="AL289" s="267"/>
      <c r="AM289" s="267"/>
      <c r="AN289" s="267"/>
      <c r="AO289" s="267"/>
      <c r="AP289" s="267"/>
      <c r="AQ289" s="267"/>
      <c r="AR289" s="267"/>
    </row>
    <row r="290" spans="1:44" ht="15.75">
      <c r="A290" s="267"/>
      <c r="B290" s="521" t="s">
        <v>259</v>
      </c>
      <c r="C290" s="552"/>
      <c r="D290" s="553"/>
      <c r="E290" s="553"/>
      <c r="F290" s="553"/>
      <c r="G290" s="553"/>
      <c r="H290" s="553"/>
      <c r="I290" s="553"/>
      <c r="J290" s="553"/>
      <c r="K290" s="553"/>
      <c r="L290" s="553"/>
      <c r="M290" s="553"/>
      <c r="N290" s="553"/>
      <c r="O290" s="553"/>
      <c r="P290" s="553"/>
      <c r="Q290" s="553"/>
      <c r="R290" s="553"/>
      <c r="S290" s="553"/>
      <c r="T290" s="553"/>
      <c r="U290" s="553"/>
      <c r="V290" s="553"/>
      <c r="W290" s="553"/>
      <c r="X290" s="553"/>
      <c r="Y290" s="553"/>
      <c r="Z290" s="553"/>
      <c r="AA290" s="553"/>
      <c r="AB290" s="553"/>
      <c r="AC290" s="553"/>
      <c r="AD290" s="553"/>
      <c r="AE290" s="553"/>
      <c r="AF290" s="553"/>
      <c r="AG290" s="553"/>
      <c r="AH290" s="553"/>
      <c r="AI290" s="553"/>
      <c r="AJ290" s="267"/>
      <c r="AK290" s="267"/>
      <c r="AL290" s="267"/>
      <c r="AM290" s="267"/>
      <c r="AN290" s="267"/>
      <c r="AO290" s="267"/>
      <c r="AP290" s="267"/>
      <c r="AQ290" s="267"/>
      <c r="AR290" s="267"/>
    </row>
    <row r="291" spans="1:44" ht="15.75">
      <c r="A291" s="267"/>
      <c r="B291" s="521" t="s">
        <v>280</v>
      </c>
      <c r="C291" s="552"/>
      <c r="D291" s="554">
        <f>D289-D290</f>
        <v>0</v>
      </c>
      <c r="E291" s="537"/>
      <c r="F291" s="537"/>
      <c r="G291" s="537"/>
      <c r="H291" s="537"/>
      <c r="I291" s="537"/>
      <c r="J291" s="537"/>
      <c r="K291" s="537"/>
      <c r="L291" s="522">
        <f t="shared" ref="L291:AI291" si="199">L289-L290</f>
        <v>3</v>
      </c>
      <c r="M291" s="522">
        <f t="shared" si="199"/>
        <v>15</v>
      </c>
      <c r="N291" s="522">
        <f t="shared" si="199"/>
        <v>3.4</v>
      </c>
      <c r="O291" s="522">
        <f t="shared" si="199"/>
        <v>0</v>
      </c>
      <c r="P291" s="522">
        <f t="shared" si="199"/>
        <v>0</v>
      </c>
      <c r="Q291" s="522">
        <f t="shared" si="199"/>
        <v>0</v>
      </c>
      <c r="R291" s="522">
        <f t="shared" si="199"/>
        <v>0</v>
      </c>
      <c r="S291" s="522">
        <f t="shared" si="199"/>
        <v>0</v>
      </c>
      <c r="T291" s="522">
        <f t="shared" si="199"/>
        <v>0</v>
      </c>
      <c r="U291" s="522">
        <f t="shared" si="199"/>
        <v>0</v>
      </c>
      <c r="V291" s="522">
        <f t="shared" si="199"/>
        <v>0</v>
      </c>
      <c r="W291" s="522">
        <f t="shared" si="199"/>
        <v>0</v>
      </c>
      <c r="X291" s="522">
        <f t="shared" si="199"/>
        <v>0</v>
      </c>
      <c r="Y291" s="522">
        <f t="shared" si="199"/>
        <v>0</v>
      </c>
      <c r="Z291" s="522">
        <f t="shared" si="199"/>
        <v>0</v>
      </c>
      <c r="AA291" s="522">
        <f t="shared" si="199"/>
        <v>0</v>
      </c>
      <c r="AB291" s="522">
        <f t="shared" si="199"/>
        <v>0</v>
      </c>
      <c r="AC291" s="522">
        <f t="shared" si="199"/>
        <v>0</v>
      </c>
      <c r="AD291" s="522">
        <f t="shared" si="199"/>
        <v>0</v>
      </c>
      <c r="AE291" s="522">
        <f t="shared" si="199"/>
        <v>0</v>
      </c>
      <c r="AF291" s="522">
        <f t="shared" si="199"/>
        <v>0</v>
      </c>
      <c r="AG291" s="522">
        <f t="shared" si="199"/>
        <v>0</v>
      </c>
      <c r="AH291" s="522">
        <f t="shared" si="199"/>
        <v>0</v>
      </c>
      <c r="AI291" s="522">
        <f t="shared" si="199"/>
        <v>0</v>
      </c>
      <c r="AJ291" s="267"/>
      <c r="AK291" s="267"/>
      <c r="AL291" s="267"/>
      <c r="AM291" s="267"/>
      <c r="AN291" s="267"/>
      <c r="AO291" s="267"/>
      <c r="AP291" s="267"/>
      <c r="AQ291" s="267"/>
      <c r="AR291" s="267"/>
    </row>
    <row r="292" spans="1:44" ht="15.75">
      <c r="A292" s="267"/>
      <c r="B292" s="521"/>
      <c r="C292" s="521"/>
      <c r="D292" s="521"/>
      <c r="E292" s="521"/>
      <c r="F292" s="521"/>
      <c r="G292" s="521"/>
      <c r="H292" s="521"/>
      <c r="I292" s="521"/>
      <c r="J292" s="521"/>
      <c r="K292" s="521"/>
      <c r="L292" s="521"/>
      <c r="M292" s="521"/>
      <c r="N292" s="521"/>
      <c r="O292" s="521"/>
      <c r="P292" s="521"/>
      <c r="Q292" s="521"/>
      <c r="R292" s="521"/>
      <c r="S292" s="521"/>
      <c r="T292" s="521"/>
      <c r="U292" s="521"/>
      <c r="V292" s="521"/>
      <c r="W292" s="521"/>
      <c r="X292" s="521"/>
      <c r="Y292" s="521"/>
      <c r="Z292" s="521"/>
      <c r="AA292" s="521"/>
      <c r="AB292" s="521"/>
      <c r="AC292" s="521"/>
      <c r="AD292" s="521"/>
      <c r="AE292" s="521"/>
      <c r="AF292" s="521"/>
      <c r="AG292" s="521"/>
      <c r="AH292" s="521"/>
      <c r="AI292" s="521"/>
      <c r="AJ292" s="267"/>
      <c r="AK292" s="267"/>
      <c r="AL292" s="267"/>
      <c r="AM292" s="267"/>
      <c r="AN292" s="267"/>
      <c r="AO292" s="267"/>
      <c r="AP292" s="267"/>
      <c r="AQ292" s="267"/>
      <c r="AR292" s="267"/>
    </row>
    <row r="293" spans="1:44" ht="15.75">
      <c r="A293" s="267"/>
      <c r="B293" s="521" t="s">
        <v>281</v>
      </c>
      <c r="C293" s="552"/>
      <c r="D293" s="553">
        <v>0.4</v>
      </c>
      <c r="E293" s="553">
        <v>0.4</v>
      </c>
      <c r="F293" s="553">
        <v>0.4</v>
      </c>
      <c r="G293" s="553">
        <v>0.1</v>
      </c>
      <c r="H293" s="553">
        <v>0.1</v>
      </c>
      <c r="I293" s="553">
        <v>0.1</v>
      </c>
      <c r="J293" s="553">
        <v>0.1</v>
      </c>
      <c r="K293" s="553">
        <v>0.1</v>
      </c>
      <c r="L293" s="553">
        <v>0.1</v>
      </c>
      <c r="M293" s="553">
        <v>0.1</v>
      </c>
      <c r="N293" s="553">
        <v>0.1</v>
      </c>
      <c r="O293" s="553">
        <v>0.1</v>
      </c>
      <c r="P293" s="553">
        <v>0.1</v>
      </c>
      <c r="Q293" s="553">
        <v>0.1</v>
      </c>
      <c r="R293" s="553">
        <v>0.1</v>
      </c>
      <c r="S293" s="553">
        <v>0.1</v>
      </c>
      <c r="T293" s="553">
        <v>0.1</v>
      </c>
      <c r="U293" s="522">
        <f t="shared" ref="U293:AI293" si="200">T293+U289</f>
        <v>0.1</v>
      </c>
      <c r="V293" s="522">
        <f t="shared" si="200"/>
        <v>0.1</v>
      </c>
      <c r="W293" s="522">
        <f t="shared" si="200"/>
        <v>0.1</v>
      </c>
      <c r="X293" s="522">
        <f t="shared" si="200"/>
        <v>0.1</v>
      </c>
      <c r="Y293" s="522">
        <f t="shared" si="200"/>
        <v>0.1</v>
      </c>
      <c r="Z293" s="522">
        <f t="shared" si="200"/>
        <v>0.1</v>
      </c>
      <c r="AA293" s="522">
        <f t="shared" si="200"/>
        <v>0.1</v>
      </c>
      <c r="AB293" s="522">
        <f t="shared" si="200"/>
        <v>0.1</v>
      </c>
      <c r="AC293" s="522">
        <f t="shared" si="200"/>
        <v>0.1</v>
      </c>
      <c r="AD293" s="522">
        <f t="shared" si="200"/>
        <v>0.1</v>
      </c>
      <c r="AE293" s="522">
        <f t="shared" si="200"/>
        <v>0.1</v>
      </c>
      <c r="AF293" s="522">
        <f t="shared" si="200"/>
        <v>0.1</v>
      </c>
      <c r="AG293" s="522">
        <f t="shared" si="200"/>
        <v>0.1</v>
      </c>
      <c r="AH293" s="522">
        <f t="shared" si="200"/>
        <v>0.1</v>
      </c>
      <c r="AI293" s="522">
        <f t="shared" si="200"/>
        <v>0.1</v>
      </c>
      <c r="AJ293" s="267"/>
      <c r="AK293" s="267"/>
      <c r="AL293" s="267"/>
      <c r="AM293" s="267"/>
      <c r="AN293" s="267"/>
      <c r="AO293" s="267"/>
      <c r="AP293" s="267"/>
      <c r="AQ293" s="267"/>
      <c r="AR293" s="267"/>
    </row>
    <row r="294" spans="1:44" ht="15.75">
      <c r="A294" s="267"/>
      <c r="B294" s="521"/>
      <c r="C294" s="521"/>
      <c r="D294" s="521"/>
      <c r="E294" s="521"/>
      <c r="F294" s="521"/>
      <c r="G294" s="521"/>
      <c r="H294" s="521"/>
      <c r="I294" s="521"/>
      <c r="J294" s="521"/>
      <c r="K294" s="521"/>
      <c r="L294" s="521"/>
      <c r="M294" s="521"/>
      <c r="N294" s="521"/>
      <c r="O294" s="521"/>
      <c r="P294" s="521"/>
      <c r="Q294" s="521"/>
      <c r="R294" s="521"/>
      <c r="S294" s="521"/>
      <c r="T294" s="521"/>
      <c r="U294" s="521"/>
      <c r="V294" s="521"/>
      <c r="W294" s="521"/>
      <c r="X294" s="521"/>
      <c r="Y294" s="521"/>
      <c r="Z294" s="521"/>
      <c r="AA294" s="521"/>
      <c r="AB294" s="521"/>
      <c r="AC294" s="521"/>
      <c r="AD294" s="521"/>
      <c r="AE294" s="521"/>
      <c r="AF294" s="521"/>
      <c r="AG294" s="521"/>
      <c r="AH294" s="521"/>
      <c r="AI294" s="521"/>
      <c r="AJ294" s="267"/>
      <c r="AK294" s="267"/>
      <c r="AL294" s="267"/>
      <c r="AM294" s="267"/>
      <c r="AN294" s="267"/>
      <c r="AO294" s="267"/>
      <c r="AP294" s="267"/>
      <c r="AQ294" s="267"/>
      <c r="AR294" s="267"/>
    </row>
    <row r="295" spans="1:44" ht="15.75">
      <c r="A295" s="267"/>
      <c r="B295" s="521"/>
      <c r="C295" s="521"/>
      <c r="D295" s="521"/>
      <c r="E295" s="521"/>
      <c r="F295" s="521"/>
      <c r="G295" s="521"/>
      <c r="H295" s="521"/>
      <c r="I295" s="521"/>
      <c r="J295" s="521"/>
      <c r="K295" s="521"/>
      <c r="L295" s="521"/>
      <c r="M295" s="521"/>
      <c r="N295" s="521"/>
      <c r="O295" s="521"/>
      <c r="P295" s="521"/>
      <c r="Q295" s="521"/>
      <c r="R295" s="521"/>
      <c r="S295" s="521"/>
      <c r="T295" s="521"/>
      <c r="U295" s="521"/>
      <c r="V295" s="521"/>
      <c r="W295" s="521"/>
      <c r="X295" s="521"/>
      <c r="Y295" s="521"/>
      <c r="Z295" s="521"/>
      <c r="AA295" s="521"/>
      <c r="AB295" s="521"/>
      <c r="AC295" s="521"/>
      <c r="AD295" s="521"/>
      <c r="AE295" s="521"/>
      <c r="AF295" s="521"/>
      <c r="AG295" s="521"/>
      <c r="AH295" s="521"/>
      <c r="AI295" s="521"/>
      <c r="AJ295" s="267"/>
      <c r="AK295" s="267"/>
      <c r="AL295" s="267"/>
      <c r="AM295" s="267"/>
      <c r="AN295" s="267"/>
      <c r="AO295" s="267"/>
      <c r="AP295" s="267"/>
      <c r="AQ295" s="267"/>
      <c r="AR295" s="267"/>
    </row>
    <row r="296" spans="1:44" ht="15.75">
      <c r="A296" s="267"/>
      <c r="B296" s="521"/>
      <c r="C296" s="521"/>
      <c r="D296" s="521"/>
      <c r="E296" s="521"/>
      <c r="F296" s="521"/>
      <c r="G296" s="521"/>
      <c r="H296" s="521"/>
      <c r="I296" s="521"/>
      <c r="J296" s="521"/>
      <c r="K296" s="521"/>
      <c r="L296" s="521"/>
      <c r="M296" s="521"/>
      <c r="N296" s="521"/>
      <c r="O296" s="521"/>
      <c r="P296" s="521"/>
      <c r="Q296" s="521"/>
      <c r="R296" s="521"/>
      <c r="S296" s="521"/>
      <c r="T296" s="521"/>
      <c r="U296" s="521"/>
      <c r="V296" s="521"/>
      <c r="W296" s="521"/>
      <c r="X296" s="521"/>
      <c r="Y296" s="521"/>
      <c r="Z296" s="521"/>
      <c r="AA296" s="521"/>
      <c r="AB296" s="521"/>
      <c r="AC296" s="521"/>
      <c r="AD296" s="521"/>
      <c r="AE296" s="521"/>
      <c r="AF296" s="521"/>
      <c r="AG296" s="521"/>
      <c r="AH296" s="521"/>
      <c r="AI296" s="521"/>
      <c r="AJ296" s="267"/>
      <c r="AK296" s="267"/>
      <c r="AL296" s="267"/>
      <c r="AM296" s="267"/>
      <c r="AN296" s="267"/>
      <c r="AO296" s="267"/>
      <c r="AP296" s="267"/>
      <c r="AQ296" s="267"/>
      <c r="AR296" s="267"/>
    </row>
    <row r="297" spans="1:44" ht="15.75">
      <c r="A297" s="267"/>
      <c r="B297" s="519" t="s">
        <v>167</v>
      </c>
      <c r="C297" s="519">
        <f t="shared" ref="C297:AI297" si="201">C288</f>
        <v>2003</v>
      </c>
      <c r="D297" s="519">
        <f t="shared" si="201"/>
        <v>2004</v>
      </c>
      <c r="E297" s="519">
        <f t="shared" si="201"/>
        <v>2005</v>
      </c>
      <c r="F297" s="519">
        <f t="shared" si="201"/>
        <v>2006</v>
      </c>
      <c r="G297" s="519">
        <f t="shared" si="201"/>
        <v>2007</v>
      </c>
      <c r="H297" s="519">
        <f t="shared" si="201"/>
        <v>2008</v>
      </c>
      <c r="I297" s="519">
        <f t="shared" si="201"/>
        <v>2009</v>
      </c>
      <c r="J297" s="519">
        <f t="shared" si="201"/>
        <v>2010</v>
      </c>
      <c r="K297" s="519">
        <f t="shared" si="201"/>
        <v>2011</v>
      </c>
      <c r="L297" s="519">
        <f t="shared" si="201"/>
        <v>2012</v>
      </c>
      <c r="M297" s="519">
        <f t="shared" si="201"/>
        <v>2013</v>
      </c>
      <c r="N297" s="519">
        <f t="shared" si="201"/>
        <v>2014</v>
      </c>
      <c r="O297" s="519">
        <f t="shared" si="201"/>
        <v>2015</v>
      </c>
      <c r="P297" s="519">
        <f t="shared" si="201"/>
        <v>2016</v>
      </c>
      <c r="Q297" s="519">
        <f t="shared" si="201"/>
        <v>2017</v>
      </c>
      <c r="R297" s="519">
        <f t="shared" si="201"/>
        <v>2018</v>
      </c>
      <c r="S297" s="519">
        <f t="shared" si="201"/>
        <v>2019</v>
      </c>
      <c r="T297" s="519">
        <f t="shared" si="201"/>
        <v>2020</v>
      </c>
      <c r="U297" s="519">
        <f t="shared" si="201"/>
        <v>2021</v>
      </c>
      <c r="V297" s="519">
        <f t="shared" si="201"/>
        <v>2022</v>
      </c>
      <c r="W297" s="519">
        <f t="shared" si="201"/>
        <v>2023</v>
      </c>
      <c r="X297" s="519">
        <f t="shared" si="201"/>
        <v>2024</v>
      </c>
      <c r="Y297" s="519">
        <f t="shared" si="201"/>
        <v>2025</v>
      </c>
      <c r="Z297" s="519">
        <f t="shared" si="201"/>
        <v>2026</v>
      </c>
      <c r="AA297" s="519">
        <f t="shared" si="201"/>
        <v>2027</v>
      </c>
      <c r="AB297" s="519">
        <f t="shared" si="201"/>
        <v>2028</v>
      </c>
      <c r="AC297" s="519">
        <f t="shared" si="201"/>
        <v>2029</v>
      </c>
      <c r="AD297" s="519">
        <f t="shared" si="201"/>
        <v>2030</v>
      </c>
      <c r="AE297" s="519">
        <f t="shared" si="201"/>
        <v>2031</v>
      </c>
      <c r="AF297" s="519">
        <f t="shared" si="201"/>
        <v>2032</v>
      </c>
      <c r="AG297" s="519">
        <f t="shared" si="201"/>
        <v>2033</v>
      </c>
      <c r="AH297" s="519">
        <f t="shared" si="201"/>
        <v>2034</v>
      </c>
      <c r="AI297" s="519">
        <f t="shared" si="201"/>
        <v>2035</v>
      </c>
      <c r="AJ297" s="267"/>
      <c r="AK297" s="267"/>
      <c r="AL297" s="267"/>
      <c r="AM297" s="267"/>
      <c r="AN297" s="267"/>
      <c r="AO297" s="267"/>
      <c r="AP297" s="267"/>
      <c r="AQ297" s="267"/>
      <c r="AR297" s="267"/>
    </row>
    <row r="298" spans="1:44" ht="15.75">
      <c r="A298" s="267"/>
      <c r="B298" s="521" t="s">
        <v>167</v>
      </c>
      <c r="C298" s="552"/>
      <c r="D298" s="553">
        <v>0</v>
      </c>
      <c r="E298" s="553">
        <v>0</v>
      </c>
      <c r="F298" s="553">
        <v>0</v>
      </c>
      <c r="G298" s="553">
        <v>0</v>
      </c>
      <c r="H298" s="553">
        <v>0</v>
      </c>
      <c r="I298" s="553">
        <v>0</v>
      </c>
      <c r="J298" s="553">
        <v>0</v>
      </c>
      <c r="K298" s="553">
        <v>0</v>
      </c>
      <c r="L298" s="553">
        <v>95</v>
      </c>
      <c r="M298" s="553">
        <v>131</v>
      </c>
      <c r="N298" s="553">
        <v>64.7</v>
      </c>
      <c r="O298" s="553">
        <v>161</v>
      </c>
      <c r="P298" s="553">
        <v>273</v>
      </c>
      <c r="Q298" s="553">
        <v>173</v>
      </c>
      <c r="R298" s="553">
        <v>174</v>
      </c>
      <c r="S298" s="553">
        <v>156</v>
      </c>
      <c r="T298" s="553">
        <f>S298*1.1</f>
        <v>171.60000000000002</v>
      </c>
      <c r="U298" s="553">
        <v>160.75700000000001</v>
      </c>
      <c r="V298" s="553">
        <v>168.411</v>
      </c>
      <c r="W298" s="553">
        <v>167.255</v>
      </c>
      <c r="X298" s="553">
        <v>181.726</v>
      </c>
      <c r="Y298" s="553">
        <v>192.072</v>
      </c>
      <c r="Z298" s="553">
        <f t="shared" ref="Z298:AI298" si="202">Y298*1.1</f>
        <v>211.27920000000003</v>
      </c>
      <c r="AA298" s="553">
        <f t="shared" si="202"/>
        <v>232.40712000000005</v>
      </c>
      <c r="AB298" s="553">
        <f t="shared" si="202"/>
        <v>255.64783200000008</v>
      </c>
      <c r="AC298" s="553">
        <f t="shared" si="202"/>
        <v>281.21261520000013</v>
      </c>
      <c r="AD298" s="553">
        <f t="shared" si="202"/>
        <v>309.33387672000015</v>
      </c>
      <c r="AE298" s="553">
        <f t="shared" si="202"/>
        <v>340.26726439200019</v>
      </c>
      <c r="AF298" s="553">
        <f t="shared" si="202"/>
        <v>374.29399083120023</v>
      </c>
      <c r="AG298" s="553">
        <f t="shared" si="202"/>
        <v>411.72338991432031</v>
      </c>
      <c r="AH298" s="553">
        <f t="shared" si="202"/>
        <v>452.89572890575238</v>
      </c>
      <c r="AI298" s="553">
        <f t="shared" si="202"/>
        <v>498.18530179632768</v>
      </c>
      <c r="AJ298" s="267"/>
      <c r="AK298" s="267"/>
      <c r="AL298" s="267"/>
      <c r="AM298" s="267"/>
      <c r="AN298" s="267"/>
      <c r="AO298" s="267"/>
      <c r="AP298" s="267"/>
      <c r="AQ298" s="267"/>
      <c r="AR298" s="267"/>
    </row>
    <row r="299" spans="1:44" ht="15.75">
      <c r="A299" s="267"/>
      <c r="B299" s="521" t="s">
        <v>259</v>
      </c>
      <c r="C299" s="552"/>
      <c r="D299" s="553"/>
      <c r="E299" s="553"/>
      <c r="F299" s="553"/>
      <c r="G299" s="553"/>
      <c r="H299" s="553"/>
      <c r="I299" s="553"/>
      <c r="J299" s="553"/>
      <c r="K299" s="553"/>
      <c r="L299" s="553"/>
      <c r="M299" s="553"/>
      <c r="N299" s="553"/>
      <c r="O299" s="553"/>
      <c r="P299" s="553"/>
      <c r="Q299" s="553"/>
      <c r="R299" s="553"/>
      <c r="S299" s="553"/>
      <c r="T299" s="553"/>
      <c r="U299" s="553"/>
      <c r="V299" s="553"/>
      <c r="W299" s="553"/>
      <c r="X299" s="553"/>
      <c r="Y299" s="553"/>
      <c r="Z299" s="553"/>
      <c r="AA299" s="553"/>
      <c r="AB299" s="553"/>
      <c r="AC299" s="553"/>
      <c r="AD299" s="553"/>
      <c r="AE299" s="553"/>
      <c r="AF299" s="553"/>
      <c r="AG299" s="553"/>
      <c r="AH299" s="553"/>
      <c r="AI299" s="553"/>
      <c r="AJ299" s="267"/>
      <c r="AK299" s="267"/>
      <c r="AL299" s="267"/>
      <c r="AM299" s="267"/>
      <c r="AN299" s="267"/>
      <c r="AO299" s="267"/>
      <c r="AP299" s="267"/>
      <c r="AQ299" s="267"/>
      <c r="AR299" s="267"/>
    </row>
    <row r="300" spans="1:44" ht="15.75">
      <c r="A300" s="267"/>
      <c r="B300" s="521" t="s">
        <v>282</v>
      </c>
      <c r="C300" s="522"/>
      <c r="D300" s="522">
        <f t="shared" ref="D300:AI300" si="203">D298-D299</f>
        <v>0</v>
      </c>
      <c r="E300" s="522">
        <f t="shared" si="203"/>
        <v>0</v>
      </c>
      <c r="F300" s="522">
        <f t="shared" si="203"/>
        <v>0</v>
      </c>
      <c r="G300" s="522">
        <f t="shared" si="203"/>
        <v>0</v>
      </c>
      <c r="H300" s="522">
        <f t="shared" si="203"/>
        <v>0</v>
      </c>
      <c r="I300" s="522">
        <f t="shared" si="203"/>
        <v>0</v>
      </c>
      <c r="J300" s="522">
        <f t="shared" si="203"/>
        <v>0</v>
      </c>
      <c r="K300" s="522">
        <f t="shared" si="203"/>
        <v>0</v>
      </c>
      <c r="L300" s="522">
        <f t="shared" si="203"/>
        <v>95</v>
      </c>
      <c r="M300" s="522">
        <f t="shared" si="203"/>
        <v>131</v>
      </c>
      <c r="N300" s="522">
        <f t="shared" si="203"/>
        <v>64.7</v>
      </c>
      <c r="O300" s="522">
        <f t="shared" si="203"/>
        <v>161</v>
      </c>
      <c r="P300" s="522">
        <f t="shared" si="203"/>
        <v>273</v>
      </c>
      <c r="Q300" s="522">
        <f t="shared" si="203"/>
        <v>173</v>
      </c>
      <c r="R300" s="522">
        <f t="shared" si="203"/>
        <v>174</v>
      </c>
      <c r="S300" s="522">
        <f t="shared" si="203"/>
        <v>156</v>
      </c>
      <c r="T300" s="522">
        <f t="shared" si="203"/>
        <v>171.60000000000002</v>
      </c>
      <c r="U300" s="522">
        <f t="shared" si="203"/>
        <v>160.75700000000001</v>
      </c>
      <c r="V300" s="522">
        <f t="shared" si="203"/>
        <v>168.411</v>
      </c>
      <c r="W300" s="522">
        <f t="shared" si="203"/>
        <v>167.255</v>
      </c>
      <c r="X300" s="522">
        <f t="shared" si="203"/>
        <v>181.726</v>
      </c>
      <c r="Y300" s="522">
        <f t="shared" si="203"/>
        <v>192.072</v>
      </c>
      <c r="Z300" s="522">
        <f t="shared" si="203"/>
        <v>211.27920000000003</v>
      </c>
      <c r="AA300" s="522">
        <f t="shared" si="203"/>
        <v>232.40712000000005</v>
      </c>
      <c r="AB300" s="522">
        <f t="shared" si="203"/>
        <v>255.64783200000008</v>
      </c>
      <c r="AC300" s="522">
        <f t="shared" si="203"/>
        <v>281.21261520000013</v>
      </c>
      <c r="AD300" s="522">
        <f t="shared" si="203"/>
        <v>309.33387672000015</v>
      </c>
      <c r="AE300" s="522">
        <f t="shared" si="203"/>
        <v>340.26726439200019</v>
      </c>
      <c r="AF300" s="522">
        <f t="shared" si="203"/>
        <v>374.29399083120023</v>
      </c>
      <c r="AG300" s="522">
        <f t="shared" si="203"/>
        <v>411.72338991432031</v>
      </c>
      <c r="AH300" s="522">
        <f t="shared" si="203"/>
        <v>452.89572890575238</v>
      </c>
      <c r="AI300" s="522">
        <f t="shared" si="203"/>
        <v>498.18530179632768</v>
      </c>
      <c r="AJ300" s="267"/>
      <c r="AK300" s="267"/>
      <c r="AL300" s="267"/>
      <c r="AM300" s="267"/>
      <c r="AN300" s="267"/>
      <c r="AO300" s="267"/>
      <c r="AP300" s="267"/>
      <c r="AQ300" s="267"/>
      <c r="AR300" s="267"/>
    </row>
    <row r="301" spans="1:44" ht="15.75">
      <c r="A301" s="267"/>
      <c r="B301" s="521"/>
      <c r="C301" s="521"/>
      <c r="D301" s="521"/>
      <c r="E301" s="521"/>
      <c r="F301" s="521"/>
      <c r="G301" s="521"/>
      <c r="H301" s="521"/>
      <c r="I301" s="521"/>
      <c r="J301" s="521"/>
      <c r="K301" s="521"/>
      <c r="L301" s="521"/>
      <c r="M301" s="521"/>
      <c r="N301" s="521"/>
      <c r="O301" s="521"/>
      <c r="P301" s="521"/>
      <c r="Q301" s="521"/>
      <c r="R301" s="521"/>
      <c r="S301" s="521"/>
      <c r="T301" s="521"/>
      <c r="U301" s="521"/>
      <c r="V301" s="521"/>
      <c r="W301" s="521"/>
      <c r="X301" s="521"/>
      <c r="Y301" s="521"/>
      <c r="Z301" s="521"/>
      <c r="AA301" s="521"/>
      <c r="AB301" s="521"/>
      <c r="AC301" s="521"/>
      <c r="AD301" s="521"/>
      <c r="AE301" s="521"/>
      <c r="AF301" s="521"/>
      <c r="AG301" s="521"/>
      <c r="AH301" s="521"/>
      <c r="AI301" s="521"/>
      <c r="AJ301" s="267"/>
      <c r="AK301" s="267"/>
      <c r="AL301" s="267"/>
      <c r="AM301" s="267"/>
      <c r="AN301" s="267"/>
      <c r="AO301" s="267"/>
      <c r="AP301" s="267"/>
      <c r="AQ301" s="267"/>
      <c r="AR301" s="267"/>
    </row>
    <row r="302" spans="1:44" ht="15.75">
      <c r="A302" s="267"/>
      <c r="B302" s="521" t="s">
        <v>283</v>
      </c>
      <c r="C302" s="552"/>
      <c r="D302" s="553">
        <v>0</v>
      </c>
      <c r="E302" s="553">
        <v>0</v>
      </c>
      <c r="F302" s="553">
        <v>0</v>
      </c>
      <c r="G302" s="553">
        <v>0</v>
      </c>
      <c r="H302" s="553">
        <v>0</v>
      </c>
      <c r="I302" s="553">
        <v>0</v>
      </c>
      <c r="J302" s="553">
        <v>0</v>
      </c>
      <c r="K302" s="553">
        <v>0</v>
      </c>
      <c r="L302" s="553">
        <v>389</v>
      </c>
      <c r="M302" s="553">
        <v>604</v>
      </c>
      <c r="N302" s="553">
        <v>670</v>
      </c>
      <c r="O302" s="553">
        <v>832</v>
      </c>
      <c r="P302" s="553">
        <v>1102</v>
      </c>
      <c r="Q302" s="553">
        <v>1248</v>
      </c>
      <c r="R302" s="553">
        <v>959</v>
      </c>
      <c r="S302" s="553">
        <v>1331</v>
      </c>
      <c r="T302" s="553">
        <v>1370</v>
      </c>
      <c r="U302" s="553">
        <v>1460.57</v>
      </c>
      <c r="V302" s="553">
        <v>1487.616</v>
      </c>
      <c r="W302" s="553">
        <v>850.94200000000001</v>
      </c>
      <c r="X302" s="553">
        <v>1017.8819999999999</v>
      </c>
      <c r="Y302" s="553">
        <v>1210.308</v>
      </c>
      <c r="Z302" s="522">
        <f t="shared" ref="Z302:AI302" si="204">Y302+Z298-Z324</f>
        <v>1421.5871999999999</v>
      </c>
      <c r="AA302" s="522">
        <f t="shared" si="204"/>
        <v>1653.99432</v>
      </c>
      <c r="AB302" s="522">
        <f t="shared" si="204"/>
        <v>1909.6421520000001</v>
      </c>
      <c r="AC302" s="522">
        <f t="shared" si="204"/>
        <v>2190.8547672000004</v>
      </c>
      <c r="AD302" s="522">
        <f t="shared" si="204"/>
        <v>2500.1886439200007</v>
      </c>
      <c r="AE302" s="522">
        <f t="shared" si="204"/>
        <v>2840.4559083120007</v>
      </c>
      <c r="AF302" s="522">
        <f t="shared" si="204"/>
        <v>3214.7498991432008</v>
      </c>
      <c r="AG302" s="522">
        <f t="shared" si="204"/>
        <v>3626.473289057521</v>
      </c>
      <c r="AH302" s="522">
        <f t="shared" si="204"/>
        <v>4079.3690179632736</v>
      </c>
      <c r="AI302" s="522">
        <f t="shared" si="204"/>
        <v>4577.5543197596016</v>
      </c>
      <c r="AJ302" s="267"/>
      <c r="AK302" s="267"/>
      <c r="AL302" s="267"/>
      <c r="AM302" s="267"/>
      <c r="AN302" s="267"/>
      <c r="AO302" s="267"/>
      <c r="AP302" s="267"/>
      <c r="AQ302" s="267"/>
      <c r="AR302" s="267"/>
    </row>
    <row r="303" spans="1:44" ht="15.75">
      <c r="A303" s="267"/>
      <c r="B303" s="521"/>
      <c r="C303" s="521"/>
      <c r="D303" s="521"/>
      <c r="E303" s="521"/>
      <c r="F303" s="521"/>
      <c r="G303" s="521"/>
      <c r="H303" s="521"/>
      <c r="I303" s="521"/>
      <c r="J303" s="521"/>
      <c r="K303" s="521"/>
      <c r="L303" s="521"/>
      <c r="M303" s="521"/>
      <c r="N303" s="521"/>
      <c r="O303" s="521"/>
      <c r="P303" s="521"/>
      <c r="Q303" s="521"/>
      <c r="R303" s="521"/>
      <c r="S303" s="521"/>
      <c r="T303" s="521"/>
      <c r="U303" s="521"/>
      <c r="V303" s="521"/>
      <c r="W303" s="521"/>
      <c r="X303" s="521"/>
      <c r="Y303" s="521"/>
      <c r="Z303" s="521"/>
      <c r="AA303" s="521"/>
      <c r="AB303" s="521"/>
      <c r="AC303" s="521"/>
      <c r="AD303" s="521"/>
      <c r="AE303" s="521"/>
      <c r="AF303" s="521"/>
      <c r="AG303" s="521"/>
      <c r="AH303" s="521"/>
      <c r="AI303" s="521"/>
      <c r="AJ303" s="267"/>
      <c r="AK303" s="267"/>
      <c r="AL303" s="267"/>
      <c r="AM303" s="267"/>
      <c r="AN303" s="267"/>
      <c r="AO303" s="267"/>
      <c r="AP303" s="267"/>
      <c r="AQ303" s="267"/>
      <c r="AR303" s="267"/>
    </row>
    <row r="304" spans="1:44" ht="15.75">
      <c r="A304" s="267"/>
      <c r="B304" s="521"/>
      <c r="C304" s="521"/>
      <c r="D304" s="521"/>
      <c r="E304" s="521"/>
      <c r="F304" s="521"/>
      <c r="G304" s="521"/>
      <c r="H304" s="521"/>
      <c r="I304" s="521"/>
      <c r="J304" s="521"/>
      <c r="K304" s="521"/>
      <c r="L304" s="521"/>
      <c r="M304" s="521"/>
      <c r="N304" s="521"/>
      <c r="O304" s="521"/>
      <c r="P304" s="521"/>
      <c r="Q304" s="521"/>
      <c r="R304" s="521"/>
      <c r="S304" s="521"/>
      <c r="T304" s="521"/>
      <c r="U304" s="521"/>
      <c r="V304" s="521"/>
      <c r="W304" s="521"/>
      <c r="X304" s="521"/>
      <c r="Y304" s="521"/>
      <c r="Z304" s="521"/>
      <c r="AA304" s="521"/>
      <c r="AB304" s="521"/>
      <c r="AC304" s="521"/>
      <c r="AD304" s="521"/>
      <c r="AE304" s="521"/>
      <c r="AF304" s="521"/>
      <c r="AG304" s="521"/>
      <c r="AH304" s="521"/>
      <c r="AI304" s="521"/>
      <c r="AJ304" s="267"/>
      <c r="AK304" s="267"/>
      <c r="AL304" s="267"/>
      <c r="AM304" s="267"/>
      <c r="AN304" s="267"/>
      <c r="AO304" s="267"/>
      <c r="AP304" s="267"/>
      <c r="AQ304" s="267"/>
      <c r="AR304" s="267"/>
    </row>
    <row r="305" spans="1:44" ht="15.75">
      <c r="A305" s="267"/>
      <c r="B305" s="521"/>
      <c r="C305" s="521"/>
      <c r="D305" s="521"/>
      <c r="E305" s="521"/>
      <c r="F305" s="521"/>
      <c r="G305" s="521"/>
      <c r="H305" s="521"/>
      <c r="I305" s="521"/>
      <c r="J305" s="521"/>
      <c r="K305" s="521"/>
      <c r="L305" s="521"/>
      <c r="M305" s="521"/>
      <c r="N305" s="521"/>
      <c r="O305" s="521"/>
      <c r="P305" s="521"/>
      <c r="Q305" s="521"/>
      <c r="R305" s="521"/>
      <c r="S305" s="521"/>
      <c r="T305" s="521"/>
      <c r="U305" s="521"/>
      <c r="V305" s="521"/>
      <c r="W305" s="521"/>
      <c r="X305" s="521"/>
      <c r="Y305" s="521"/>
      <c r="Z305" s="521"/>
      <c r="AA305" s="521"/>
      <c r="AB305" s="521"/>
      <c r="AC305" s="521"/>
      <c r="AD305" s="521"/>
      <c r="AE305" s="521"/>
      <c r="AF305" s="521"/>
      <c r="AG305" s="521"/>
      <c r="AH305" s="521"/>
      <c r="AI305" s="521"/>
      <c r="AJ305" s="267"/>
      <c r="AK305" s="267"/>
      <c r="AL305" s="267"/>
      <c r="AM305" s="267"/>
      <c r="AN305" s="267"/>
      <c r="AO305" s="267"/>
      <c r="AP305" s="267"/>
      <c r="AQ305" s="267"/>
      <c r="AR305" s="267"/>
    </row>
    <row r="306" spans="1:44" ht="15.75">
      <c r="A306" s="267"/>
      <c r="B306" s="519" t="s">
        <v>168</v>
      </c>
      <c r="C306" s="519">
        <v>2003</v>
      </c>
      <c r="D306" s="519">
        <f t="shared" ref="D306:AI306" si="205">C306+1</f>
        <v>2004</v>
      </c>
      <c r="E306" s="519">
        <f t="shared" si="205"/>
        <v>2005</v>
      </c>
      <c r="F306" s="519">
        <f t="shared" si="205"/>
        <v>2006</v>
      </c>
      <c r="G306" s="519">
        <f t="shared" si="205"/>
        <v>2007</v>
      </c>
      <c r="H306" s="519">
        <f t="shared" si="205"/>
        <v>2008</v>
      </c>
      <c r="I306" s="519">
        <f t="shared" si="205"/>
        <v>2009</v>
      </c>
      <c r="J306" s="519">
        <f t="shared" si="205"/>
        <v>2010</v>
      </c>
      <c r="K306" s="519">
        <f t="shared" si="205"/>
        <v>2011</v>
      </c>
      <c r="L306" s="519">
        <f t="shared" si="205"/>
        <v>2012</v>
      </c>
      <c r="M306" s="519">
        <f t="shared" si="205"/>
        <v>2013</v>
      </c>
      <c r="N306" s="519">
        <f t="shared" si="205"/>
        <v>2014</v>
      </c>
      <c r="O306" s="519">
        <f t="shared" si="205"/>
        <v>2015</v>
      </c>
      <c r="P306" s="519">
        <f t="shared" si="205"/>
        <v>2016</v>
      </c>
      <c r="Q306" s="519">
        <f t="shared" si="205"/>
        <v>2017</v>
      </c>
      <c r="R306" s="519">
        <f t="shared" si="205"/>
        <v>2018</v>
      </c>
      <c r="S306" s="519">
        <f t="shared" si="205"/>
        <v>2019</v>
      </c>
      <c r="T306" s="519">
        <f t="shared" si="205"/>
        <v>2020</v>
      </c>
      <c r="U306" s="519">
        <f t="shared" si="205"/>
        <v>2021</v>
      </c>
      <c r="V306" s="519">
        <f t="shared" si="205"/>
        <v>2022</v>
      </c>
      <c r="W306" s="519">
        <f t="shared" si="205"/>
        <v>2023</v>
      </c>
      <c r="X306" s="519">
        <f t="shared" si="205"/>
        <v>2024</v>
      </c>
      <c r="Y306" s="519">
        <f t="shared" si="205"/>
        <v>2025</v>
      </c>
      <c r="Z306" s="519">
        <f t="shared" si="205"/>
        <v>2026</v>
      </c>
      <c r="AA306" s="519">
        <f t="shared" si="205"/>
        <v>2027</v>
      </c>
      <c r="AB306" s="519">
        <f t="shared" si="205"/>
        <v>2028</v>
      </c>
      <c r="AC306" s="519">
        <f t="shared" si="205"/>
        <v>2029</v>
      </c>
      <c r="AD306" s="519">
        <f t="shared" si="205"/>
        <v>2030</v>
      </c>
      <c r="AE306" s="519">
        <f t="shared" si="205"/>
        <v>2031</v>
      </c>
      <c r="AF306" s="519">
        <f t="shared" si="205"/>
        <v>2032</v>
      </c>
      <c r="AG306" s="519">
        <f t="shared" si="205"/>
        <v>2033</v>
      </c>
      <c r="AH306" s="519">
        <f t="shared" si="205"/>
        <v>2034</v>
      </c>
      <c r="AI306" s="519">
        <f t="shared" si="205"/>
        <v>2035</v>
      </c>
      <c r="AJ306" s="267"/>
      <c r="AK306" s="267"/>
      <c r="AL306" s="267"/>
      <c r="AM306" s="267"/>
      <c r="AN306" s="267"/>
      <c r="AO306" s="267"/>
      <c r="AP306" s="267"/>
      <c r="AQ306" s="267"/>
      <c r="AR306" s="267"/>
    </row>
    <row r="307" spans="1:44" ht="15.75">
      <c r="A307" s="267"/>
      <c r="B307" s="521" t="s">
        <v>168</v>
      </c>
      <c r="C307" s="552"/>
      <c r="D307" s="553"/>
      <c r="E307" s="553"/>
      <c r="F307" s="553"/>
      <c r="G307" s="553"/>
      <c r="H307" s="553"/>
      <c r="I307" s="553"/>
      <c r="J307" s="553"/>
      <c r="K307" s="553"/>
      <c r="L307" s="553">
        <v>14518</v>
      </c>
      <c r="M307" s="553">
        <v>14878</v>
      </c>
      <c r="N307" s="553">
        <f>17845-N302</f>
        <v>17175</v>
      </c>
      <c r="O307" s="553">
        <f>20180-O302</f>
        <v>19348</v>
      </c>
      <c r="P307" s="553">
        <f>22894-P302</f>
        <v>21792</v>
      </c>
      <c r="Q307" s="553">
        <f>26100-Q302</f>
        <v>24852</v>
      </c>
      <c r="R307" s="553">
        <f>28650-R302</f>
        <v>27691</v>
      </c>
      <c r="S307" s="553">
        <f>30974-S302</f>
        <v>29643</v>
      </c>
      <c r="T307" s="553">
        <f>33885-T302</f>
        <v>32515</v>
      </c>
      <c r="U307" s="553">
        <f>35843.6-U302</f>
        <v>34383.03</v>
      </c>
      <c r="V307" s="553">
        <f>36189.314-V302</f>
        <v>34701.697999999997</v>
      </c>
      <c r="W307" s="553">
        <f>35854.933-W302</f>
        <v>35003.990999999995</v>
      </c>
      <c r="X307" s="553">
        <f>35761.306-X302</f>
        <v>34743.423999999999</v>
      </c>
      <c r="Y307" s="553">
        <f>35786.97-Y302</f>
        <v>34576.662000000004</v>
      </c>
      <c r="Z307" s="522">
        <f t="shared" ref="Z307:AI307" si="206">Y307+SUM(Z308:Z311)</f>
        <v>34663.536421259756</v>
      </c>
      <c r="AA307" s="522">
        <f t="shared" si="206"/>
        <v>35004.34052965451</v>
      </c>
      <c r="AB307" s="522">
        <f t="shared" si="206"/>
        <v>35923.612610907148</v>
      </c>
      <c r="AC307" s="522">
        <f t="shared" si="206"/>
        <v>37119.901682310869</v>
      </c>
      <c r="AD307" s="522">
        <f t="shared" si="206"/>
        <v>38516.504337853818</v>
      </c>
      <c r="AE307" s="522">
        <f t="shared" si="206"/>
        <v>39870.223168658144</v>
      </c>
      <c r="AF307" s="522">
        <f t="shared" si="206"/>
        <v>41248.701985789798</v>
      </c>
      <c r="AG307" s="522">
        <f t="shared" si="206"/>
        <v>42646.076145651023</v>
      </c>
      <c r="AH307" s="522">
        <f t="shared" si="206"/>
        <v>44036.707275752146</v>
      </c>
      <c r="AI307" s="522">
        <f t="shared" si="206"/>
        <v>45438.990397800801</v>
      </c>
      <c r="AJ307" s="267"/>
      <c r="AK307" s="267"/>
      <c r="AL307" s="267"/>
      <c r="AM307" s="267"/>
      <c r="AN307" s="267"/>
      <c r="AO307" s="267"/>
      <c r="AP307" s="267"/>
      <c r="AQ307" s="267"/>
      <c r="AR307" s="267"/>
    </row>
    <row r="308" spans="1:44" ht="15.75">
      <c r="A308" s="267"/>
      <c r="B308" s="521" t="s">
        <v>50</v>
      </c>
      <c r="C308" s="522"/>
      <c r="D308" s="522">
        <f t="shared" ref="D308:AI308" si="207">D35</f>
        <v>0</v>
      </c>
      <c r="E308" s="522">
        <f t="shared" si="207"/>
        <v>1554</v>
      </c>
      <c r="F308" s="522">
        <f t="shared" si="207"/>
        <v>1545</v>
      </c>
      <c r="G308" s="522">
        <f t="shared" si="207"/>
        <v>2165</v>
      </c>
      <c r="H308" s="522">
        <f t="shared" si="207"/>
        <v>2890</v>
      </c>
      <c r="I308" s="522">
        <f t="shared" si="207"/>
        <v>2968</v>
      </c>
      <c r="J308" s="522">
        <f t="shared" si="207"/>
        <v>3075</v>
      </c>
      <c r="K308" s="522">
        <f t="shared" si="207"/>
        <v>3561</v>
      </c>
      <c r="L308" s="522">
        <f t="shared" si="207"/>
        <v>1929</v>
      </c>
      <c r="M308" s="522">
        <f t="shared" si="207"/>
        <v>1892</v>
      </c>
      <c r="N308" s="522">
        <f t="shared" si="207"/>
        <v>2353.5</v>
      </c>
      <c r="O308" s="522">
        <f t="shared" si="207"/>
        <v>3162.7330000000002</v>
      </c>
      <c r="P308" s="522">
        <f t="shared" si="207"/>
        <v>3856</v>
      </c>
      <c r="Q308" s="522">
        <f t="shared" si="207"/>
        <v>4136.4999999999991</v>
      </c>
      <c r="R308" s="522">
        <f t="shared" si="207"/>
        <v>4509.3999999999996</v>
      </c>
      <c r="S308" s="522">
        <f t="shared" si="207"/>
        <v>4258</v>
      </c>
      <c r="T308" s="522">
        <f t="shared" si="207"/>
        <v>4182.3999999999996</v>
      </c>
      <c r="U308" s="522">
        <f t="shared" si="207"/>
        <v>4287.9240000000009</v>
      </c>
      <c r="V308" s="522">
        <f t="shared" si="207"/>
        <v>3503.094000000001</v>
      </c>
      <c r="W308" s="522">
        <f t="shared" si="207"/>
        <v>2895.7810000000004</v>
      </c>
      <c r="X308" s="522">
        <f t="shared" si="207"/>
        <v>2445.3959999999997</v>
      </c>
      <c r="Y308" s="522">
        <f t="shared" si="207"/>
        <v>2851.4839999999999</v>
      </c>
      <c r="Z308" s="522">
        <f t="shared" si="207"/>
        <v>3986.9332212597537</v>
      </c>
      <c r="AA308" s="522">
        <f t="shared" si="207"/>
        <v>4744.5734332547527</v>
      </c>
      <c r="AB308" s="522">
        <f t="shared" si="207"/>
        <v>5887.4171437726372</v>
      </c>
      <c r="AC308" s="522">
        <f t="shared" si="207"/>
        <v>6754.4582718960646</v>
      </c>
      <c r="AD308" s="522">
        <f t="shared" si="207"/>
        <v>7508.5841846727635</v>
      </c>
      <c r="AE308" s="522">
        <f t="shared" si="207"/>
        <v>8006.5307840658397</v>
      </c>
      <c r="AF308" s="522">
        <f t="shared" si="207"/>
        <v>8494.8085704459518</v>
      </c>
      <c r="AG308" s="522">
        <f t="shared" si="207"/>
        <v>8999.0977931390098</v>
      </c>
      <c r="AH308" s="522">
        <f t="shared" si="207"/>
        <v>9501.5307974553161</v>
      </c>
      <c r="AI308" s="522">
        <f t="shared" si="207"/>
        <v>10048.09372520238</v>
      </c>
      <c r="AJ308" s="267"/>
      <c r="AK308" s="267"/>
      <c r="AL308" s="267"/>
      <c r="AM308" s="267"/>
      <c r="AN308" s="267"/>
      <c r="AO308" s="267"/>
      <c r="AP308" s="267"/>
      <c r="AQ308" s="267"/>
      <c r="AR308" s="267"/>
    </row>
    <row r="309" spans="1:44" ht="15.75">
      <c r="A309" s="267"/>
      <c r="B309" s="521" t="s">
        <v>284</v>
      </c>
      <c r="C309" s="522"/>
      <c r="D309" s="522">
        <f t="shared" ref="D309:K309" si="208">-C362-D326</f>
        <v>0</v>
      </c>
      <c r="E309" s="522">
        <f t="shared" si="208"/>
        <v>0</v>
      </c>
      <c r="F309" s="522">
        <f t="shared" si="208"/>
        <v>0</v>
      </c>
      <c r="G309" s="522">
        <f t="shared" si="208"/>
        <v>0</v>
      </c>
      <c r="H309" s="522">
        <f t="shared" si="208"/>
        <v>0</v>
      </c>
      <c r="I309" s="522">
        <f t="shared" si="208"/>
        <v>0</v>
      </c>
      <c r="J309" s="522">
        <f t="shared" si="208"/>
        <v>0</v>
      </c>
      <c r="K309" s="522">
        <f t="shared" si="208"/>
        <v>0</v>
      </c>
      <c r="L309" s="522">
        <f>-L362-L326</f>
        <v>-533.11290791850001</v>
      </c>
      <c r="M309" s="522">
        <f>-M362-M326</f>
        <v>-1568.522957337</v>
      </c>
      <c r="N309" s="522">
        <v>0</v>
      </c>
      <c r="O309" s="522">
        <v>0</v>
      </c>
      <c r="P309" s="522">
        <f t="shared" ref="P309:AI309" si="209">-O362-P326</f>
        <v>-1168.58952</v>
      </c>
      <c r="Q309" s="522">
        <f t="shared" si="209"/>
        <v>-1391.9963399999999</v>
      </c>
      <c r="R309" s="522">
        <f t="shared" si="209"/>
        <v>-1529.4774599999998</v>
      </c>
      <c r="S309" s="522">
        <f t="shared" si="209"/>
        <v>-1873.1802600000001</v>
      </c>
      <c r="T309" s="522">
        <f t="shared" si="209"/>
        <v>-1529.4774599999998</v>
      </c>
      <c r="U309" s="522">
        <f t="shared" si="209"/>
        <v>-2201.6972799999999</v>
      </c>
      <c r="V309" s="522">
        <f t="shared" si="209"/>
        <v>-2418.08232</v>
      </c>
      <c r="W309" s="522">
        <f t="shared" si="209"/>
        <v>-2538.5477999999998</v>
      </c>
      <c r="X309" s="522">
        <f t="shared" si="209"/>
        <v>-2644.18154</v>
      </c>
      <c r="Y309" s="522">
        <f t="shared" si="209"/>
        <v>-2867.39167</v>
      </c>
      <c r="Z309" s="522">
        <f t="shared" si="209"/>
        <v>-3175.0588000000002</v>
      </c>
      <c r="AA309" s="522">
        <f t="shared" si="209"/>
        <v>-3636.7693248600012</v>
      </c>
      <c r="AB309" s="522">
        <f t="shared" si="209"/>
        <v>-4156.1450625200014</v>
      </c>
      <c r="AC309" s="522">
        <f t="shared" si="209"/>
        <v>-4699.6692004923425</v>
      </c>
      <c r="AD309" s="522">
        <f t="shared" si="209"/>
        <v>-5203.9815291298173</v>
      </c>
      <c r="AE309" s="522">
        <f t="shared" si="209"/>
        <v>-5692.8119532615146</v>
      </c>
      <c r="AF309" s="522">
        <f t="shared" si="209"/>
        <v>-6101.3297533142959</v>
      </c>
      <c r="AG309" s="522">
        <f t="shared" si="209"/>
        <v>-6529.7236332777857</v>
      </c>
      <c r="AH309" s="522">
        <f t="shared" si="209"/>
        <v>-6978.8996673541951</v>
      </c>
      <c r="AI309" s="522">
        <f t="shared" si="209"/>
        <v>-7449.8106031537218</v>
      </c>
      <c r="AJ309" s="267"/>
      <c r="AK309" s="267"/>
      <c r="AL309" s="267"/>
      <c r="AM309" s="267"/>
      <c r="AN309" s="267"/>
      <c r="AO309" s="267"/>
      <c r="AP309" s="267"/>
      <c r="AQ309" s="267"/>
      <c r="AR309" s="267"/>
    </row>
    <row r="310" spans="1:44" ht="15.75">
      <c r="A310" s="267"/>
      <c r="B310" s="521" t="s">
        <v>285</v>
      </c>
      <c r="C310" s="522"/>
      <c r="D310" s="537"/>
      <c r="E310" s="537"/>
      <c r="F310" s="537"/>
      <c r="G310" s="537"/>
      <c r="H310" s="537"/>
      <c r="I310" s="537"/>
      <c r="J310" s="537"/>
      <c r="K310" s="537"/>
      <c r="L310" s="537"/>
      <c r="M310" s="537"/>
      <c r="N310" s="537"/>
      <c r="O310" s="537"/>
      <c r="P310" s="537"/>
      <c r="Q310" s="537"/>
      <c r="R310" s="537"/>
      <c r="S310" s="537"/>
      <c r="T310" s="537"/>
      <c r="U310" s="537"/>
      <c r="V310" s="537"/>
      <c r="W310" s="537"/>
      <c r="X310" s="537"/>
      <c r="Y310" s="537"/>
      <c r="Z310" s="537"/>
      <c r="AA310" s="537"/>
      <c r="AB310" s="537"/>
      <c r="AC310" s="537"/>
      <c r="AD310" s="537"/>
      <c r="AE310" s="537"/>
      <c r="AF310" s="537"/>
      <c r="AG310" s="537"/>
      <c r="AH310" s="537"/>
      <c r="AI310" s="537"/>
      <c r="AJ310" s="267"/>
      <c r="AK310" s="267"/>
      <c r="AL310" s="267"/>
      <c r="AM310" s="267"/>
      <c r="AN310" s="267"/>
      <c r="AO310" s="267"/>
      <c r="AP310" s="267"/>
      <c r="AQ310" s="267"/>
      <c r="AR310" s="267"/>
    </row>
    <row r="311" spans="1:44" ht="15.75">
      <c r="A311" s="267"/>
      <c r="B311" s="521" t="s">
        <v>209</v>
      </c>
      <c r="C311" s="522"/>
      <c r="D311" s="522"/>
      <c r="E311" s="522"/>
      <c r="F311" s="522"/>
      <c r="G311" s="522"/>
      <c r="H311" s="522"/>
      <c r="I311" s="521"/>
      <c r="J311" s="521"/>
      <c r="K311" s="521"/>
      <c r="L311" s="521"/>
      <c r="M311" s="521"/>
      <c r="N311" s="521"/>
      <c r="O311" s="521"/>
      <c r="P311" s="521"/>
      <c r="Q311" s="521"/>
      <c r="R311" s="521"/>
      <c r="S311" s="521"/>
      <c r="T311" s="521"/>
      <c r="U311" s="521"/>
      <c r="V311" s="521"/>
      <c r="W311" s="521"/>
      <c r="X311" s="521"/>
      <c r="Y311" s="521"/>
      <c r="Z311" s="553">
        <v>-725</v>
      </c>
      <c r="AA311" s="553">
        <v>-767</v>
      </c>
      <c r="AB311" s="553">
        <v>-812</v>
      </c>
      <c r="AC311" s="553">
        <v>-858.5</v>
      </c>
      <c r="AD311" s="553">
        <v>-908</v>
      </c>
      <c r="AE311" s="553">
        <v>-960</v>
      </c>
      <c r="AF311" s="553">
        <v>-1015</v>
      </c>
      <c r="AG311" s="553">
        <v>-1072</v>
      </c>
      <c r="AH311" s="553">
        <v>-1132</v>
      </c>
      <c r="AI311" s="553">
        <v>-1196</v>
      </c>
      <c r="AJ311" s="267"/>
      <c r="AK311" s="267"/>
      <c r="AL311" s="267"/>
      <c r="AM311" s="267"/>
      <c r="AN311" s="267"/>
      <c r="AO311" s="267"/>
      <c r="AP311" s="267"/>
      <c r="AQ311" s="267"/>
      <c r="AR311" s="267"/>
    </row>
    <row r="312" spans="1:44" ht="15.75">
      <c r="A312" s="267"/>
      <c r="B312" s="521"/>
      <c r="C312" s="522"/>
      <c r="D312" s="522"/>
      <c r="E312" s="522"/>
      <c r="F312" s="522"/>
      <c r="G312" s="522"/>
      <c r="H312" s="522"/>
      <c r="I312" s="521"/>
      <c r="J312" s="521"/>
      <c r="K312" s="521"/>
      <c r="L312" s="521"/>
      <c r="M312" s="521"/>
      <c r="N312" s="521"/>
      <c r="O312" s="521"/>
      <c r="P312" s="521"/>
      <c r="Q312" s="521"/>
      <c r="R312" s="521"/>
      <c r="S312" s="521"/>
      <c r="T312" s="521"/>
      <c r="U312" s="521"/>
      <c r="V312" s="521"/>
      <c r="W312" s="521"/>
      <c r="X312" s="521"/>
      <c r="Y312" s="521"/>
      <c r="Z312" s="521"/>
      <c r="AA312" s="521"/>
      <c r="AB312" s="521"/>
      <c r="AC312" s="521"/>
      <c r="AD312" s="521"/>
      <c r="AE312" s="521"/>
      <c r="AF312" s="521"/>
      <c r="AG312" s="521"/>
      <c r="AH312" s="521"/>
      <c r="AI312" s="521"/>
      <c r="AJ312" s="267"/>
      <c r="AK312" s="267"/>
      <c r="AL312" s="267"/>
      <c r="AM312" s="267"/>
      <c r="AN312" s="267"/>
      <c r="AO312" s="267"/>
      <c r="AP312" s="267"/>
      <c r="AQ312" s="267"/>
      <c r="AR312" s="267"/>
    </row>
    <row r="313" spans="1:44" ht="15.75">
      <c r="A313" s="267"/>
      <c r="B313" s="521"/>
      <c r="C313" s="522"/>
      <c r="D313" s="522"/>
      <c r="E313" s="522"/>
      <c r="F313" s="522"/>
      <c r="G313" s="522"/>
      <c r="H313" s="522"/>
      <c r="I313" s="521"/>
      <c r="J313" s="521"/>
      <c r="K313" s="521"/>
      <c r="L313" s="521"/>
      <c r="M313" s="521"/>
      <c r="N313" s="521"/>
      <c r="O313" s="521"/>
      <c r="P313" s="521"/>
      <c r="Q313" s="521"/>
      <c r="R313" s="521"/>
      <c r="S313" s="521"/>
      <c r="T313" s="521"/>
      <c r="U313" s="521"/>
      <c r="V313" s="521"/>
      <c r="W313" s="521"/>
      <c r="X313" s="521"/>
      <c r="Y313" s="521"/>
      <c r="Z313" s="521"/>
      <c r="AA313" s="521"/>
      <c r="AB313" s="521"/>
      <c r="AC313" s="521"/>
      <c r="AD313" s="521"/>
      <c r="AE313" s="521"/>
      <c r="AF313" s="521"/>
      <c r="AG313" s="521"/>
      <c r="AH313" s="521"/>
      <c r="AI313" s="521"/>
      <c r="AJ313" s="267"/>
      <c r="AK313" s="267"/>
      <c r="AL313" s="267"/>
      <c r="AM313" s="267"/>
      <c r="AN313" s="267"/>
      <c r="AO313" s="267"/>
      <c r="AP313" s="267"/>
      <c r="AQ313" s="267"/>
      <c r="AR313" s="267"/>
    </row>
    <row r="314" spans="1:44" ht="15.75">
      <c r="A314" s="267"/>
      <c r="B314" s="521"/>
      <c r="C314" s="522"/>
      <c r="D314" s="522"/>
      <c r="E314" s="522"/>
      <c r="F314" s="522"/>
      <c r="G314" s="522"/>
      <c r="H314" s="522"/>
      <c r="I314" s="521"/>
      <c r="J314" s="521"/>
      <c r="K314" s="521"/>
      <c r="L314" s="521"/>
      <c r="M314" s="521"/>
      <c r="N314" s="521"/>
      <c r="O314" s="521"/>
      <c r="P314" s="521"/>
      <c r="Q314" s="521"/>
      <c r="R314" s="521"/>
      <c r="S314" s="521"/>
      <c r="T314" s="521"/>
      <c r="U314" s="521"/>
      <c r="V314" s="521"/>
      <c r="W314" s="521"/>
      <c r="X314" s="521"/>
      <c r="Y314" s="521"/>
      <c r="Z314" s="521"/>
      <c r="AA314" s="521"/>
      <c r="AB314" s="521"/>
      <c r="AC314" s="521"/>
      <c r="AD314" s="521"/>
      <c r="AE314" s="521"/>
      <c r="AF314" s="521"/>
      <c r="AG314" s="521"/>
      <c r="AH314" s="521"/>
      <c r="AI314" s="521"/>
      <c r="AJ314" s="267"/>
      <c r="AK314" s="267"/>
      <c r="AL314" s="267"/>
      <c r="AM314" s="267"/>
      <c r="AN314" s="267"/>
      <c r="AO314" s="267"/>
      <c r="AP314" s="267"/>
      <c r="AQ314" s="267"/>
      <c r="AR314" s="267"/>
    </row>
    <row r="315" spans="1:44" ht="15.75">
      <c r="A315" s="267"/>
      <c r="B315" s="519" t="s">
        <v>147</v>
      </c>
      <c r="C315" s="519">
        <v>2003</v>
      </c>
      <c r="D315" s="519">
        <f t="shared" ref="D315:AI315" si="210">C315+1</f>
        <v>2004</v>
      </c>
      <c r="E315" s="519">
        <f t="shared" si="210"/>
        <v>2005</v>
      </c>
      <c r="F315" s="519">
        <f t="shared" si="210"/>
        <v>2006</v>
      </c>
      <c r="G315" s="519">
        <f t="shared" si="210"/>
        <v>2007</v>
      </c>
      <c r="H315" s="519">
        <f t="shared" si="210"/>
        <v>2008</v>
      </c>
      <c r="I315" s="519">
        <f t="shared" si="210"/>
        <v>2009</v>
      </c>
      <c r="J315" s="519">
        <f t="shared" si="210"/>
        <v>2010</v>
      </c>
      <c r="K315" s="519">
        <f t="shared" si="210"/>
        <v>2011</v>
      </c>
      <c r="L315" s="519">
        <f t="shared" si="210"/>
        <v>2012</v>
      </c>
      <c r="M315" s="519">
        <f t="shared" si="210"/>
        <v>2013</v>
      </c>
      <c r="N315" s="519">
        <f t="shared" si="210"/>
        <v>2014</v>
      </c>
      <c r="O315" s="519">
        <f t="shared" si="210"/>
        <v>2015</v>
      </c>
      <c r="P315" s="519">
        <f t="shared" si="210"/>
        <v>2016</v>
      </c>
      <c r="Q315" s="519">
        <f t="shared" si="210"/>
        <v>2017</v>
      </c>
      <c r="R315" s="519">
        <f t="shared" si="210"/>
        <v>2018</v>
      </c>
      <c r="S315" s="519">
        <f t="shared" si="210"/>
        <v>2019</v>
      </c>
      <c r="T315" s="519">
        <f t="shared" si="210"/>
        <v>2020</v>
      </c>
      <c r="U315" s="519">
        <f t="shared" si="210"/>
        <v>2021</v>
      </c>
      <c r="V315" s="519">
        <f t="shared" si="210"/>
        <v>2022</v>
      </c>
      <c r="W315" s="519">
        <f t="shared" si="210"/>
        <v>2023</v>
      </c>
      <c r="X315" s="519">
        <f t="shared" si="210"/>
        <v>2024</v>
      </c>
      <c r="Y315" s="519">
        <f t="shared" si="210"/>
        <v>2025</v>
      </c>
      <c r="Z315" s="519">
        <f t="shared" si="210"/>
        <v>2026</v>
      </c>
      <c r="AA315" s="519">
        <f t="shared" si="210"/>
        <v>2027</v>
      </c>
      <c r="AB315" s="519">
        <f t="shared" si="210"/>
        <v>2028</v>
      </c>
      <c r="AC315" s="519">
        <f t="shared" si="210"/>
        <v>2029</v>
      </c>
      <c r="AD315" s="519">
        <f t="shared" si="210"/>
        <v>2030</v>
      </c>
      <c r="AE315" s="519">
        <f t="shared" si="210"/>
        <v>2031</v>
      </c>
      <c r="AF315" s="519">
        <f t="shared" si="210"/>
        <v>2032</v>
      </c>
      <c r="AG315" s="519">
        <f t="shared" si="210"/>
        <v>2033</v>
      </c>
      <c r="AH315" s="519">
        <f t="shared" si="210"/>
        <v>2034</v>
      </c>
      <c r="AI315" s="519">
        <f t="shared" si="210"/>
        <v>2035</v>
      </c>
      <c r="AJ315" s="267"/>
      <c r="AK315" s="267"/>
      <c r="AL315" s="267"/>
      <c r="AM315" s="267"/>
      <c r="AN315" s="267"/>
      <c r="AO315" s="267"/>
      <c r="AP315" s="267"/>
      <c r="AQ315" s="267"/>
      <c r="AR315" s="267"/>
    </row>
    <row r="316" spans="1:44" ht="15.75">
      <c r="A316" s="267"/>
      <c r="B316" s="521" t="s">
        <v>147</v>
      </c>
      <c r="C316" s="522"/>
      <c r="D316" s="523"/>
      <c r="E316" s="523"/>
      <c r="F316" s="523"/>
      <c r="G316" s="523"/>
      <c r="H316" s="523"/>
      <c r="I316" s="522">
        <f t="shared" ref="I316:AI316" si="211">I45</f>
        <v>1516</v>
      </c>
      <c r="J316" s="522">
        <f t="shared" si="211"/>
        <v>1510</v>
      </c>
      <c r="K316" s="522">
        <f t="shared" si="211"/>
        <v>1974</v>
      </c>
      <c r="L316" s="522">
        <f t="shared" si="211"/>
        <v>1985</v>
      </c>
      <c r="M316" s="522">
        <f t="shared" si="211"/>
        <v>2000</v>
      </c>
      <c r="N316" s="522">
        <f t="shared" si="211"/>
        <v>2336</v>
      </c>
      <c r="O316" s="522">
        <f t="shared" si="211"/>
        <v>3765</v>
      </c>
      <c r="P316" s="522">
        <f t="shared" si="211"/>
        <v>4874</v>
      </c>
      <c r="Q316" s="522">
        <f t="shared" si="211"/>
        <v>4692</v>
      </c>
      <c r="R316" s="522">
        <f t="shared" si="211"/>
        <v>5753.1229999999996</v>
      </c>
      <c r="S316" s="522">
        <f t="shared" si="211"/>
        <v>6535</v>
      </c>
      <c r="T316" s="522">
        <f t="shared" si="211"/>
        <v>8081</v>
      </c>
      <c r="U316" s="522">
        <f t="shared" si="211"/>
        <v>9466.5730000000003</v>
      </c>
      <c r="V316" s="522">
        <f t="shared" si="211"/>
        <v>11836</v>
      </c>
      <c r="W316" s="522">
        <f t="shared" si="211"/>
        <v>12949</v>
      </c>
      <c r="X316" s="522">
        <f t="shared" si="211"/>
        <v>10340</v>
      </c>
      <c r="Y316" s="522">
        <f t="shared" si="211"/>
        <v>9187.3919999999998</v>
      </c>
      <c r="Z316" s="522">
        <f t="shared" si="211"/>
        <v>9717.293698700003</v>
      </c>
      <c r="AA316" s="522">
        <f t="shared" si="211"/>
        <v>9856.4705040000026</v>
      </c>
      <c r="AB316" s="522">
        <f t="shared" si="211"/>
        <v>9999.2961712603028</v>
      </c>
      <c r="AC316" s="522">
        <f t="shared" si="211"/>
        <v>10042.771372004911</v>
      </c>
      <c r="AD316" s="522">
        <f t="shared" si="211"/>
        <v>9962.4209182076502</v>
      </c>
      <c r="AE316" s="522">
        <f t="shared" si="211"/>
        <v>9918.8945236275231</v>
      </c>
      <c r="AF316" s="522">
        <f t="shared" si="211"/>
        <v>9871.0863692785861</v>
      </c>
      <c r="AG316" s="522">
        <f t="shared" si="211"/>
        <v>9944.6802619224636</v>
      </c>
      <c r="AH316" s="522">
        <f t="shared" si="211"/>
        <v>10018.710811137766</v>
      </c>
      <c r="AI316" s="522">
        <f t="shared" si="211"/>
        <v>9962.0932589503536</v>
      </c>
      <c r="AJ316" s="267"/>
      <c r="AK316" s="267"/>
      <c r="AL316" s="267"/>
      <c r="AM316" s="267"/>
      <c r="AN316" s="267"/>
      <c r="AO316" s="267"/>
      <c r="AP316" s="267"/>
      <c r="AQ316" s="267"/>
      <c r="AR316" s="267"/>
    </row>
    <row r="317" spans="1:44" ht="15.75">
      <c r="A317" s="267"/>
      <c r="B317" s="521" t="s">
        <v>286</v>
      </c>
      <c r="C317" s="522"/>
      <c r="D317" s="522"/>
      <c r="E317" s="522"/>
      <c r="F317" s="522"/>
      <c r="G317" s="522"/>
      <c r="H317" s="522"/>
      <c r="I317" s="522"/>
      <c r="J317" s="522"/>
      <c r="K317" s="522"/>
      <c r="L317" s="522"/>
      <c r="M317" s="522"/>
      <c r="N317" s="522"/>
      <c r="O317" s="522"/>
      <c r="P317" s="522"/>
      <c r="Q317" s="522"/>
      <c r="R317" s="522"/>
      <c r="S317" s="522"/>
      <c r="T317" s="522"/>
      <c r="U317" s="522"/>
      <c r="V317" s="522"/>
      <c r="W317" s="522"/>
      <c r="X317" s="522"/>
      <c r="Y317" s="522"/>
      <c r="Z317" s="522"/>
      <c r="AA317" s="522"/>
      <c r="AB317" s="522"/>
      <c r="AC317" s="522"/>
      <c r="AD317" s="522"/>
      <c r="AE317" s="522"/>
      <c r="AF317" s="522"/>
      <c r="AG317" s="522"/>
      <c r="AH317" s="522"/>
      <c r="AI317" s="522"/>
      <c r="AJ317" s="267"/>
      <c r="AK317" s="267"/>
      <c r="AL317" s="267"/>
      <c r="AM317" s="267"/>
      <c r="AN317" s="267"/>
      <c r="AO317" s="267"/>
      <c r="AP317" s="267"/>
      <c r="AQ317" s="267"/>
      <c r="AR317" s="267"/>
    </row>
    <row r="318" spans="1:44" ht="15.75">
      <c r="A318" s="267"/>
      <c r="B318" s="521" t="s">
        <v>148</v>
      </c>
      <c r="C318" s="522"/>
      <c r="D318" s="534" t="e">
        <f t="shared" ref="D318:AI318" si="212">D316/D8</f>
        <v>#DIV/0!</v>
      </c>
      <c r="E318" s="534">
        <f t="shared" si="212"/>
        <v>0</v>
      </c>
      <c r="F318" s="534">
        <f t="shared" si="212"/>
        <v>0</v>
      </c>
      <c r="G318" s="534">
        <f t="shared" si="212"/>
        <v>0</v>
      </c>
      <c r="H318" s="534">
        <f t="shared" si="212"/>
        <v>0</v>
      </c>
      <c r="I318" s="534">
        <f t="shared" si="212"/>
        <v>0.21986947063089196</v>
      </c>
      <c r="J318" s="534">
        <f t="shared" si="212"/>
        <v>0.20109202290584632</v>
      </c>
      <c r="K318" s="534">
        <f t="shared" si="212"/>
        <v>0.23930173354345982</v>
      </c>
      <c r="L318" s="534">
        <f t="shared" si="212"/>
        <v>0.22112064163974601</v>
      </c>
      <c r="M318" s="534">
        <f t="shared" si="212"/>
        <v>0.1986491855383393</v>
      </c>
      <c r="N318" s="534">
        <f t="shared" si="212"/>
        <v>0.20357298474945534</v>
      </c>
      <c r="O318" s="534">
        <f t="shared" si="212"/>
        <v>0.25863845572576766</v>
      </c>
      <c r="P318" s="534">
        <f t="shared" si="212"/>
        <v>0.28743291855870734</v>
      </c>
      <c r="Q318" s="534">
        <f t="shared" si="212"/>
        <v>0.27141782842598483</v>
      </c>
      <c r="R318" s="534">
        <f t="shared" si="212"/>
        <v>0.29600344721136035</v>
      </c>
      <c r="S318" s="534">
        <f t="shared" si="212"/>
        <v>0.30249027957785596</v>
      </c>
      <c r="T318" s="534">
        <f t="shared" si="212"/>
        <v>0.36103292677478444</v>
      </c>
      <c r="U318" s="534">
        <f t="shared" si="212"/>
        <v>0.38428890963708695</v>
      </c>
      <c r="V318" s="534">
        <f t="shared" si="212"/>
        <v>0.4358592560527671</v>
      </c>
      <c r="W318" s="534">
        <f t="shared" si="212"/>
        <v>0.43350404780094365</v>
      </c>
      <c r="X318" s="534">
        <f t="shared" si="212"/>
        <v>0.31485179676237351</v>
      </c>
      <c r="Y318" s="534">
        <f t="shared" si="212"/>
        <v>0.25931321481321751</v>
      </c>
      <c r="Z318" s="534">
        <f t="shared" si="212"/>
        <v>0.2525</v>
      </c>
      <c r="AA318" s="534">
        <f t="shared" si="212"/>
        <v>0.24</v>
      </c>
      <c r="AB318" s="534">
        <f t="shared" si="212"/>
        <v>0.23</v>
      </c>
      <c r="AC318" s="534">
        <f t="shared" si="212"/>
        <v>0.21999999999999997</v>
      </c>
      <c r="AD318" s="534">
        <f t="shared" si="212"/>
        <v>0.20999999999999996</v>
      </c>
      <c r="AE318" s="534">
        <f t="shared" si="212"/>
        <v>0.20499999999999999</v>
      </c>
      <c r="AF318" s="534">
        <f t="shared" si="212"/>
        <v>0.2</v>
      </c>
      <c r="AG318" s="534">
        <f t="shared" si="212"/>
        <v>0.19750000000000001</v>
      </c>
      <c r="AH318" s="534">
        <f t="shared" si="212"/>
        <v>0.19500000000000001</v>
      </c>
      <c r="AI318" s="534">
        <f t="shared" si="212"/>
        <v>0.19</v>
      </c>
      <c r="AJ318" s="267"/>
      <c r="AK318" s="267"/>
      <c r="AL318" s="267"/>
      <c r="AM318" s="267"/>
      <c r="AN318" s="267"/>
      <c r="AO318" s="267"/>
      <c r="AP318" s="267"/>
      <c r="AQ318" s="267"/>
      <c r="AR318" s="267"/>
    </row>
    <row r="319" spans="1:44" ht="15.75">
      <c r="A319" s="267"/>
      <c r="B319" s="521"/>
      <c r="C319" s="521"/>
      <c r="D319" s="521"/>
      <c r="E319" s="521"/>
      <c r="F319" s="521"/>
      <c r="G319" s="521"/>
      <c r="H319" s="521"/>
      <c r="I319" s="521"/>
      <c r="J319" s="521"/>
      <c r="K319" s="521"/>
      <c r="L319" s="521"/>
      <c r="M319" s="521"/>
      <c r="N319" s="521"/>
      <c r="O319" s="521"/>
      <c r="P319" s="521"/>
      <c r="Q319" s="521"/>
      <c r="R319" s="521"/>
      <c r="S319" s="521"/>
      <c r="T319" s="521"/>
      <c r="U319" s="521"/>
      <c r="V319" s="521"/>
      <c r="W319" s="521"/>
      <c r="X319" s="521"/>
      <c r="Y319" s="521"/>
      <c r="Z319" s="521"/>
      <c r="AA319" s="521"/>
      <c r="AB319" s="521"/>
      <c r="AC319" s="521"/>
      <c r="AD319" s="521"/>
      <c r="AE319" s="521"/>
      <c r="AF319" s="521"/>
      <c r="AG319" s="521"/>
      <c r="AH319" s="521"/>
      <c r="AI319" s="521"/>
      <c r="AJ319" s="267"/>
      <c r="AK319" s="267"/>
      <c r="AL319" s="267"/>
      <c r="AM319" s="267"/>
      <c r="AN319" s="267"/>
      <c r="AO319" s="267"/>
      <c r="AP319" s="267"/>
      <c r="AQ319" s="267"/>
      <c r="AR319" s="267"/>
    </row>
    <row r="320" spans="1:44" ht="15.75">
      <c r="A320" s="267"/>
      <c r="B320" s="521"/>
      <c r="C320" s="521"/>
      <c r="D320" s="521"/>
      <c r="E320" s="521"/>
      <c r="F320" s="521"/>
      <c r="G320" s="521"/>
      <c r="H320" s="521"/>
      <c r="I320" s="521"/>
      <c r="J320" s="521"/>
      <c r="K320" s="521"/>
      <c r="L320" s="521"/>
      <c r="M320" s="521"/>
      <c r="N320" s="521"/>
      <c r="O320" s="521"/>
      <c r="P320" s="521"/>
      <c r="Q320" s="521"/>
      <c r="R320" s="521"/>
      <c r="S320" s="521"/>
      <c r="T320" s="521"/>
      <c r="U320" s="521"/>
      <c r="V320" s="521"/>
      <c r="W320" s="521"/>
      <c r="X320" s="521"/>
      <c r="Y320" s="521"/>
      <c r="Z320" s="521"/>
      <c r="AA320" s="521"/>
      <c r="AB320" s="521"/>
      <c r="AC320" s="521"/>
      <c r="AD320" s="521"/>
      <c r="AE320" s="521"/>
      <c r="AF320" s="521"/>
      <c r="AG320" s="521"/>
      <c r="AH320" s="521"/>
      <c r="AI320" s="521"/>
      <c r="AJ320" s="267"/>
      <c r="AK320" s="267"/>
      <c r="AL320" s="267"/>
      <c r="AM320" s="267"/>
      <c r="AN320" s="267"/>
      <c r="AO320" s="267"/>
      <c r="AP320" s="267"/>
      <c r="AQ320" s="267"/>
      <c r="AR320" s="267"/>
    </row>
    <row r="321" spans="1:44" ht="15.75">
      <c r="A321" s="267"/>
      <c r="B321" s="521"/>
      <c r="C321" s="521"/>
      <c r="D321" s="521"/>
      <c r="E321" s="521"/>
      <c r="F321" s="521"/>
      <c r="G321" s="521"/>
      <c r="H321" s="521"/>
      <c r="I321" s="521"/>
      <c r="J321" s="521"/>
      <c r="K321" s="521"/>
      <c r="L321" s="521"/>
      <c r="M321" s="521"/>
      <c r="N321" s="521"/>
      <c r="O321" s="521"/>
      <c r="P321" s="521"/>
      <c r="Q321" s="521"/>
      <c r="R321" s="521"/>
      <c r="S321" s="521"/>
      <c r="T321" s="521"/>
      <c r="U321" s="521"/>
      <c r="V321" s="521"/>
      <c r="W321" s="521"/>
      <c r="X321" s="521"/>
      <c r="Y321" s="521"/>
      <c r="Z321" s="521"/>
      <c r="AA321" s="521"/>
      <c r="AB321" s="521"/>
      <c r="AC321" s="521"/>
      <c r="AD321" s="521"/>
      <c r="AE321" s="521"/>
      <c r="AF321" s="521"/>
      <c r="AG321" s="521"/>
      <c r="AH321" s="521"/>
      <c r="AI321" s="521"/>
      <c r="AJ321" s="267"/>
      <c r="AK321" s="267"/>
      <c r="AL321" s="267"/>
      <c r="AM321" s="267"/>
      <c r="AN321" s="267"/>
      <c r="AO321" s="267"/>
      <c r="AP321" s="267"/>
      <c r="AQ321" s="267"/>
      <c r="AR321" s="267"/>
    </row>
    <row r="322" spans="1:44" ht="15.75">
      <c r="A322" s="267"/>
      <c r="B322" s="519" t="s">
        <v>287</v>
      </c>
      <c r="C322" s="519">
        <v>2003</v>
      </c>
      <c r="D322" s="519">
        <f t="shared" ref="D322:AI322" si="213">C322+1</f>
        <v>2004</v>
      </c>
      <c r="E322" s="519">
        <f t="shared" si="213"/>
        <v>2005</v>
      </c>
      <c r="F322" s="519">
        <f t="shared" si="213"/>
        <v>2006</v>
      </c>
      <c r="G322" s="519">
        <f t="shared" si="213"/>
        <v>2007</v>
      </c>
      <c r="H322" s="519">
        <f t="shared" si="213"/>
        <v>2008</v>
      </c>
      <c r="I322" s="519">
        <f t="shared" si="213"/>
        <v>2009</v>
      </c>
      <c r="J322" s="519">
        <f t="shared" si="213"/>
        <v>2010</v>
      </c>
      <c r="K322" s="519">
        <f t="shared" si="213"/>
        <v>2011</v>
      </c>
      <c r="L322" s="519">
        <f t="shared" si="213"/>
        <v>2012</v>
      </c>
      <c r="M322" s="519">
        <f t="shared" si="213"/>
        <v>2013</v>
      </c>
      <c r="N322" s="519">
        <f t="shared" si="213"/>
        <v>2014</v>
      </c>
      <c r="O322" s="519">
        <f t="shared" si="213"/>
        <v>2015</v>
      </c>
      <c r="P322" s="519">
        <f t="shared" si="213"/>
        <v>2016</v>
      </c>
      <c r="Q322" s="519">
        <f t="shared" si="213"/>
        <v>2017</v>
      </c>
      <c r="R322" s="519">
        <f t="shared" si="213"/>
        <v>2018</v>
      </c>
      <c r="S322" s="519">
        <f t="shared" si="213"/>
        <v>2019</v>
      </c>
      <c r="T322" s="519">
        <f t="shared" si="213"/>
        <v>2020</v>
      </c>
      <c r="U322" s="519">
        <f t="shared" si="213"/>
        <v>2021</v>
      </c>
      <c r="V322" s="519">
        <f t="shared" si="213"/>
        <v>2022</v>
      </c>
      <c r="W322" s="519">
        <f t="shared" si="213"/>
        <v>2023</v>
      </c>
      <c r="X322" s="519">
        <f t="shared" si="213"/>
        <v>2024</v>
      </c>
      <c r="Y322" s="519">
        <f t="shared" si="213"/>
        <v>2025</v>
      </c>
      <c r="Z322" s="519">
        <f t="shared" si="213"/>
        <v>2026</v>
      </c>
      <c r="AA322" s="519">
        <f t="shared" si="213"/>
        <v>2027</v>
      </c>
      <c r="AB322" s="519">
        <f t="shared" si="213"/>
        <v>2028</v>
      </c>
      <c r="AC322" s="519">
        <f t="shared" si="213"/>
        <v>2029</v>
      </c>
      <c r="AD322" s="519">
        <f t="shared" si="213"/>
        <v>2030</v>
      </c>
      <c r="AE322" s="519">
        <f t="shared" si="213"/>
        <v>2031</v>
      </c>
      <c r="AF322" s="519">
        <f t="shared" si="213"/>
        <v>2032</v>
      </c>
      <c r="AG322" s="519">
        <f t="shared" si="213"/>
        <v>2033</v>
      </c>
      <c r="AH322" s="519">
        <f t="shared" si="213"/>
        <v>2034</v>
      </c>
      <c r="AI322" s="519">
        <f t="shared" si="213"/>
        <v>2035</v>
      </c>
      <c r="AJ322" s="267"/>
      <c r="AK322" s="267"/>
      <c r="AL322" s="267"/>
      <c r="AM322" s="267"/>
      <c r="AN322" s="267"/>
      <c r="AO322" s="267"/>
      <c r="AP322" s="267"/>
      <c r="AQ322" s="267"/>
      <c r="AR322" s="267"/>
    </row>
    <row r="323" spans="1:44" ht="15.75">
      <c r="A323" s="267"/>
      <c r="B323" s="520"/>
      <c r="C323" s="520"/>
      <c r="D323" s="520"/>
      <c r="E323" s="520"/>
      <c r="F323" s="520"/>
      <c r="G323" s="520"/>
      <c r="H323" s="520"/>
      <c r="I323" s="520"/>
      <c r="J323" s="520"/>
      <c r="K323" s="520"/>
      <c r="L323" s="520"/>
      <c r="M323" s="520"/>
      <c r="N323" s="520"/>
      <c r="O323" s="520"/>
      <c r="P323" s="520"/>
      <c r="Q323" s="520"/>
      <c r="R323" s="520"/>
      <c r="S323" s="520"/>
      <c r="T323" s="520"/>
      <c r="U323" s="520"/>
      <c r="V323" s="520"/>
      <c r="W323" s="520"/>
      <c r="X323" s="520"/>
      <c r="Y323" s="520"/>
      <c r="Z323" s="520"/>
      <c r="AA323" s="520"/>
      <c r="AB323" s="520"/>
      <c r="AC323" s="520"/>
      <c r="AD323" s="520"/>
      <c r="AE323" s="520"/>
      <c r="AF323" s="520"/>
      <c r="AG323" s="520"/>
      <c r="AH323" s="520"/>
      <c r="AI323" s="520"/>
      <c r="AJ323" s="267"/>
      <c r="AK323" s="267"/>
      <c r="AL323" s="267"/>
      <c r="AM323" s="267"/>
      <c r="AN323" s="267"/>
      <c r="AO323" s="267"/>
      <c r="AP323" s="267"/>
      <c r="AQ323" s="267"/>
      <c r="AR323" s="267"/>
    </row>
    <row r="324" spans="1:44" ht="15.75">
      <c r="A324" s="267"/>
      <c r="B324" s="521" t="s">
        <v>288</v>
      </c>
      <c r="C324" s="520"/>
      <c r="D324" s="520"/>
      <c r="E324" s="569"/>
      <c r="F324" s="520"/>
      <c r="G324" s="520"/>
      <c r="H324" s="520"/>
      <c r="I324" s="520"/>
      <c r="J324" s="520"/>
      <c r="K324" s="520"/>
      <c r="L324" s="520"/>
      <c r="M324" s="520"/>
      <c r="N324" s="520"/>
      <c r="O324" s="520"/>
      <c r="P324" s="520"/>
      <c r="Q324" s="520"/>
      <c r="R324" s="520"/>
      <c r="S324" s="520"/>
      <c r="T324" s="520"/>
      <c r="U324" s="520"/>
      <c r="V324" s="520"/>
      <c r="W324" s="520"/>
      <c r="X324" s="520"/>
      <c r="Y324" s="520"/>
      <c r="Z324" s="520"/>
      <c r="AA324" s="520"/>
      <c r="AB324" s="520"/>
      <c r="AC324" s="520"/>
      <c r="AD324" s="520"/>
      <c r="AE324" s="520"/>
      <c r="AF324" s="520"/>
      <c r="AG324" s="520"/>
      <c r="AH324" s="520"/>
      <c r="AI324" s="520"/>
      <c r="AJ324" s="267"/>
      <c r="AK324" s="267"/>
      <c r="AL324" s="267"/>
      <c r="AM324" s="267"/>
      <c r="AN324" s="267"/>
      <c r="AO324" s="267"/>
      <c r="AP324" s="267"/>
      <c r="AQ324" s="267"/>
      <c r="AR324" s="267"/>
    </row>
    <row r="325" spans="1:44" ht="15.75">
      <c r="A325" s="267"/>
      <c r="B325" s="521" t="s">
        <v>289</v>
      </c>
      <c r="C325" s="520"/>
      <c r="D325" s="520"/>
      <c r="E325" s="520"/>
      <c r="F325" s="520"/>
      <c r="G325" s="520"/>
      <c r="H325" s="520"/>
      <c r="I325" s="520"/>
      <c r="J325" s="520"/>
      <c r="K325" s="520"/>
      <c r="L325" s="520"/>
      <c r="M325" s="520"/>
      <c r="N325" s="520"/>
      <c r="O325" s="520"/>
      <c r="P325" s="520"/>
      <c r="Q325" s="520"/>
      <c r="R325" s="520"/>
      <c r="S325" s="520"/>
      <c r="T325" s="520"/>
      <c r="U325" s="520"/>
      <c r="V325" s="520"/>
      <c r="W325" s="520"/>
      <c r="X325" s="520"/>
      <c r="Y325" s="520"/>
      <c r="Z325" s="520"/>
      <c r="AA325" s="520"/>
      <c r="AB325" s="520"/>
      <c r="AC325" s="520"/>
      <c r="AD325" s="520"/>
      <c r="AE325" s="520"/>
      <c r="AF325" s="520"/>
      <c r="AG325" s="520"/>
      <c r="AH325" s="520"/>
      <c r="AI325" s="520"/>
      <c r="AJ325" s="267"/>
      <c r="AK325" s="267"/>
      <c r="AL325" s="267"/>
      <c r="AM325" s="267"/>
      <c r="AN325" s="267"/>
      <c r="AO325" s="267"/>
      <c r="AP325" s="267"/>
      <c r="AQ325" s="267"/>
      <c r="AR325" s="267"/>
    </row>
    <row r="326" spans="1:44" ht="15.75">
      <c r="A326" s="267"/>
      <c r="B326" s="521" t="s">
        <v>290</v>
      </c>
      <c r="C326" s="569"/>
      <c r="D326" s="569"/>
      <c r="E326" s="569"/>
      <c r="F326" s="520"/>
      <c r="G326" s="520"/>
      <c r="H326" s="520"/>
      <c r="I326" s="520"/>
      <c r="J326" s="520"/>
      <c r="K326" s="520"/>
      <c r="L326" s="520"/>
      <c r="M326" s="520"/>
      <c r="N326" s="520"/>
      <c r="O326" s="520"/>
      <c r="P326" s="520"/>
      <c r="Q326" s="520"/>
      <c r="R326" s="520"/>
      <c r="S326" s="520"/>
      <c r="T326" s="520"/>
      <c r="U326" s="520"/>
      <c r="V326" s="520"/>
      <c r="W326" s="520"/>
      <c r="X326" s="520"/>
      <c r="Y326" s="520"/>
      <c r="Z326" s="520"/>
      <c r="AA326" s="520"/>
      <c r="AB326" s="520"/>
      <c r="AC326" s="520"/>
      <c r="AD326" s="520"/>
      <c r="AE326" s="520"/>
      <c r="AF326" s="520"/>
      <c r="AG326" s="520"/>
      <c r="AH326" s="520"/>
      <c r="AI326" s="520"/>
      <c r="AJ326" s="267"/>
      <c r="AK326" s="267"/>
      <c r="AL326" s="267"/>
      <c r="AM326" s="267"/>
      <c r="AN326" s="267"/>
      <c r="AO326" s="267"/>
      <c r="AP326" s="267"/>
      <c r="AQ326" s="267"/>
      <c r="AR326" s="267"/>
    </row>
    <row r="327" spans="1:44" ht="15.75">
      <c r="A327" s="267"/>
      <c r="B327" s="521" t="s">
        <v>291</v>
      </c>
      <c r="C327" s="569"/>
      <c r="D327" s="569"/>
      <c r="E327" s="520"/>
      <c r="F327" s="520"/>
      <c r="G327" s="520"/>
      <c r="H327" s="520"/>
      <c r="I327" s="520"/>
      <c r="J327" s="520"/>
      <c r="K327" s="520"/>
      <c r="L327" s="520"/>
      <c r="M327" s="520"/>
      <c r="N327" s="520"/>
      <c r="O327" s="520"/>
      <c r="P327" s="520"/>
      <c r="Q327" s="520"/>
      <c r="R327" s="520"/>
      <c r="S327" s="520"/>
      <c r="T327" s="520"/>
      <c r="U327" s="520"/>
      <c r="V327" s="520"/>
      <c r="W327" s="520"/>
      <c r="X327" s="520"/>
      <c r="Y327" s="520"/>
      <c r="Z327" s="520"/>
      <c r="AA327" s="520"/>
      <c r="AB327" s="520"/>
      <c r="AC327" s="520"/>
      <c r="AD327" s="520"/>
      <c r="AE327" s="520"/>
      <c r="AF327" s="520"/>
      <c r="AG327" s="520"/>
      <c r="AH327" s="520"/>
      <c r="AI327" s="520"/>
      <c r="AJ327" s="267"/>
      <c r="AK327" s="267"/>
      <c r="AL327" s="267"/>
      <c r="AM327" s="267"/>
      <c r="AN327" s="267"/>
      <c r="AO327" s="267"/>
      <c r="AP327" s="267"/>
      <c r="AQ327" s="267"/>
      <c r="AR327" s="267"/>
    </row>
    <row r="328" spans="1:44" ht="15.75">
      <c r="A328" s="267"/>
      <c r="B328" s="521" t="s">
        <v>292</v>
      </c>
      <c r="C328" s="569"/>
      <c r="D328" s="569"/>
      <c r="E328" s="520"/>
      <c r="F328" s="569"/>
      <c r="G328" s="520"/>
      <c r="H328" s="520"/>
      <c r="I328" s="520"/>
      <c r="J328" s="520"/>
      <c r="K328" s="520"/>
      <c r="L328" s="520"/>
      <c r="M328" s="520"/>
      <c r="N328" s="520"/>
      <c r="O328" s="520"/>
      <c r="P328" s="520"/>
      <c r="Q328" s="520"/>
      <c r="R328" s="520"/>
      <c r="S328" s="522">
        <v>-1150</v>
      </c>
      <c r="T328" s="520"/>
      <c r="U328" s="520"/>
      <c r="V328" s="520"/>
      <c r="W328" s="520"/>
      <c r="X328" s="520"/>
      <c r="Y328" s="520"/>
      <c r="Z328" s="520"/>
      <c r="AA328" s="520"/>
      <c r="AB328" s="520"/>
      <c r="AC328" s="520"/>
      <c r="AD328" s="520"/>
      <c r="AE328" s="520"/>
      <c r="AF328" s="520"/>
      <c r="AG328" s="520"/>
      <c r="AH328" s="520"/>
      <c r="AI328" s="520"/>
      <c r="AJ328" s="267"/>
      <c r="AK328" s="267"/>
      <c r="AL328" s="267"/>
      <c r="AM328" s="267"/>
      <c r="AN328" s="267"/>
      <c r="AO328" s="267"/>
      <c r="AP328" s="267"/>
      <c r="AQ328" s="267"/>
      <c r="AR328" s="267"/>
    </row>
    <row r="329" spans="1:44" ht="15.75">
      <c r="A329" s="267"/>
      <c r="B329" s="521" t="s">
        <v>209</v>
      </c>
      <c r="C329" s="569"/>
      <c r="D329" s="523"/>
      <c r="E329" s="520"/>
      <c r="F329" s="520"/>
      <c r="G329" s="520"/>
      <c r="H329" s="520"/>
      <c r="I329" s="520"/>
      <c r="J329" s="520"/>
      <c r="K329" s="520"/>
      <c r="L329" s="520"/>
      <c r="M329" s="520"/>
      <c r="N329" s="570"/>
      <c r="O329" s="570"/>
      <c r="P329" s="570"/>
      <c r="Q329" s="570"/>
      <c r="R329" s="570"/>
      <c r="S329" s="570"/>
      <c r="T329" s="570"/>
      <c r="U329" s="570"/>
      <c r="V329" s="570"/>
      <c r="W329" s="570"/>
      <c r="X329" s="570"/>
      <c r="Y329" s="570"/>
      <c r="Z329" s="570"/>
      <c r="AA329" s="570"/>
      <c r="AB329" s="570"/>
      <c r="AC329" s="570"/>
      <c r="AD329" s="570"/>
      <c r="AE329" s="570"/>
      <c r="AF329" s="570"/>
      <c r="AG329" s="570"/>
      <c r="AH329" s="570"/>
      <c r="AI329" s="570"/>
      <c r="AJ329" s="267"/>
      <c r="AK329" s="267"/>
      <c r="AL329" s="267"/>
      <c r="AM329" s="267"/>
      <c r="AN329" s="267"/>
      <c r="AO329" s="267"/>
      <c r="AP329" s="267"/>
      <c r="AQ329" s="267"/>
      <c r="AR329" s="267"/>
    </row>
    <row r="330" spans="1:44" ht="15.75">
      <c r="A330" s="267"/>
      <c r="B330" s="579" t="s">
        <v>293</v>
      </c>
      <c r="C330" s="580"/>
      <c r="D330" s="580">
        <f t="shared" ref="D330:AI330" si="214">SUM(D324:D329)</f>
        <v>0</v>
      </c>
      <c r="E330" s="580">
        <f t="shared" si="214"/>
        <v>0</v>
      </c>
      <c r="F330" s="580">
        <f t="shared" si="214"/>
        <v>0</v>
      </c>
      <c r="G330" s="580">
        <f t="shared" si="214"/>
        <v>0</v>
      </c>
      <c r="H330" s="580">
        <f t="shared" si="214"/>
        <v>0</v>
      </c>
      <c r="I330" s="580">
        <f t="shared" si="214"/>
        <v>0</v>
      </c>
      <c r="J330" s="580">
        <f t="shared" si="214"/>
        <v>0</v>
      </c>
      <c r="K330" s="580">
        <f t="shared" si="214"/>
        <v>0</v>
      </c>
      <c r="L330" s="580">
        <f t="shared" si="214"/>
        <v>0</v>
      </c>
      <c r="M330" s="580">
        <f t="shared" si="214"/>
        <v>0</v>
      </c>
      <c r="N330" s="580">
        <f t="shared" si="214"/>
        <v>0</v>
      </c>
      <c r="O330" s="580">
        <f t="shared" si="214"/>
        <v>0</v>
      </c>
      <c r="P330" s="580">
        <f t="shared" si="214"/>
        <v>0</v>
      </c>
      <c r="Q330" s="580">
        <f t="shared" si="214"/>
        <v>0</v>
      </c>
      <c r="R330" s="580">
        <f t="shared" si="214"/>
        <v>0</v>
      </c>
      <c r="S330" s="580">
        <f t="shared" si="214"/>
        <v>-1150</v>
      </c>
      <c r="T330" s="580">
        <f t="shared" si="214"/>
        <v>0</v>
      </c>
      <c r="U330" s="580">
        <f t="shared" si="214"/>
        <v>0</v>
      </c>
      <c r="V330" s="580">
        <f t="shared" si="214"/>
        <v>0</v>
      </c>
      <c r="W330" s="580">
        <f t="shared" si="214"/>
        <v>0</v>
      </c>
      <c r="X330" s="580">
        <f t="shared" si="214"/>
        <v>0</v>
      </c>
      <c r="Y330" s="580">
        <f t="shared" si="214"/>
        <v>0</v>
      </c>
      <c r="Z330" s="580">
        <f t="shared" si="214"/>
        <v>0</v>
      </c>
      <c r="AA330" s="580">
        <f t="shared" si="214"/>
        <v>0</v>
      </c>
      <c r="AB330" s="580">
        <f t="shared" si="214"/>
        <v>0</v>
      </c>
      <c r="AC330" s="580">
        <f t="shared" si="214"/>
        <v>0</v>
      </c>
      <c r="AD330" s="580">
        <f t="shared" si="214"/>
        <v>0</v>
      </c>
      <c r="AE330" s="580">
        <f t="shared" si="214"/>
        <v>0</v>
      </c>
      <c r="AF330" s="580">
        <f t="shared" si="214"/>
        <v>0</v>
      </c>
      <c r="AG330" s="580">
        <f t="shared" si="214"/>
        <v>0</v>
      </c>
      <c r="AH330" s="580">
        <f t="shared" si="214"/>
        <v>0</v>
      </c>
      <c r="AI330" s="580">
        <f t="shared" si="214"/>
        <v>0</v>
      </c>
      <c r="AJ330" s="267"/>
      <c r="AK330" s="267"/>
      <c r="AL330" s="267"/>
      <c r="AM330" s="267"/>
      <c r="AN330" s="267"/>
      <c r="AO330" s="267"/>
      <c r="AP330" s="267"/>
      <c r="AQ330" s="267"/>
      <c r="AR330" s="267"/>
    </row>
    <row r="331" spans="1:44" ht="15.75">
      <c r="A331" s="267"/>
      <c r="B331" s="521"/>
      <c r="C331" s="521"/>
      <c r="D331" s="521"/>
      <c r="E331" s="521"/>
      <c r="F331" s="521"/>
      <c r="G331" s="521"/>
      <c r="H331" s="521"/>
      <c r="I331" s="521"/>
      <c r="J331" s="521"/>
      <c r="K331" s="521"/>
      <c r="L331" s="521"/>
      <c r="M331" s="521"/>
      <c r="N331" s="521"/>
      <c r="O331" s="521"/>
      <c r="P331" s="521"/>
      <c r="Q331" s="521"/>
      <c r="R331" s="521"/>
      <c r="S331" s="521"/>
      <c r="T331" s="521"/>
      <c r="U331" s="521"/>
      <c r="V331" s="521"/>
      <c r="W331" s="521"/>
      <c r="X331" s="521"/>
      <c r="Y331" s="521"/>
      <c r="Z331" s="521"/>
      <c r="AA331" s="521"/>
      <c r="AB331" s="521"/>
      <c r="AC331" s="521"/>
      <c r="AD331" s="521"/>
      <c r="AE331" s="521"/>
      <c r="AF331" s="521"/>
      <c r="AG331" s="521"/>
      <c r="AH331" s="521"/>
      <c r="AI331" s="521"/>
      <c r="AJ331" s="267"/>
      <c r="AK331" s="267"/>
      <c r="AL331" s="267"/>
      <c r="AM331" s="267"/>
      <c r="AN331" s="267"/>
      <c r="AO331" s="267"/>
      <c r="AP331" s="267"/>
      <c r="AQ331" s="267"/>
      <c r="AR331" s="267"/>
    </row>
    <row r="332" spans="1:44" ht="15.75">
      <c r="A332" s="267"/>
      <c r="B332" s="521"/>
      <c r="C332" s="521"/>
      <c r="D332" s="521"/>
      <c r="E332" s="521"/>
      <c r="F332" s="521"/>
      <c r="G332" s="521"/>
      <c r="H332" s="521"/>
      <c r="I332" s="521"/>
      <c r="J332" s="521"/>
      <c r="K332" s="521"/>
      <c r="L332" s="521"/>
      <c r="M332" s="521"/>
      <c r="N332" s="521"/>
      <c r="O332" s="521"/>
      <c r="P332" s="521"/>
      <c r="Q332" s="521"/>
      <c r="R332" s="521"/>
      <c r="S332" s="521"/>
      <c r="T332" s="521"/>
      <c r="U332" s="521"/>
      <c r="V332" s="521"/>
      <c r="W332" s="521"/>
      <c r="X332" s="521"/>
      <c r="Y332" s="521"/>
      <c r="Z332" s="521"/>
      <c r="AA332" s="521"/>
      <c r="AB332" s="521"/>
      <c r="AC332" s="521"/>
      <c r="AD332" s="521"/>
      <c r="AE332" s="521"/>
      <c r="AF332" s="521"/>
      <c r="AG332" s="521"/>
      <c r="AH332" s="521"/>
      <c r="AI332" s="521"/>
      <c r="AJ332" s="267"/>
      <c r="AK332" s="267"/>
      <c r="AL332" s="267"/>
      <c r="AM332" s="267"/>
      <c r="AN332" s="267"/>
      <c r="AO332" s="267"/>
      <c r="AP332" s="267"/>
      <c r="AQ332" s="267"/>
      <c r="AR332" s="267"/>
    </row>
    <row r="333" spans="1:44" ht="15.75">
      <c r="A333" s="267"/>
      <c r="B333" s="521"/>
      <c r="C333" s="521"/>
      <c r="D333" s="521"/>
      <c r="E333" s="521"/>
      <c r="F333" s="521"/>
      <c r="G333" s="521"/>
      <c r="H333" s="521"/>
      <c r="I333" s="521"/>
      <c r="J333" s="521"/>
      <c r="K333" s="521"/>
      <c r="L333" s="521"/>
      <c r="M333" s="521"/>
      <c r="N333" s="521"/>
      <c r="O333" s="521"/>
      <c r="P333" s="521"/>
      <c r="Q333" s="521"/>
      <c r="R333" s="521"/>
      <c r="S333" s="521"/>
      <c r="T333" s="521"/>
      <c r="U333" s="521"/>
      <c r="V333" s="521"/>
      <c r="W333" s="521"/>
      <c r="X333" s="521"/>
      <c r="Y333" s="521"/>
      <c r="Z333" s="521"/>
      <c r="AA333" s="521"/>
      <c r="AB333" s="521"/>
      <c r="AC333" s="521"/>
      <c r="AD333" s="521"/>
      <c r="AE333" s="521"/>
      <c r="AF333" s="521"/>
      <c r="AG333" s="521"/>
      <c r="AH333" s="521"/>
      <c r="AI333" s="521"/>
      <c r="AJ333" s="267"/>
      <c r="AK333" s="267"/>
      <c r="AL333" s="267"/>
      <c r="AM333" s="267"/>
      <c r="AN333" s="267"/>
      <c r="AO333" s="267"/>
      <c r="AP333" s="267"/>
      <c r="AQ333" s="267"/>
      <c r="AR333" s="267"/>
    </row>
    <row r="334" spans="1:44" ht="15.75">
      <c r="A334" s="267"/>
      <c r="B334" s="519" t="s">
        <v>294</v>
      </c>
      <c r="C334" s="519">
        <v>2003</v>
      </c>
      <c r="D334" s="519">
        <f t="shared" ref="D334:AI334" si="215">C334+1</f>
        <v>2004</v>
      </c>
      <c r="E334" s="519">
        <f t="shared" si="215"/>
        <v>2005</v>
      </c>
      <c r="F334" s="519">
        <f t="shared" si="215"/>
        <v>2006</v>
      </c>
      <c r="G334" s="519">
        <f t="shared" si="215"/>
        <v>2007</v>
      </c>
      <c r="H334" s="519">
        <f t="shared" si="215"/>
        <v>2008</v>
      </c>
      <c r="I334" s="519">
        <f t="shared" si="215"/>
        <v>2009</v>
      </c>
      <c r="J334" s="519">
        <f t="shared" si="215"/>
        <v>2010</v>
      </c>
      <c r="K334" s="519">
        <f t="shared" si="215"/>
        <v>2011</v>
      </c>
      <c r="L334" s="519">
        <f t="shared" si="215"/>
        <v>2012</v>
      </c>
      <c r="M334" s="519">
        <f t="shared" si="215"/>
        <v>2013</v>
      </c>
      <c r="N334" s="519">
        <f t="shared" si="215"/>
        <v>2014</v>
      </c>
      <c r="O334" s="519">
        <f t="shared" si="215"/>
        <v>2015</v>
      </c>
      <c r="P334" s="519">
        <f t="shared" si="215"/>
        <v>2016</v>
      </c>
      <c r="Q334" s="519">
        <f t="shared" si="215"/>
        <v>2017</v>
      </c>
      <c r="R334" s="519">
        <f t="shared" si="215"/>
        <v>2018</v>
      </c>
      <c r="S334" s="519">
        <f t="shared" si="215"/>
        <v>2019</v>
      </c>
      <c r="T334" s="519">
        <f t="shared" si="215"/>
        <v>2020</v>
      </c>
      <c r="U334" s="519">
        <f t="shared" si="215"/>
        <v>2021</v>
      </c>
      <c r="V334" s="519">
        <f t="shared" si="215"/>
        <v>2022</v>
      </c>
      <c r="W334" s="519">
        <f t="shared" si="215"/>
        <v>2023</v>
      </c>
      <c r="X334" s="519">
        <f t="shared" si="215"/>
        <v>2024</v>
      </c>
      <c r="Y334" s="519">
        <f t="shared" si="215"/>
        <v>2025</v>
      </c>
      <c r="Z334" s="519">
        <f t="shared" si="215"/>
        <v>2026</v>
      </c>
      <c r="AA334" s="519">
        <f t="shared" si="215"/>
        <v>2027</v>
      </c>
      <c r="AB334" s="519">
        <f t="shared" si="215"/>
        <v>2028</v>
      </c>
      <c r="AC334" s="519">
        <f t="shared" si="215"/>
        <v>2029</v>
      </c>
      <c r="AD334" s="519">
        <f t="shared" si="215"/>
        <v>2030</v>
      </c>
      <c r="AE334" s="519">
        <f t="shared" si="215"/>
        <v>2031</v>
      </c>
      <c r="AF334" s="519">
        <f t="shared" si="215"/>
        <v>2032</v>
      </c>
      <c r="AG334" s="519">
        <f t="shared" si="215"/>
        <v>2033</v>
      </c>
      <c r="AH334" s="519">
        <f t="shared" si="215"/>
        <v>2034</v>
      </c>
      <c r="AI334" s="519">
        <f t="shared" si="215"/>
        <v>2035</v>
      </c>
      <c r="AJ334" s="267"/>
      <c r="AK334" s="267"/>
      <c r="AL334" s="267"/>
      <c r="AM334" s="267"/>
      <c r="AN334" s="267"/>
      <c r="AO334" s="267"/>
      <c r="AP334" s="267"/>
      <c r="AQ334" s="267"/>
      <c r="AR334" s="267"/>
    </row>
    <row r="335" spans="1:44" ht="15.75">
      <c r="A335" s="267"/>
      <c r="B335" s="521" t="s">
        <v>295</v>
      </c>
      <c r="C335" s="522"/>
      <c r="D335" s="522"/>
      <c r="E335" s="522"/>
      <c r="F335" s="522"/>
      <c r="G335" s="522"/>
      <c r="H335" s="522"/>
      <c r="I335" s="522"/>
      <c r="J335" s="522"/>
      <c r="K335" s="522"/>
      <c r="L335" s="522">
        <f t="shared" ref="L335:AI335" si="216">L13</f>
        <v>3777</v>
      </c>
      <c r="M335" s="522">
        <f t="shared" si="216"/>
        <v>4356</v>
      </c>
      <c r="N335" s="522">
        <f t="shared" si="216"/>
        <v>4847</v>
      </c>
      <c r="O335" s="522">
        <f t="shared" si="216"/>
        <v>5843</v>
      </c>
      <c r="P335" s="522">
        <f t="shared" si="216"/>
        <v>6915</v>
      </c>
      <c r="Q335" s="522">
        <f t="shared" si="216"/>
        <v>7715</v>
      </c>
      <c r="R335" s="522">
        <f t="shared" si="216"/>
        <v>9347</v>
      </c>
      <c r="S335" s="522">
        <f t="shared" si="216"/>
        <v>10161</v>
      </c>
      <c r="T335" s="522">
        <f t="shared" si="216"/>
        <v>11037</v>
      </c>
      <c r="U335" s="522">
        <f t="shared" si="216"/>
        <v>12116</v>
      </c>
      <c r="V335" s="522">
        <f t="shared" si="216"/>
        <v>12769.018</v>
      </c>
      <c r="W335" s="522">
        <f t="shared" si="216"/>
        <v>13319.993</v>
      </c>
      <c r="X335" s="522">
        <f t="shared" si="216"/>
        <v>14629.852999999999</v>
      </c>
      <c r="Y335" s="522">
        <f t="shared" si="216"/>
        <v>15936.034</v>
      </c>
      <c r="Z335" s="522">
        <f t="shared" si="216"/>
        <v>17317.949166000006</v>
      </c>
      <c r="AA335" s="522">
        <f t="shared" si="216"/>
        <v>18891.568466000008</v>
      </c>
      <c r="AB335" s="522">
        <f t="shared" si="216"/>
        <v>20433.344349966705</v>
      </c>
      <c r="AC335" s="522">
        <f t="shared" si="216"/>
        <v>21683.256371374238</v>
      </c>
      <c r="AD335" s="522">
        <f t="shared" si="216"/>
        <v>22771.247813046059</v>
      </c>
      <c r="AE335" s="522">
        <f t="shared" si="216"/>
        <v>23466.652897362677</v>
      </c>
      <c r="AF335" s="522">
        <f t="shared" si="216"/>
        <v>24184.161604732537</v>
      </c>
      <c r="AG335" s="522">
        <f t="shared" si="216"/>
        <v>24924.641669122124</v>
      </c>
      <c r="AH335" s="522">
        <f t="shared" si="216"/>
        <v>25689.002079840422</v>
      </c>
      <c r="AI335" s="522">
        <f t="shared" si="216"/>
        <v>26478.195240894362</v>
      </c>
      <c r="AJ335" s="267"/>
      <c r="AK335" s="267"/>
      <c r="AL335" s="267"/>
      <c r="AM335" s="267"/>
      <c r="AN335" s="267"/>
      <c r="AO335" s="267"/>
      <c r="AP335" s="267"/>
      <c r="AQ335" s="267"/>
      <c r="AR335" s="267"/>
    </row>
    <row r="336" spans="1:44" ht="15.75">
      <c r="A336" s="267"/>
      <c r="B336" s="521" t="s">
        <v>296</v>
      </c>
      <c r="C336" s="522"/>
      <c r="D336" s="522"/>
      <c r="E336" s="522"/>
      <c r="F336" s="522"/>
      <c r="G336" s="522"/>
      <c r="H336" s="522"/>
      <c r="I336" s="522"/>
      <c r="J336" s="522"/>
      <c r="K336" s="522"/>
      <c r="L336" s="522">
        <f t="shared" ref="L336:AI336" si="217">-L115</f>
        <v>-1057</v>
      </c>
      <c r="M336" s="522">
        <f t="shared" si="217"/>
        <v>-1250</v>
      </c>
      <c r="N336" s="522">
        <f t="shared" si="217"/>
        <v>-1558.6596881959911</v>
      </c>
      <c r="O336" s="522">
        <f t="shared" si="217"/>
        <v>-1851.2081983720318</v>
      </c>
      <c r="P336" s="522">
        <f t="shared" si="217"/>
        <v>-1877.4840745931269</v>
      </c>
      <c r="Q336" s="522">
        <f t="shared" si="217"/>
        <v>-2364.6981962095792</v>
      </c>
      <c r="R336" s="522">
        <f t="shared" si="217"/>
        <v>-3181.64957479646</v>
      </c>
      <c r="S336" s="522">
        <f t="shared" si="217"/>
        <v>-4070.5279947361491</v>
      </c>
      <c r="T336" s="522">
        <f t="shared" si="217"/>
        <v>-4661.4850579178892</v>
      </c>
      <c r="U336" s="522">
        <f t="shared" si="217"/>
        <v>-4991.6720000000005</v>
      </c>
      <c r="V336" s="522">
        <f t="shared" si="217"/>
        <v>-5981.6769999999997</v>
      </c>
      <c r="W336" s="522">
        <f t="shared" si="217"/>
        <v>-6853.018</v>
      </c>
      <c r="X336" s="522">
        <f t="shared" si="217"/>
        <v>-7954.9509999999991</v>
      </c>
      <c r="Y336" s="522">
        <f>-Y115</f>
        <v>-8803.8250000000007</v>
      </c>
      <c r="Z336" s="522">
        <f t="shared" si="217"/>
        <v>-9663.6387925350573</v>
      </c>
      <c r="AA336" s="522">
        <f t="shared" si="217"/>
        <v>-9760.6767804969986</v>
      </c>
      <c r="AB336" s="522">
        <f t="shared" si="217"/>
        <v>-9701.8705025970685</v>
      </c>
      <c r="AC336" s="522">
        <f t="shared" si="217"/>
        <v>-9775.9425208365865</v>
      </c>
      <c r="AD336" s="522">
        <f t="shared" si="217"/>
        <v>-9845.00339211153</v>
      </c>
      <c r="AE336" s="522">
        <f t="shared" si="217"/>
        <v>-9887.9532062991002</v>
      </c>
      <c r="AF336" s="522">
        <f t="shared" si="217"/>
        <v>-9915.9815820478416</v>
      </c>
      <c r="AG336" s="522">
        <f t="shared" si="217"/>
        <v>-9930.9875841609446</v>
      </c>
      <c r="AH336" s="522">
        <f t="shared" si="217"/>
        <v>-9956.8618612168393</v>
      </c>
      <c r="AI336" s="522">
        <f t="shared" si="217"/>
        <v>-9991.7603407307233</v>
      </c>
      <c r="AJ336" s="267"/>
      <c r="AK336" s="267"/>
      <c r="AL336" s="267"/>
      <c r="AM336" s="267"/>
      <c r="AN336" s="267"/>
      <c r="AO336" s="267"/>
      <c r="AP336" s="267"/>
      <c r="AQ336" s="267"/>
      <c r="AR336" s="267"/>
    </row>
    <row r="337" spans="1:44" ht="15.75">
      <c r="A337" s="267"/>
      <c r="B337" s="521" t="s">
        <v>262</v>
      </c>
      <c r="C337" s="522"/>
      <c r="D337" s="522"/>
      <c r="E337" s="522"/>
      <c r="F337" s="522"/>
      <c r="G337" s="522"/>
      <c r="H337" s="522"/>
      <c r="I337" s="522"/>
      <c r="J337" s="522"/>
      <c r="K337" s="522"/>
      <c r="L337" s="522">
        <f t="shared" ref="L337:AI337" si="218">-L149</f>
        <v>-309</v>
      </c>
      <c r="M337" s="522">
        <f t="shared" si="218"/>
        <v>-260</v>
      </c>
      <c r="N337" s="522">
        <f t="shared" si="218"/>
        <v>-173.14031180400892</v>
      </c>
      <c r="O337" s="522">
        <f t="shared" si="218"/>
        <v>-100.79180162796816</v>
      </c>
      <c r="P337" s="522">
        <f t="shared" si="218"/>
        <v>-222.51592540687301</v>
      </c>
      <c r="Q337" s="522">
        <f t="shared" si="218"/>
        <v>-120.30180379042088</v>
      </c>
      <c r="R337" s="522">
        <f t="shared" si="218"/>
        <v>-105.65042520354027</v>
      </c>
      <c r="S337" s="522">
        <f t="shared" si="218"/>
        <v>-44.472005263851067</v>
      </c>
      <c r="T337" s="522">
        <f t="shared" si="218"/>
        <v>-46.514942082111013</v>
      </c>
      <c r="U337" s="522">
        <f t="shared" si="218"/>
        <v>-306.32799999999997</v>
      </c>
      <c r="V337" s="522">
        <f t="shared" si="218"/>
        <v>-258.54000000000002</v>
      </c>
      <c r="W337" s="522">
        <f t="shared" si="218"/>
        <v>-346.197</v>
      </c>
      <c r="X337" s="522">
        <f t="shared" si="218"/>
        <v>-502.67200000000003</v>
      </c>
      <c r="Y337" s="522">
        <f t="shared" si="218"/>
        <v>-732.07100000000003</v>
      </c>
      <c r="Z337" s="522">
        <f t="shared" si="218"/>
        <v>-0.20200000000000001</v>
      </c>
      <c r="AA337" s="522">
        <f t="shared" si="218"/>
        <v>0.20200000000022555</v>
      </c>
      <c r="AB337" s="522">
        <f t="shared" si="218"/>
        <v>0</v>
      </c>
      <c r="AC337" s="522">
        <f t="shared" si="218"/>
        <v>0</v>
      </c>
      <c r="AD337" s="522">
        <f t="shared" si="218"/>
        <v>0</v>
      </c>
      <c r="AE337" s="522">
        <f t="shared" si="218"/>
        <v>0</v>
      </c>
      <c r="AF337" s="522">
        <f t="shared" si="218"/>
        <v>0</v>
      </c>
      <c r="AG337" s="522">
        <f t="shared" si="218"/>
        <v>0</v>
      </c>
      <c r="AH337" s="522">
        <f t="shared" si="218"/>
        <v>0</v>
      </c>
      <c r="AI337" s="522">
        <f t="shared" si="218"/>
        <v>0</v>
      </c>
      <c r="AJ337" s="267"/>
      <c r="AK337" s="267"/>
      <c r="AL337" s="267"/>
      <c r="AM337" s="267"/>
      <c r="AN337" s="267"/>
      <c r="AO337" s="267"/>
      <c r="AP337" s="267"/>
      <c r="AQ337" s="267"/>
      <c r="AR337" s="267"/>
    </row>
    <row r="338" spans="1:44" ht="15.75">
      <c r="A338" s="267"/>
      <c r="B338" s="521" t="s">
        <v>297</v>
      </c>
      <c r="C338" s="522"/>
      <c r="D338" s="522"/>
      <c r="E338" s="522"/>
      <c r="F338" s="522"/>
      <c r="G338" s="522"/>
      <c r="H338" s="522"/>
      <c r="I338" s="522"/>
      <c r="J338" s="522"/>
      <c r="K338" s="522"/>
      <c r="L338" s="522">
        <f>-L176</f>
        <v>-112</v>
      </c>
      <c r="M338" s="522">
        <f t="shared" ref="M338:AI338" si="219">-M176</f>
        <v>-34</v>
      </c>
      <c r="N338" s="522">
        <f t="shared" si="219"/>
        <v>36.900000000000006</v>
      </c>
      <c r="O338" s="522">
        <f t="shared" si="219"/>
        <v>80.733000000000004</v>
      </c>
      <c r="P338" s="522">
        <f t="shared" si="219"/>
        <v>213</v>
      </c>
      <c r="Q338" s="522">
        <f t="shared" si="219"/>
        <v>-2.5</v>
      </c>
      <c r="R338" s="522">
        <f t="shared" si="219"/>
        <v>-29.299999999999997</v>
      </c>
      <c r="S338" s="522">
        <f t="shared" si="219"/>
        <v>-413</v>
      </c>
      <c r="T338" s="522">
        <f t="shared" si="219"/>
        <v>-545</v>
      </c>
      <c r="U338" s="522">
        <f t="shared" si="219"/>
        <v>-697</v>
      </c>
      <c r="V338" s="522">
        <f t="shared" si="219"/>
        <v>-1258.9899999999998</v>
      </c>
      <c r="W338" s="522">
        <f t="shared" si="219"/>
        <v>-1906.258</v>
      </c>
      <c r="X338" s="522">
        <f t="shared" si="219"/>
        <v>-2535.7079999999996</v>
      </c>
      <c r="Y338" s="522">
        <f t="shared" si="219"/>
        <v>-2104.5239999999999</v>
      </c>
      <c r="Z338" s="522">
        <f t="shared" si="219"/>
        <v>-2049.7963986196419</v>
      </c>
      <c r="AA338" s="522">
        <f t="shared" si="219"/>
        <v>-2021.1214665676478</v>
      </c>
      <c r="AB338" s="522">
        <f t="shared" si="219"/>
        <v>-1955.6667391230112</v>
      </c>
      <c r="AC338" s="522">
        <f t="shared" si="219"/>
        <v>-1856.3554404004174</v>
      </c>
      <c r="AD338" s="522">
        <f t="shared" si="219"/>
        <v>-1757.7900475162949</v>
      </c>
      <c r="AE338" s="522">
        <f t="shared" si="219"/>
        <v>-1654.702478980947</v>
      </c>
      <c r="AF338" s="522">
        <f t="shared" si="219"/>
        <v>-1598.033506574478</v>
      </c>
      <c r="AG338" s="522">
        <f t="shared" si="219"/>
        <v>-1549.623823456421</v>
      </c>
      <c r="AH338" s="522">
        <f t="shared" si="219"/>
        <v>-1511.5308952506296</v>
      </c>
      <c r="AI338" s="522">
        <f t="shared" si="219"/>
        <v>-1420.3220044511982</v>
      </c>
      <c r="AJ338" s="267"/>
      <c r="AK338" s="267"/>
      <c r="AL338" s="267"/>
      <c r="AM338" s="267"/>
      <c r="AN338" s="267"/>
      <c r="AO338" s="267"/>
      <c r="AP338" s="267"/>
      <c r="AQ338" s="267"/>
      <c r="AR338" s="267"/>
    </row>
    <row r="339" spans="1:44" ht="15.75">
      <c r="A339" s="267"/>
      <c r="B339" s="521" t="s">
        <v>298</v>
      </c>
      <c r="C339" s="522"/>
      <c r="D339" s="522"/>
      <c r="E339" s="522"/>
      <c r="F339" s="522"/>
      <c r="G339" s="522"/>
      <c r="H339" s="522"/>
      <c r="I339" s="522"/>
      <c r="J339" s="522"/>
      <c r="K339" s="522"/>
      <c r="L339" s="522">
        <f t="shared" ref="L339:AI339" si="220">L291</f>
        <v>3</v>
      </c>
      <c r="M339" s="522">
        <f t="shared" si="220"/>
        <v>15</v>
      </c>
      <c r="N339" s="522">
        <f t="shared" si="220"/>
        <v>3.4</v>
      </c>
      <c r="O339" s="522">
        <f t="shared" si="220"/>
        <v>0</v>
      </c>
      <c r="P339" s="522">
        <f t="shared" si="220"/>
        <v>0</v>
      </c>
      <c r="Q339" s="522">
        <f t="shared" si="220"/>
        <v>0</v>
      </c>
      <c r="R339" s="522">
        <f t="shared" si="220"/>
        <v>0</v>
      </c>
      <c r="S339" s="522">
        <f t="shared" si="220"/>
        <v>0</v>
      </c>
      <c r="T339" s="522">
        <f t="shared" si="220"/>
        <v>0</v>
      </c>
      <c r="U339" s="522">
        <f t="shared" si="220"/>
        <v>0</v>
      </c>
      <c r="V339" s="522">
        <f t="shared" si="220"/>
        <v>0</v>
      </c>
      <c r="W339" s="522">
        <f t="shared" si="220"/>
        <v>0</v>
      </c>
      <c r="X339" s="522">
        <f t="shared" si="220"/>
        <v>0</v>
      </c>
      <c r="Y339" s="522">
        <f t="shared" si="220"/>
        <v>0</v>
      </c>
      <c r="Z339" s="522">
        <f t="shared" si="220"/>
        <v>0</v>
      </c>
      <c r="AA339" s="522">
        <f t="shared" si="220"/>
        <v>0</v>
      </c>
      <c r="AB339" s="522">
        <f t="shared" si="220"/>
        <v>0</v>
      </c>
      <c r="AC339" s="522">
        <f t="shared" si="220"/>
        <v>0</v>
      </c>
      <c r="AD339" s="522">
        <f t="shared" si="220"/>
        <v>0</v>
      </c>
      <c r="AE339" s="522">
        <f t="shared" si="220"/>
        <v>0</v>
      </c>
      <c r="AF339" s="522">
        <f t="shared" si="220"/>
        <v>0</v>
      </c>
      <c r="AG339" s="522">
        <f t="shared" si="220"/>
        <v>0</v>
      </c>
      <c r="AH339" s="522">
        <f t="shared" si="220"/>
        <v>0</v>
      </c>
      <c r="AI339" s="522">
        <f t="shared" si="220"/>
        <v>0</v>
      </c>
      <c r="AJ339" s="267"/>
      <c r="AK339" s="267"/>
      <c r="AL339" s="267"/>
      <c r="AM339" s="267"/>
      <c r="AN339" s="267"/>
      <c r="AO339" s="267"/>
      <c r="AP339" s="267"/>
      <c r="AQ339" s="267"/>
      <c r="AR339" s="267"/>
    </row>
    <row r="340" spans="1:44" ht="15.75">
      <c r="A340" s="267"/>
      <c r="B340" s="521" t="s">
        <v>299</v>
      </c>
      <c r="C340" s="522"/>
      <c r="D340" s="522"/>
      <c r="E340" s="522"/>
      <c r="F340" s="522"/>
      <c r="G340" s="522"/>
      <c r="H340" s="522"/>
      <c r="I340" s="522"/>
      <c r="J340" s="522"/>
      <c r="K340" s="522"/>
      <c r="L340" s="522">
        <f t="shared" ref="L340:AI340" si="221">-L268</f>
        <v>-706.44</v>
      </c>
      <c r="M340" s="522">
        <f t="shared" si="221"/>
        <v>-806.40000000000009</v>
      </c>
      <c r="N340" s="522">
        <f t="shared" si="221"/>
        <v>-882.58800000000008</v>
      </c>
      <c r="O340" s="522">
        <f t="shared" si="221"/>
        <v>-1112.0852400000001</v>
      </c>
      <c r="P340" s="522">
        <f t="shared" si="221"/>
        <v>-1106.1600000000001</v>
      </c>
      <c r="Q340" s="522">
        <f t="shared" si="221"/>
        <v>-1202.3249999999998</v>
      </c>
      <c r="R340" s="522">
        <f t="shared" si="221"/>
        <v>-1326.6879999999999</v>
      </c>
      <c r="S340" s="522">
        <f t="shared" si="221"/>
        <v>-1239.26</v>
      </c>
      <c r="T340" s="522">
        <f t="shared" si="221"/>
        <v>-1272.48</v>
      </c>
      <c r="U340" s="522">
        <f t="shared" si="221"/>
        <v>-1346.6200000000001</v>
      </c>
      <c r="V340" s="522">
        <f t="shared" si="221"/>
        <v>-1422.8489700000002</v>
      </c>
      <c r="W340" s="522">
        <f t="shared" si="221"/>
        <v>-1306.5012000000002</v>
      </c>
      <c r="X340" s="522">
        <f t="shared" si="221"/>
        <v>-1090.9566</v>
      </c>
      <c r="Y340" s="522">
        <f>-Y268</f>
        <v>-1288.6841999999999</v>
      </c>
      <c r="Z340" s="522">
        <f t="shared" si="221"/>
        <v>-1429.0995535855532</v>
      </c>
      <c r="AA340" s="522">
        <f t="shared" si="221"/>
        <v>-2132.9916656806081</v>
      </c>
      <c r="AB340" s="522">
        <f t="shared" si="221"/>
        <v>-2632.7421324739876</v>
      </c>
      <c r="AC340" s="522">
        <f t="shared" si="221"/>
        <v>-3015.2875230411705</v>
      </c>
      <c r="AD340" s="522">
        <f t="shared" si="221"/>
        <v>-3350.5363120254701</v>
      </c>
      <c r="AE340" s="522">
        <f t="shared" si="221"/>
        <v>-3577.199163624789</v>
      </c>
      <c r="AF340" s="522">
        <f t="shared" si="221"/>
        <v>-3801.0439548330651</v>
      </c>
      <c r="AG340" s="522">
        <f t="shared" si="221"/>
        <v>-4033.2090784514276</v>
      </c>
      <c r="AH340" s="522">
        <f t="shared" si="221"/>
        <v>-4266.1827970118857</v>
      </c>
      <c r="AI340" s="522">
        <f t="shared" si="221"/>
        <v>-4519.8338687137311</v>
      </c>
      <c r="AJ340" s="267"/>
      <c r="AK340" s="267"/>
      <c r="AL340" s="267"/>
      <c r="AM340" s="267"/>
      <c r="AN340" s="267"/>
      <c r="AO340" s="267"/>
      <c r="AP340" s="267"/>
      <c r="AQ340" s="267"/>
      <c r="AR340" s="267"/>
    </row>
    <row r="341" spans="1:44" ht="15.75">
      <c r="A341" s="267"/>
      <c r="B341" s="858" t="s">
        <v>300</v>
      </c>
      <c r="C341" s="860"/>
      <c r="D341" s="860"/>
      <c r="E341" s="860"/>
      <c r="F341" s="860"/>
      <c r="G341" s="860"/>
      <c r="H341" s="860"/>
      <c r="I341" s="860"/>
      <c r="J341" s="860"/>
      <c r="K341" s="860"/>
      <c r="L341" s="860">
        <f t="shared" ref="L341:AI341" si="222">-L300</f>
        <v>-95</v>
      </c>
      <c r="M341" s="860">
        <f t="shared" si="222"/>
        <v>-131</v>
      </c>
      <c r="N341" s="860">
        <f t="shared" si="222"/>
        <v>-64.7</v>
      </c>
      <c r="O341" s="860">
        <f t="shared" si="222"/>
        <v>-161</v>
      </c>
      <c r="P341" s="860">
        <f t="shared" si="222"/>
        <v>-273</v>
      </c>
      <c r="Q341" s="860">
        <f t="shared" si="222"/>
        <v>-173</v>
      </c>
      <c r="R341" s="860">
        <f t="shared" si="222"/>
        <v>-174</v>
      </c>
      <c r="S341" s="860">
        <f t="shared" si="222"/>
        <v>-156</v>
      </c>
      <c r="T341" s="860">
        <f t="shared" si="222"/>
        <v>-171.60000000000002</v>
      </c>
      <c r="U341" s="860">
        <f t="shared" si="222"/>
        <v>-160.75700000000001</v>
      </c>
      <c r="V341" s="860">
        <f t="shared" si="222"/>
        <v>-168.411</v>
      </c>
      <c r="W341" s="860">
        <f t="shared" si="222"/>
        <v>-167.255</v>
      </c>
      <c r="X341" s="860">
        <f t="shared" si="222"/>
        <v>-181.726</v>
      </c>
      <c r="Y341" s="860">
        <f t="shared" si="222"/>
        <v>-192.072</v>
      </c>
      <c r="Z341" s="860">
        <f t="shared" si="222"/>
        <v>-211.27920000000003</v>
      </c>
      <c r="AA341" s="860">
        <f t="shared" si="222"/>
        <v>-232.40712000000005</v>
      </c>
      <c r="AB341" s="860">
        <f t="shared" si="222"/>
        <v>-255.64783200000008</v>
      </c>
      <c r="AC341" s="860">
        <f t="shared" si="222"/>
        <v>-281.21261520000013</v>
      </c>
      <c r="AD341" s="860">
        <f t="shared" si="222"/>
        <v>-309.33387672000015</v>
      </c>
      <c r="AE341" s="860">
        <f t="shared" si="222"/>
        <v>-340.26726439200019</v>
      </c>
      <c r="AF341" s="860">
        <f t="shared" si="222"/>
        <v>-374.29399083120023</v>
      </c>
      <c r="AG341" s="860">
        <f t="shared" si="222"/>
        <v>-411.72338991432031</v>
      </c>
      <c r="AH341" s="860">
        <f t="shared" si="222"/>
        <v>-452.89572890575238</v>
      </c>
      <c r="AI341" s="860">
        <f t="shared" si="222"/>
        <v>-498.18530179632768</v>
      </c>
      <c r="AJ341" s="267"/>
      <c r="AK341" s="267"/>
      <c r="AL341" s="267"/>
      <c r="AM341" s="267"/>
      <c r="AN341" s="267"/>
      <c r="AO341" s="267"/>
      <c r="AP341" s="267"/>
      <c r="AQ341" s="267"/>
      <c r="AR341" s="267"/>
    </row>
    <row r="342" spans="1:44" ht="15.75">
      <c r="A342" s="267"/>
      <c r="B342" s="520" t="s">
        <v>301</v>
      </c>
      <c r="C342" s="523"/>
      <c r="D342" s="523">
        <f t="shared" ref="D342:AI342" si="223">SUM(D335:D341)</f>
        <v>0</v>
      </c>
      <c r="E342" s="523">
        <f t="shared" si="223"/>
        <v>0</v>
      </c>
      <c r="F342" s="523">
        <f t="shared" si="223"/>
        <v>0</v>
      </c>
      <c r="G342" s="523">
        <f t="shared" si="223"/>
        <v>0</v>
      </c>
      <c r="H342" s="523">
        <f t="shared" si="223"/>
        <v>0</v>
      </c>
      <c r="I342" s="523">
        <f t="shared" si="223"/>
        <v>0</v>
      </c>
      <c r="J342" s="523">
        <f t="shared" si="223"/>
        <v>0</v>
      </c>
      <c r="K342" s="523">
        <f t="shared" si="223"/>
        <v>0</v>
      </c>
      <c r="L342" s="523">
        <f t="shared" si="223"/>
        <v>1500.56</v>
      </c>
      <c r="M342" s="523">
        <f t="shared" si="223"/>
        <v>1889.6</v>
      </c>
      <c r="N342" s="523">
        <f t="shared" si="223"/>
        <v>2208.212</v>
      </c>
      <c r="O342" s="523">
        <f t="shared" si="223"/>
        <v>2698.6477599999998</v>
      </c>
      <c r="P342" s="523">
        <f t="shared" si="223"/>
        <v>3648.84</v>
      </c>
      <c r="Q342" s="523">
        <f t="shared" si="223"/>
        <v>3852.1749999999993</v>
      </c>
      <c r="R342" s="523">
        <f t="shared" si="223"/>
        <v>4529.7119999999995</v>
      </c>
      <c r="S342" s="523">
        <f t="shared" si="223"/>
        <v>4237.74</v>
      </c>
      <c r="T342" s="523">
        <f t="shared" si="223"/>
        <v>4339.92</v>
      </c>
      <c r="U342" s="523">
        <f t="shared" si="223"/>
        <v>4613.6230000000005</v>
      </c>
      <c r="V342" s="523">
        <f t="shared" si="223"/>
        <v>3678.5510300000005</v>
      </c>
      <c r="W342" s="523">
        <f t="shared" si="223"/>
        <v>2740.7638000000002</v>
      </c>
      <c r="X342" s="523">
        <f t="shared" si="223"/>
        <v>2363.8393999999998</v>
      </c>
      <c r="Y342" s="523">
        <f>SUM(Y335:Y341)</f>
        <v>2814.8577999999998</v>
      </c>
      <c r="Z342" s="523">
        <f t="shared" si="223"/>
        <v>3963.9332212597537</v>
      </c>
      <c r="AA342" s="523">
        <f t="shared" si="223"/>
        <v>4744.5734332547527</v>
      </c>
      <c r="AB342" s="523">
        <f t="shared" si="223"/>
        <v>5887.4171437726372</v>
      </c>
      <c r="AC342" s="523">
        <f t="shared" si="223"/>
        <v>6754.4582718960646</v>
      </c>
      <c r="AD342" s="523">
        <f t="shared" si="223"/>
        <v>7508.5841846727635</v>
      </c>
      <c r="AE342" s="523">
        <f t="shared" si="223"/>
        <v>8006.5307840658397</v>
      </c>
      <c r="AF342" s="523">
        <f t="shared" si="223"/>
        <v>8494.8085704459518</v>
      </c>
      <c r="AG342" s="523">
        <f t="shared" si="223"/>
        <v>8999.0977931390098</v>
      </c>
      <c r="AH342" s="523">
        <f t="shared" si="223"/>
        <v>9501.5307974553161</v>
      </c>
      <c r="AI342" s="523">
        <f t="shared" si="223"/>
        <v>10048.09372520238</v>
      </c>
      <c r="AJ342" s="267"/>
      <c r="AK342" s="267"/>
      <c r="AL342" s="267"/>
      <c r="AM342" s="267"/>
      <c r="AN342" s="267"/>
      <c r="AO342" s="267"/>
      <c r="AP342" s="267"/>
      <c r="AQ342" s="267"/>
      <c r="AR342" s="267"/>
    </row>
    <row r="343" spans="1:44" ht="15.75">
      <c r="A343" s="267"/>
      <c r="B343" s="521" t="s">
        <v>302</v>
      </c>
      <c r="C343" s="555"/>
      <c r="D343" s="555"/>
      <c r="E343" s="555"/>
      <c r="F343" s="555"/>
      <c r="G343" s="555"/>
      <c r="H343" s="555"/>
      <c r="I343" s="548"/>
      <c r="J343" s="548"/>
      <c r="K343" s="548"/>
      <c r="L343" s="548">
        <f t="shared" ref="L343:AI343" si="224">L342/(L348/2)</f>
        <v>1.7466112382751551</v>
      </c>
      <c r="M343" s="548">
        <f t="shared" si="224"/>
        <v>2.1991092304165112</v>
      </c>
      <c r="N343" s="548">
        <f t="shared" si="224"/>
        <v>2.5699086536391325</v>
      </c>
      <c r="O343" s="548">
        <f t="shared" si="224"/>
        <v>3.1406759095357968</v>
      </c>
      <c r="P343" s="548">
        <f t="shared" si="224"/>
        <v>4.246505992968344</v>
      </c>
      <c r="Q343" s="548">
        <f t="shared" si="224"/>
        <v>4.4831464858592938</v>
      </c>
      <c r="R343" s="548">
        <f t="shared" si="224"/>
        <v>5.2716614470408736</v>
      </c>
      <c r="S343" s="548">
        <f t="shared" si="224"/>
        <v>4.931865553612016</v>
      </c>
      <c r="T343" s="548">
        <f t="shared" si="224"/>
        <v>5.0461956332162066</v>
      </c>
      <c r="U343" s="548">
        <f t="shared" si="224"/>
        <v>5.3804689577317619</v>
      </c>
      <c r="V343" s="548">
        <f t="shared" si="224"/>
        <v>4.2892676863520167</v>
      </c>
      <c r="W343" s="548">
        <f t="shared" si="224"/>
        <v>3.1925011109486836</v>
      </c>
      <c r="X343" s="548">
        <f t="shared" si="224"/>
        <v>2.7534513957767057</v>
      </c>
      <c r="Y343" s="548">
        <f t="shared" si="224"/>
        <v>3.2802459784366826</v>
      </c>
      <c r="Z343" s="548">
        <f t="shared" si="224"/>
        <v>4.6193011980316987</v>
      </c>
      <c r="AA343" s="548">
        <f t="shared" si="224"/>
        <v>5.5290068023441279</v>
      </c>
      <c r="AB343" s="548">
        <f t="shared" si="224"/>
        <v>6.8608000053286435</v>
      </c>
      <c r="AC343" s="548">
        <f t="shared" si="224"/>
        <v>7.8711914267589114</v>
      </c>
      <c r="AD343" s="548">
        <f t="shared" si="224"/>
        <v>8.7499990498724696</v>
      </c>
      <c r="AE343" s="548">
        <f t="shared" si="224"/>
        <v>9.3302725294547635</v>
      </c>
      <c r="AF343" s="548">
        <f t="shared" si="224"/>
        <v>9.899278624587998</v>
      </c>
      <c r="AG343" s="548">
        <f t="shared" si="224"/>
        <v>10.48694337081705</v>
      </c>
      <c r="AH343" s="548">
        <f t="shared" si="224"/>
        <v>11.072445004982166</v>
      </c>
      <c r="AI343" s="548">
        <f t="shared" si="224"/>
        <v>11.709372684137</v>
      </c>
      <c r="AJ343" s="267"/>
      <c r="AK343" s="267"/>
      <c r="AL343" s="267"/>
      <c r="AM343" s="267"/>
      <c r="AN343" s="267"/>
      <c r="AO343" s="267"/>
      <c r="AP343" s="267"/>
      <c r="AQ343" s="267"/>
      <c r="AR343" s="267"/>
    </row>
    <row r="344" spans="1:44" ht="15.75">
      <c r="A344" s="267"/>
      <c r="B344" s="521" t="s">
        <v>131</v>
      </c>
      <c r="C344" s="527"/>
      <c r="D344" s="527"/>
      <c r="E344" s="527"/>
      <c r="F344" s="527"/>
      <c r="G344" s="527"/>
      <c r="H344" s="527"/>
      <c r="I344" s="527"/>
      <c r="J344" s="527"/>
      <c r="K344" s="527"/>
      <c r="L344" s="527"/>
      <c r="M344" s="527">
        <f t="shared" ref="M344:AI344" si="225">M343/L343-1</f>
        <v>0.25907195729956212</v>
      </c>
      <c r="N344" s="527">
        <f t="shared" si="225"/>
        <v>0.1686134631668077</v>
      </c>
      <c r="O344" s="527">
        <f t="shared" si="225"/>
        <v>0.22209632046198458</v>
      </c>
      <c r="P344" s="527">
        <f t="shared" si="225"/>
        <v>0.35209939366077192</v>
      </c>
      <c r="Q344" s="527">
        <f t="shared" si="225"/>
        <v>5.5725929336446267E-2</v>
      </c>
      <c r="R344" s="527">
        <f t="shared" si="225"/>
        <v>0.17588427317035205</v>
      </c>
      <c r="S344" s="527">
        <f t="shared" si="225"/>
        <v>-6.4457078065890294E-2</v>
      </c>
      <c r="T344" s="527">
        <f t="shared" si="225"/>
        <v>2.3181913286435263E-2</v>
      </c>
      <c r="U344" s="527">
        <f t="shared" si="225"/>
        <v>6.6242640755983739E-2</v>
      </c>
      <c r="V344" s="527">
        <f t="shared" si="225"/>
        <v>-0.20280783700307081</v>
      </c>
      <c r="W344" s="527">
        <f t="shared" si="225"/>
        <v>-0.25570019304067337</v>
      </c>
      <c r="X344" s="527">
        <f t="shared" si="225"/>
        <v>-0.13752531319918937</v>
      </c>
      <c r="Y344" s="527">
        <f t="shared" si="225"/>
        <v>0.19132154773749921</v>
      </c>
      <c r="Z344" s="527">
        <f t="shared" si="225"/>
        <v>0.40821792889848774</v>
      </c>
      <c r="AA344" s="527">
        <f t="shared" si="225"/>
        <v>0.19693576264307211</v>
      </c>
      <c r="AB344" s="527">
        <f t="shared" si="225"/>
        <v>0.2408738586503234</v>
      </c>
      <c r="AC344" s="527">
        <f t="shared" si="225"/>
        <v>0.1472702047349459</v>
      </c>
      <c r="AD344" s="527">
        <f t="shared" si="225"/>
        <v>0.11164861524342595</v>
      </c>
      <c r="AE344" s="527">
        <f t="shared" si="225"/>
        <v>6.6316976296214802E-2</v>
      </c>
      <c r="AF344" s="527">
        <f t="shared" si="225"/>
        <v>6.0984938364547991E-2</v>
      </c>
      <c r="AG344" s="527">
        <f t="shared" si="225"/>
        <v>5.936440103518259E-2</v>
      </c>
      <c r="AH344" s="527">
        <f t="shared" si="225"/>
        <v>5.5831486207357894E-2</v>
      </c>
      <c r="AI344" s="527">
        <f t="shared" si="225"/>
        <v>5.7523670595631016E-2</v>
      </c>
      <c r="AJ344" s="267"/>
      <c r="AK344" s="267"/>
      <c r="AL344" s="267"/>
      <c r="AM344" s="267"/>
      <c r="AN344" s="267"/>
      <c r="AO344" s="267"/>
      <c r="AP344" s="267"/>
      <c r="AQ344" s="267"/>
      <c r="AR344" s="267"/>
    </row>
    <row r="345" spans="1:44" ht="15.75">
      <c r="A345" s="267"/>
      <c r="B345" s="521"/>
      <c r="C345" s="521"/>
      <c r="D345" s="521"/>
      <c r="E345" s="542"/>
      <c r="F345" s="521"/>
      <c r="G345" s="534"/>
      <c r="H345" s="521"/>
      <c r="I345" s="521"/>
      <c r="J345" s="521"/>
      <c r="K345" s="521"/>
      <c r="L345" s="521"/>
      <c r="M345" s="521"/>
      <c r="N345" s="521"/>
      <c r="O345" s="521"/>
      <c r="P345" s="521"/>
      <c r="Q345" s="521"/>
      <c r="R345" s="521"/>
      <c r="S345" s="521"/>
      <c r="T345" s="521"/>
      <c r="U345" s="521"/>
      <c r="V345" s="521"/>
      <c r="W345" s="521"/>
      <c r="X345" s="521"/>
      <c r="Y345" s="521"/>
      <c r="Z345" s="521"/>
      <c r="AA345" s="521"/>
      <c r="AB345" s="521"/>
      <c r="AC345" s="521"/>
      <c r="AD345" s="521"/>
      <c r="AE345" s="521"/>
      <c r="AF345" s="521"/>
      <c r="AG345" s="521"/>
      <c r="AH345" s="521"/>
      <c r="AI345" s="521"/>
      <c r="AJ345" s="267"/>
      <c r="AK345" s="267"/>
      <c r="AL345" s="267"/>
      <c r="AM345" s="267"/>
      <c r="AN345" s="267"/>
      <c r="AO345" s="267"/>
      <c r="AP345" s="267"/>
      <c r="AQ345" s="267"/>
      <c r="AR345" s="267"/>
    </row>
    <row r="346" spans="1:44" ht="15.75">
      <c r="A346" s="268"/>
      <c r="B346" s="520" t="s">
        <v>303</v>
      </c>
      <c r="C346" s="521"/>
      <c r="D346" s="521"/>
      <c r="E346" s="542"/>
      <c r="F346" s="521"/>
      <c r="G346" s="534"/>
      <c r="H346" s="521"/>
      <c r="I346" s="521"/>
      <c r="J346" s="521"/>
      <c r="K346" s="521"/>
      <c r="L346" s="521"/>
      <c r="M346" s="521"/>
      <c r="N346" s="521"/>
      <c r="O346" s="521"/>
      <c r="P346" s="521"/>
      <c r="Q346" s="521"/>
      <c r="R346" s="521"/>
      <c r="S346" s="521"/>
      <c r="T346" s="521"/>
      <c r="U346" s="521"/>
      <c r="V346" s="521"/>
      <c r="W346" s="521"/>
      <c r="X346" s="542"/>
      <c r="Y346" s="542"/>
      <c r="Z346" s="521"/>
      <c r="AA346" s="521"/>
      <c r="AB346" s="521"/>
      <c r="AC346" s="521"/>
      <c r="AD346" s="521"/>
      <c r="AE346" s="521"/>
      <c r="AF346" s="521"/>
      <c r="AG346" s="521"/>
      <c r="AH346" s="521"/>
      <c r="AI346" s="521"/>
      <c r="AJ346" s="267"/>
      <c r="AK346" s="267"/>
      <c r="AL346" s="267"/>
      <c r="AM346" s="267"/>
      <c r="AN346" s="267"/>
      <c r="AO346" s="267"/>
      <c r="AP346" s="267"/>
      <c r="AQ346" s="267"/>
      <c r="AR346" s="267"/>
    </row>
    <row r="347" spans="1:44" ht="15.75">
      <c r="A347" s="267"/>
      <c r="B347" s="521"/>
      <c r="C347" s="521"/>
      <c r="D347" s="521"/>
      <c r="E347" s="542"/>
      <c r="F347" s="521"/>
      <c r="G347" s="534"/>
      <c r="H347" s="521"/>
      <c r="I347" s="521"/>
      <c r="J347" s="521"/>
      <c r="K347" s="521"/>
      <c r="L347" s="521"/>
      <c r="M347" s="521"/>
      <c r="N347" s="521"/>
      <c r="O347" s="521"/>
      <c r="P347" s="521"/>
      <c r="Q347" s="521"/>
      <c r="R347" s="521"/>
      <c r="S347" s="521"/>
      <c r="T347" s="521"/>
      <c r="U347" s="521"/>
      <c r="V347" s="521"/>
      <c r="W347" s="521"/>
      <c r="X347" s="521"/>
      <c r="Y347" s="521"/>
      <c r="Z347" s="521"/>
      <c r="AA347" s="521"/>
      <c r="AB347" s="521"/>
      <c r="AC347" s="521"/>
      <c r="AD347" s="521"/>
      <c r="AE347" s="521"/>
      <c r="AF347" s="521"/>
      <c r="AG347" s="521"/>
      <c r="AH347" s="521"/>
      <c r="AI347" s="521"/>
      <c r="AJ347" s="267"/>
      <c r="AK347" s="267"/>
      <c r="AL347" s="267"/>
      <c r="AM347" s="267"/>
      <c r="AN347" s="267"/>
      <c r="AO347" s="267"/>
      <c r="AP347" s="267"/>
      <c r="AQ347" s="267"/>
      <c r="AR347" s="267"/>
    </row>
    <row r="348" spans="1:44" ht="15.75">
      <c r="A348" s="267"/>
      <c r="B348" s="521" t="s">
        <v>304</v>
      </c>
      <c r="C348" s="537"/>
      <c r="D348" s="537"/>
      <c r="E348" s="537"/>
      <c r="F348" s="537"/>
      <c r="G348" s="537"/>
      <c r="H348" s="537"/>
      <c r="I348" s="537">
        <v>1718.2529999999999</v>
      </c>
      <c r="J348" s="537">
        <v>1718.2529999999999</v>
      </c>
      <c r="K348" s="537">
        <v>1718.2529999999999</v>
      </c>
      <c r="L348" s="537">
        <v>1718.2529999999999</v>
      </c>
      <c r="M348" s="537">
        <v>1718.5139999999999</v>
      </c>
      <c r="N348" s="537">
        <v>1718.5139999999999</v>
      </c>
      <c r="O348" s="522">
        <f>N348+O349</f>
        <v>1718.5139999999999</v>
      </c>
      <c r="P348" s="522">
        <f>O348+P349</f>
        <v>1718.5139999999999</v>
      </c>
      <c r="Q348" s="522">
        <f>P348+Q349</f>
        <v>1718.5139999999999</v>
      </c>
      <c r="R348" s="522">
        <f>Q348+R349</f>
        <v>1718.5139999999999</v>
      </c>
      <c r="S348" s="522">
        <f>R348+S349</f>
        <v>1718.5139999999999</v>
      </c>
      <c r="T348" s="537">
        <v>1720.076</v>
      </c>
      <c r="U348" s="537">
        <v>1714.952</v>
      </c>
      <c r="V348" s="537">
        <f>1721.356-6.121</f>
        <v>1715.2349999999999</v>
      </c>
      <c r="W348" s="537">
        <f>1721.356-4.355</f>
        <v>1717.001</v>
      </c>
      <c r="X348" s="537">
        <f>1721.356-4.355</f>
        <v>1717.001</v>
      </c>
      <c r="Y348" s="537">
        <f>1721.356-5.108</f>
        <v>1716.248</v>
      </c>
      <c r="Z348" s="522">
        <f t="shared" ref="Z348:AI348" si="226">Y348+Z349</f>
        <v>1716.248</v>
      </c>
      <c r="AA348" s="522">
        <f t="shared" si="226"/>
        <v>1716.248</v>
      </c>
      <c r="AB348" s="522">
        <f t="shared" si="226"/>
        <v>1716.248</v>
      </c>
      <c r="AC348" s="522">
        <f t="shared" si="226"/>
        <v>1716.248</v>
      </c>
      <c r="AD348" s="522">
        <f t="shared" si="226"/>
        <v>1716.248</v>
      </c>
      <c r="AE348" s="522">
        <f t="shared" si="226"/>
        <v>1716.248</v>
      </c>
      <c r="AF348" s="522">
        <f t="shared" si="226"/>
        <v>1716.248</v>
      </c>
      <c r="AG348" s="522">
        <f t="shared" si="226"/>
        <v>1716.248</v>
      </c>
      <c r="AH348" s="522">
        <f t="shared" si="226"/>
        <v>1716.248</v>
      </c>
      <c r="AI348" s="522">
        <f t="shared" si="226"/>
        <v>1716.248</v>
      </c>
      <c r="AJ348" s="267"/>
      <c r="AK348" s="267"/>
      <c r="AL348" s="267"/>
      <c r="AM348" s="267"/>
      <c r="AN348" s="267"/>
      <c r="AO348" s="267"/>
      <c r="AP348" s="267"/>
      <c r="AQ348" s="267"/>
      <c r="AR348" s="267"/>
    </row>
    <row r="349" spans="1:44" ht="15.75">
      <c r="A349" s="267"/>
      <c r="B349" s="521" t="s">
        <v>305</v>
      </c>
      <c r="C349" s="522"/>
      <c r="D349" s="522"/>
      <c r="E349" s="522"/>
      <c r="F349" s="522"/>
      <c r="G349" s="522"/>
      <c r="H349" s="522"/>
      <c r="I349" s="522"/>
      <c r="J349" s="542">
        <f>J348-I348</f>
        <v>0</v>
      </c>
      <c r="K349" s="542">
        <f>K348-J348</f>
        <v>0</v>
      </c>
      <c r="L349" s="542">
        <f>L348-K348</f>
        <v>0</v>
      </c>
      <c r="M349" s="542">
        <f>M348-L348</f>
        <v>0.26099999999996726</v>
      </c>
      <c r="N349" s="542">
        <f>N348-M348</f>
        <v>0</v>
      </c>
      <c r="O349" s="553">
        <v>0</v>
      </c>
      <c r="P349" s="553">
        <v>0</v>
      </c>
      <c r="Q349" s="553">
        <v>0</v>
      </c>
      <c r="R349" s="553">
        <v>0</v>
      </c>
      <c r="S349" s="553">
        <v>0</v>
      </c>
      <c r="T349" s="554">
        <f t="shared" ref="T349:Y349" si="227">T348-S348</f>
        <v>1.5620000000001255</v>
      </c>
      <c r="U349" s="554">
        <f t="shared" si="227"/>
        <v>-5.1240000000000236</v>
      </c>
      <c r="V349" s="554">
        <f t="shared" si="227"/>
        <v>0.28299999999990177</v>
      </c>
      <c r="W349" s="554">
        <f t="shared" si="227"/>
        <v>1.7660000000000764</v>
      </c>
      <c r="X349" s="554">
        <f t="shared" si="227"/>
        <v>0</v>
      </c>
      <c r="Y349" s="554">
        <f t="shared" si="227"/>
        <v>-0.75299999999992906</v>
      </c>
      <c r="Z349" s="553">
        <v>0</v>
      </c>
      <c r="AA349" s="553">
        <v>0</v>
      </c>
      <c r="AB349" s="553">
        <v>0</v>
      </c>
      <c r="AC349" s="553">
        <v>0</v>
      </c>
      <c r="AD349" s="553">
        <v>0</v>
      </c>
      <c r="AE349" s="553">
        <v>0</v>
      </c>
      <c r="AF349" s="553">
        <v>0</v>
      </c>
      <c r="AG349" s="553">
        <v>0</v>
      </c>
      <c r="AH349" s="553">
        <v>0</v>
      </c>
      <c r="AI349" s="553">
        <v>0</v>
      </c>
      <c r="AJ349" s="267"/>
      <c r="AK349" s="267"/>
      <c r="AL349" s="267"/>
      <c r="AM349" s="267"/>
      <c r="AN349" s="267"/>
      <c r="AO349" s="267"/>
      <c r="AP349" s="267"/>
      <c r="AQ349" s="267"/>
      <c r="AR349" s="267"/>
    </row>
    <row r="350" spans="1:44" ht="15.75">
      <c r="A350" s="267"/>
      <c r="B350" s="521" t="s">
        <v>306</v>
      </c>
      <c r="C350" s="554"/>
      <c r="D350" s="554"/>
      <c r="E350" s="554"/>
      <c r="F350" s="554"/>
      <c r="G350" s="554"/>
      <c r="H350" s="554"/>
      <c r="I350" s="554"/>
      <c r="J350" s="554">
        <f t="shared" ref="J350:AI350" si="228">(I348+J348)/2</f>
        <v>1718.2529999999999</v>
      </c>
      <c r="K350" s="554">
        <f t="shared" si="228"/>
        <v>1718.2529999999999</v>
      </c>
      <c r="L350" s="554">
        <f t="shared" si="228"/>
        <v>1718.2529999999999</v>
      </c>
      <c r="M350" s="554">
        <f t="shared" si="228"/>
        <v>1718.3834999999999</v>
      </c>
      <c r="N350" s="554">
        <f t="shared" si="228"/>
        <v>1718.5139999999999</v>
      </c>
      <c r="O350" s="554">
        <f t="shared" si="228"/>
        <v>1718.5139999999999</v>
      </c>
      <c r="P350" s="554">
        <f t="shared" si="228"/>
        <v>1718.5139999999999</v>
      </c>
      <c r="Q350" s="554">
        <f t="shared" si="228"/>
        <v>1718.5139999999999</v>
      </c>
      <c r="R350" s="554">
        <f t="shared" si="228"/>
        <v>1718.5139999999999</v>
      </c>
      <c r="S350" s="554">
        <f t="shared" si="228"/>
        <v>1718.5139999999999</v>
      </c>
      <c r="T350" s="554">
        <f t="shared" si="228"/>
        <v>1719.2950000000001</v>
      </c>
      <c r="U350" s="554">
        <f t="shared" si="228"/>
        <v>1717.5140000000001</v>
      </c>
      <c r="V350" s="554">
        <f t="shared" si="228"/>
        <v>1715.0934999999999</v>
      </c>
      <c r="W350" s="554">
        <f t="shared" si="228"/>
        <v>1716.1179999999999</v>
      </c>
      <c r="X350" s="554">
        <f t="shared" si="228"/>
        <v>1717.001</v>
      </c>
      <c r="Y350" s="554">
        <f t="shared" si="228"/>
        <v>1716.6244999999999</v>
      </c>
      <c r="Z350" s="554">
        <f t="shared" si="228"/>
        <v>1716.248</v>
      </c>
      <c r="AA350" s="554">
        <f t="shared" si="228"/>
        <v>1716.248</v>
      </c>
      <c r="AB350" s="554">
        <f t="shared" si="228"/>
        <v>1716.248</v>
      </c>
      <c r="AC350" s="554">
        <f t="shared" si="228"/>
        <v>1716.248</v>
      </c>
      <c r="AD350" s="554">
        <f t="shared" si="228"/>
        <v>1716.248</v>
      </c>
      <c r="AE350" s="554">
        <f t="shared" si="228"/>
        <v>1716.248</v>
      </c>
      <c r="AF350" s="554">
        <f t="shared" si="228"/>
        <v>1716.248</v>
      </c>
      <c r="AG350" s="554">
        <f t="shared" si="228"/>
        <v>1716.248</v>
      </c>
      <c r="AH350" s="554">
        <f t="shared" si="228"/>
        <v>1716.248</v>
      </c>
      <c r="AI350" s="554">
        <f t="shared" si="228"/>
        <v>1716.248</v>
      </c>
      <c r="AJ350" s="267"/>
      <c r="AK350" s="267"/>
      <c r="AL350" s="267"/>
      <c r="AM350" s="267"/>
      <c r="AN350" s="267"/>
      <c r="AO350" s="267"/>
      <c r="AP350" s="267"/>
      <c r="AQ350" s="267"/>
      <c r="AR350" s="267"/>
    </row>
    <row r="351" spans="1:44" ht="15.75">
      <c r="A351" s="267"/>
      <c r="B351" s="521"/>
      <c r="C351" s="554"/>
      <c r="D351" s="554"/>
      <c r="E351" s="554"/>
      <c r="F351" s="554"/>
      <c r="G351" s="554"/>
      <c r="H351" s="554"/>
      <c r="I351" s="554"/>
      <c r="J351" s="554"/>
      <c r="K351" s="554"/>
      <c r="L351" s="554"/>
      <c r="M351" s="554"/>
      <c r="N351" s="554"/>
      <c r="O351" s="554"/>
      <c r="P351" s="554"/>
      <c r="Q351" s="554"/>
      <c r="R351" s="554"/>
      <c r="S351" s="554"/>
      <c r="T351" s="554"/>
      <c r="U351" s="554"/>
      <c r="V351" s="554"/>
      <c r="W351" s="554"/>
      <c r="X351" s="554"/>
      <c r="Y351" s="554"/>
      <c r="Z351" s="554"/>
      <c r="AA351" s="554"/>
      <c r="AB351" s="554"/>
      <c r="AC351" s="554"/>
      <c r="AD351" s="554"/>
      <c r="AE351" s="554"/>
      <c r="AF351" s="554"/>
      <c r="AG351" s="554"/>
      <c r="AH351" s="554"/>
      <c r="AI351" s="554"/>
      <c r="AJ351" s="267"/>
      <c r="AK351" s="267"/>
      <c r="AL351" s="267"/>
      <c r="AM351" s="267"/>
      <c r="AN351" s="267"/>
      <c r="AO351" s="267"/>
      <c r="AP351" s="267"/>
      <c r="AQ351" s="267"/>
      <c r="AR351" s="267"/>
    </row>
    <row r="352" spans="1:44" ht="15.75">
      <c r="A352" s="267"/>
      <c r="B352" s="521" t="s">
        <v>307</v>
      </c>
      <c r="C352" s="537"/>
      <c r="D352" s="537"/>
      <c r="E352" s="537"/>
      <c r="F352" s="537"/>
      <c r="G352" s="537"/>
      <c r="H352" s="537"/>
      <c r="I352" s="537">
        <v>298</v>
      </c>
      <c r="J352" s="537">
        <v>298</v>
      </c>
      <c r="K352" s="537">
        <v>298</v>
      </c>
      <c r="L352" s="537">
        <v>298</v>
      </c>
      <c r="M352" s="537">
        <v>298</v>
      </c>
      <c r="N352" s="537">
        <v>298</v>
      </c>
      <c r="O352" s="522">
        <f t="shared" ref="O352:AI352" si="229">N352+O353</f>
        <v>298</v>
      </c>
      <c r="P352" s="522">
        <f t="shared" si="229"/>
        <v>298</v>
      </c>
      <c r="Q352" s="522">
        <f t="shared" si="229"/>
        <v>298</v>
      </c>
      <c r="R352" s="522">
        <f t="shared" si="229"/>
        <v>298</v>
      </c>
      <c r="S352" s="522">
        <f t="shared" si="229"/>
        <v>298</v>
      </c>
      <c r="T352" s="522">
        <f t="shared" si="229"/>
        <v>298</v>
      </c>
      <c r="U352" s="522">
        <f t="shared" si="229"/>
        <v>298</v>
      </c>
      <c r="V352" s="522">
        <f t="shared" si="229"/>
        <v>298</v>
      </c>
      <c r="W352" s="522">
        <f t="shared" si="229"/>
        <v>298</v>
      </c>
      <c r="X352" s="359">
        <f>853.789-2.178</f>
        <v>851.61099999999999</v>
      </c>
      <c r="Y352" s="359">
        <f>853.789-2.554</f>
        <v>851.23500000000001</v>
      </c>
      <c r="Z352" s="522">
        <f t="shared" si="229"/>
        <v>851.23500000000001</v>
      </c>
      <c r="AA352" s="522">
        <f t="shared" si="229"/>
        <v>851.23500000000001</v>
      </c>
      <c r="AB352" s="522">
        <f t="shared" si="229"/>
        <v>851.23500000000001</v>
      </c>
      <c r="AC352" s="522">
        <f t="shared" si="229"/>
        <v>851.23500000000001</v>
      </c>
      <c r="AD352" s="522">
        <f t="shared" si="229"/>
        <v>851.23500000000001</v>
      </c>
      <c r="AE352" s="522">
        <f t="shared" si="229"/>
        <v>851.23500000000001</v>
      </c>
      <c r="AF352" s="522">
        <f t="shared" si="229"/>
        <v>851.23500000000001</v>
      </c>
      <c r="AG352" s="522">
        <f t="shared" si="229"/>
        <v>851.23500000000001</v>
      </c>
      <c r="AH352" s="522">
        <f t="shared" si="229"/>
        <v>851.23500000000001</v>
      </c>
      <c r="AI352" s="522">
        <f t="shared" si="229"/>
        <v>851.23500000000001</v>
      </c>
      <c r="AJ352" s="267"/>
      <c r="AK352" s="267"/>
      <c r="AL352" s="267"/>
      <c r="AM352" s="267"/>
      <c r="AN352" s="267"/>
      <c r="AO352" s="267"/>
      <c r="AP352" s="267"/>
      <c r="AQ352" s="267"/>
      <c r="AR352" s="267"/>
    </row>
    <row r="353" spans="1:44" ht="15.75">
      <c r="A353" s="267"/>
      <c r="B353" s="521" t="s">
        <v>308</v>
      </c>
      <c r="C353" s="571"/>
      <c r="D353" s="571"/>
      <c r="E353" s="571"/>
      <c r="F353" s="571"/>
      <c r="G353" s="571"/>
      <c r="H353" s="571"/>
      <c r="I353" s="522"/>
      <c r="J353" s="522">
        <f>J352-I352</f>
        <v>0</v>
      </c>
      <c r="K353" s="522">
        <f>K352-J352</f>
        <v>0</v>
      </c>
      <c r="L353" s="522">
        <f>L352-K352</f>
        <v>0</v>
      </c>
      <c r="M353" s="522">
        <f>M352-L352</f>
        <v>0</v>
      </c>
      <c r="N353" s="522">
        <f>N352-M352</f>
        <v>0</v>
      </c>
      <c r="O353" s="553">
        <v>0</v>
      </c>
      <c r="P353" s="553">
        <v>0</v>
      </c>
      <c r="Q353" s="553">
        <v>0</v>
      </c>
      <c r="R353" s="553">
        <v>0</v>
      </c>
      <c r="S353" s="553">
        <v>0</v>
      </c>
      <c r="T353" s="553">
        <v>0</v>
      </c>
      <c r="U353" s="553">
        <v>0</v>
      </c>
      <c r="V353" s="553">
        <v>0</v>
      </c>
      <c r="W353" s="553">
        <v>0</v>
      </c>
      <c r="X353" s="553">
        <v>0</v>
      </c>
      <c r="Y353" s="522">
        <f>Y352-X352</f>
        <v>-0.37599999999997635</v>
      </c>
      <c r="Z353" s="553">
        <v>0</v>
      </c>
      <c r="AA353" s="553">
        <v>0</v>
      </c>
      <c r="AB353" s="553">
        <v>0</v>
      </c>
      <c r="AC353" s="553">
        <v>0</v>
      </c>
      <c r="AD353" s="553">
        <v>0</v>
      </c>
      <c r="AE353" s="553">
        <v>0</v>
      </c>
      <c r="AF353" s="553">
        <v>0</v>
      </c>
      <c r="AG353" s="553">
        <v>0</v>
      </c>
      <c r="AH353" s="553">
        <v>0</v>
      </c>
      <c r="AI353" s="553">
        <v>0</v>
      </c>
      <c r="AJ353" s="267"/>
      <c r="AK353" s="267"/>
      <c r="AL353" s="267"/>
      <c r="AM353" s="267"/>
      <c r="AN353" s="267"/>
      <c r="AO353" s="267"/>
      <c r="AP353" s="267"/>
      <c r="AQ353" s="267"/>
      <c r="AR353" s="267"/>
    </row>
    <row r="354" spans="1:44" ht="15.75">
      <c r="A354" s="267"/>
      <c r="B354" s="521" t="s">
        <v>306</v>
      </c>
      <c r="C354" s="554"/>
      <c r="D354" s="554"/>
      <c r="E354" s="554"/>
      <c r="F354" s="554"/>
      <c r="G354" s="554"/>
      <c r="H354" s="554"/>
      <c r="I354" s="554"/>
      <c r="J354" s="554">
        <f t="shared" ref="J354:AI354" si="230">(I352+J352)/2</f>
        <v>298</v>
      </c>
      <c r="K354" s="554">
        <f t="shared" si="230"/>
        <v>298</v>
      </c>
      <c r="L354" s="554">
        <f t="shared" si="230"/>
        <v>298</v>
      </c>
      <c r="M354" s="554">
        <f t="shared" si="230"/>
        <v>298</v>
      </c>
      <c r="N354" s="554">
        <f t="shared" si="230"/>
        <v>298</v>
      </c>
      <c r="O354" s="554">
        <f t="shared" si="230"/>
        <v>298</v>
      </c>
      <c r="P354" s="554">
        <f t="shared" si="230"/>
        <v>298</v>
      </c>
      <c r="Q354" s="554">
        <f t="shared" si="230"/>
        <v>298</v>
      </c>
      <c r="R354" s="554">
        <f t="shared" si="230"/>
        <v>298</v>
      </c>
      <c r="S354" s="554">
        <f t="shared" si="230"/>
        <v>298</v>
      </c>
      <c r="T354" s="554">
        <f t="shared" si="230"/>
        <v>298</v>
      </c>
      <c r="U354" s="554">
        <f t="shared" si="230"/>
        <v>298</v>
      </c>
      <c r="V354" s="554">
        <f t="shared" si="230"/>
        <v>298</v>
      </c>
      <c r="W354" s="554">
        <f t="shared" si="230"/>
        <v>298</v>
      </c>
      <c r="X354" s="554">
        <f t="shared" si="230"/>
        <v>574.80549999999994</v>
      </c>
      <c r="Y354" s="554">
        <f t="shared" si="230"/>
        <v>851.423</v>
      </c>
      <c r="Z354" s="554">
        <f t="shared" si="230"/>
        <v>851.23500000000001</v>
      </c>
      <c r="AA354" s="554">
        <f t="shared" si="230"/>
        <v>851.23500000000001</v>
      </c>
      <c r="AB354" s="554">
        <f t="shared" si="230"/>
        <v>851.23500000000001</v>
      </c>
      <c r="AC354" s="554">
        <f t="shared" si="230"/>
        <v>851.23500000000001</v>
      </c>
      <c r="AD354" s="554">
        <f t="shared" si="230"/>
        <v>851.23500000000001</v>
      </c>
      <c r="AE354" s="554">
        <f t="shared" si="230"/>
        <v>851.23500000000001</v>
      </c>
      <c r="AF354" s="554">
        <f t="shared" si="230"/>
        <v>851.23500000000001</v>
      </c>
      <c r="AG354" s="554">
        <f t="shared" si="230"/>
        <v>851.23500000000001</v>
      </c>
      <c r="AH354" s="554">
        <f t="shared" si="230"/>
        <v>851.23500000000001</v>
      </c>
      <c r="AI354" s="554">
        <f t="shared" si="230"/>
        <v>851.23500000000001</v>
      </c>
      <c r="AJ354" s="267"/>
      <c r="AK354" s="267"/>
      <c r="AL354" s="267"/>
      <c r="AM354" s="267"/>
      <c r="AN354" s="267"/>
      <c r="AO354" s="267"/>
      <c r="AP354" s="267"/>
      <c r="AQ354" s="267"/>
      <c r="AR354" s="267"/>
    </row>
    <row r="355" spans="1:44" ht="15.75">
      <c r="A355" s="267"/>
      <c r="B355" s="521"/>
      <c r="C355" s="554"/>
      <c r="D355" s="554"/>
      <c r="E355" s="554"/>
      <c r="F355" s="554"/>
      <c r="G355" s="554"/>
      <c r="H355" s="554"/>
      <c r="I355" s="554"/>
      <c r="J355" s="554"/>
      <c r="K355" s="554"/>
      <c r="L355" s="554"/>
      <c r="M355" s="554"/>
      <c r="N355" s="554"/>
      <c r="O355" s="554"/>
      <c r="P355" s="554"/>
      <c r="Q355" s="554"/>
      <c r="R355" s="554"/>
      <c r="S355" s="554"/>
      <c r="T355" s="554"/>
      <c r="U355" s="554"/>
      <c r="V355" s="554"/>
      <c r="W355" s="554"/>
      <c r="X355" s="554"/>
      <c r="Y355" s="554"/>
      <c r="Z355" s="554"/>
      <c r="AA355" s="554"/>
      <c r="AB355" s="554"/>
      <c r="AC355" s="554"/>
      <c r="AD355" s="554"/>
      <c r="AE355" s="554"/>
      <c r="AF355" s="554"/>
      <c r="AG355" s="554"/>
      <c r="AH355" s="554"/>
      <c r="AI355" s="554"/>
      <c r="AJ355" s="267"/>
      <c r="AK355" s="267"/>
      <c r="AL355" s="267"/>
      <c r="AM355" s="267"/>
      <c r="AN355" s="267"/>
      <c r="AO355" s="267"/>
      <c r="AP355" s="267"/>
      <c r="AQ355" s="267"/>
      <c r="AR355" s="267"/>
    </row>
    <row r="356" spans="1:44" ht="15.75">
      <c r="A356" s="267"/>
      <c r="B356" s="521" t="s">
        <v>309</v>
      </c>
      <c r="C356" s="571"/>
      <c r="D356" s="571"/>
      <c r="E356" s="571"/>
      <c r="F356" s="571"/>
      <c r="G356" s="571"/>
      <c r="H356" s="571"/>
      <c r="I356" s="571"/>
      <c r="J356" s="554">
        <f t="shared" ref="J356:AI356" si="231">J354*2</f>
        <v>596</v>
      </c>
      <c r="K356" s="554">
        <f t="shared" si="231"/>
        <v>596</v>
      </c>
      <c r="L356" s="554">
        <f t="shared" si="231"/>
        <v>596</v>
      </c>
      <c r="M356" s="554">
        <f t="shared" si="231"/>
        <v>596</v>
      </c>
      <c r="N356" s="554">
        <f t="shared" si="231"/>
        <v>596</v>
      </c>
      <c r="O356" s="554">
        <f t="shared" si="231"/>
        <v>596</v>
      </c>
      <c r="P356" s="554">
        <f t="shared" si="231"/>
        <v>596</v>
      </c>
      <c r="Q356" s="554">
        <f t="shared" si="231"/>
        <v>596</v>
      </c>
      <c r="R356" s="554">
        <f t="shared" si="231"/>
        <v>596</v>
      </c>
      <c r="S356" s="554">
        <f t="shared" si="231"/>
        <v>596</v>
      </c>
      <c r="T356" s="554">
        <f t="shared" si="231"/>
        <v>596</v>
      </c>
      <c r="U356" s="554">
        <f t="shared" si="231"/>
        <v>596</v>
      </c>
      <c r="V356" s="554">
        <f t="shared" si="231"/>
        <v>596</v>
      </c>
      <c r="W356" s="554">
        <f t="shared" si="231"/>
        <v>596</v>
      </c>
      <c r="X356" s="554">
        <f t="shared" si="231"/>
        <v>1149.6109999999999</v>
      </c>
      <c r="Y356" s="554">
        <f t="shared" si="231"/>
        <v>1702.846</v>
      </c>
      <c r="Z356" s="554">
        <f t="shared" si="231"/>
        <v>1702.47</v>
      </c>
      <c r="AA356" s="554">
        <f t="shared" si="231"/>
        <v>1702.47</v>
      </c>
      <c r="AB356" s="554">
        <f t="shared" si="231"/>
        <v>1702.47</v>
      </c>
      <c r="AC356" s="554">
        <f t="shared" si="231"/>
        <v>1702.47</v>
      </c>
      <c r="AD356" s="554">
        <f t="shared" si="231"/>
        <v>1702.47</v>
      </c>
      <c r="AE356" s="554">
        <f t="shared" si="231"/>
        <v>1702.47</v>
      </c>
      <c r="AF356" s="554">
        <f t="shared" si="231"/>
        <v>1702.47</v>
      </c>
      <c r="AG356" s="554">
        <f t="shared" si="231"/>
        <v>1702.47</v>
      </c>
      <c r="AH356" s="554">
        <f t="shared" si="231"/>
        <v>1702.47</v>
      </c>
      <c r="AI356" s="554">
        <f t="shared" si="231"/>
        <v>1702.47</v>
      </c>
      <c r="AJ356" s="267"/>
      <c r="AK356" s="267"/>
      <c r="AL356" s="267"/>
      <c r="AM356" s="267"/>
      <c r="AN356" s="267"/>
      <c r="AO356" s="267"/>
      <c r="AP356" s="267"/>
      <c r="AQ356" s="267"/>
      <c r="AR356" s="267"/>
    </row>
    <row r="357" spans="1:44" ht="15.75">
      <c r="A357" s="267"/>
      <c r="B357" s="521"/>
      <c r="C357" s="571"/>
      <c r="D357" s="571"/>
      <c r="E357" s="571"/>
      <c r="F357" s="571"/>
      <c r="G357" s="571"/>
      <c r="H357" s="571"/>
      <c r="I357" s="571"/>
      <c r="J357" s="571"/>
      <c r="K357" s="571"/>
      <c r="L357" s="571"/>
      <c r="M357" s="571"/>
      <c r="N357" s="571"/>
      <c r="O357" s="571"/>
      <c r="P357" s="571"/>
      <c r="Q357" s="571"/>
      <c r="R357" s="571"/>
      <c r="S357" s="571"/>
      <c r="T357" s="571"/>
      <c r="U357" s="571"/>
      <c r="V357" s="571"/>
      <c r="W357" s="571"/>
      <c r="X357" s="571"/>
      <c r="Y357" s="571"/>
      <c r="Z357" s="571"/>
      <c r="AA357" s="571"/>
      <c r="AB357" s="571"/>
      <c r="AC357" s="571"/>
      <c r="AD357" s="571"/>
      <c r="AE357" s="571"/>
      <c r="AF357" s="571"/>
      <c r="AG357" s="571"/>
      <c r="AH357" s="571"/>
      <c r="AI357" s="571"/>
      <c r="AJ357" s="267"/>
      <c r="AK357" s="267"/>
      <c r="AL357" s="267"/>
      <c r="AM357" s="267"/>
      <c r="AN357" s="267"/>
      <c r="AO357" s="267"/>
      <c r="AP357" s="267"/>
      <c r="AQ357" s="267"/>
      <c r="AR357" s="267"/>
    </row>
    <row r="358" spans="1:44" ht="15.75">
      <c r="A358" s="267"/>
      <c r="B358" s="521" t="s">
        <v>310</v>
      </c>
      <c r="C358" s="572"/>
      <c r="D358" s="572"/>
      <c r="E358" s="572"/>
      <c r="F358" s="572"/>
      <c r="G358" s="572"/>
      <c r="H358" s="572"/>
      <c r="I358" s="572"/>
      <c r="J358" s="572"/>
      <c r="K358" s="572"/>
      <c r="L358" s="572">
        <v>0.620529</v>
      </c>
      <c r="M358" s="572">
        <f>1.164085+0.330678+0.330678</f>
        <v>1.8254410000000001</v>
      </c>
      <c r="N358" s="572">
        <v>1.1399999999999999</v>
      </c>
      <c r="O358" s="572">
        <v>1.36</v>
      </c>
      <c r="P358" s="572">
        <v>1.62</v>
      </c>
      <c r="Q358" s="572">
        <v>1.78</v>
      </c>
      <c r="R358" s="572">
        <v>2.1800000000000002</v>
      </c>
      <c r="S358" s="572">
        <v>1.78</v>
      </c>
      <c r="T358" s="572">
        <v>2.56</v>
      </c>
      <c r="U358" s="572">
        <v>2.82</v>
      </c>
      <c r="V358" s="572">
        <v>2.96</v>
      </c>
      <c r="W358" s="572">
        <f>1.54*2</f>
        <v>3.08</v>
      </c>
      <c r="X358" s="572">
        <f>1.67*2</f>
        <v>3.34</v>
      </c>
      <c r="Y358" s="572">
        <f>1.85*2</f>
        <v>3.7</v>
      </c>
      <c r="Z358" s="573">
        <f>Z362/(Z348/2)</f>
        <v>4.2380463952295955</v>
      </c>
      <c r="AA358" s="573">
        <f>AA362/(AA348/2)</f>
        <v>4.8432919514196096</v>
      </c>
      <c r="AB358" s="573">
        <f t="shared" ref="AB358:AI358" si="232">AB362/(AB348/2)</f>
        <v>5.4766784293322903</v>
      </c>
      <c r="AC358" s="573">
        <f t="shared" si="232"/>
        <v>6.0643701016750695</v>
      </c>
      <c r="AD358" s="573">
        <f t="shared" si="232"/>
        <v>6.6340202036786229</v>
      </c>
      <c r="AE358" s="573">
        <f t="shared" si="232"/>
        <v>7.1100793746757995</v>
      </c>
      <c r="AF358" s="573">
        <f t="shared" si="232"/>
        <v>7.6093007925169154</v>
      </c>
      <c r="AG358" s="573">
        <f t="shared" si="232"/>
        <v>8.1327403351429339</v>
      </c>
      <c r="AH358" s="573">
        <f t="shared" si="232"/>
        <v>8.6815082705456579</v>
      </c>
      <c r="AI358" s="573">
        <f t="shared" si="232"/>
        <v>9.256772415488097</v>
      </c>
      <c r="AJ358" s="267"/>
      <c r="AK358" s="267"/>
      <c r="AL358" s="267"/>
      <c r="AM358" s="267"/>
      <c r="AN358" s="267"/>
      <c r="AO358" s="267"/>
      <c r="AP358" s="267"/>
      <c r="AQ358" s="267"/>
      <c r="AR358" s="267"/>
    </row>
    <row r="359" spans="1:44" ht="15.75">
      <c r="A359" s="267"/>
      <c r="B359" s="521" t="s">
        <v>442</v>
      </c>
      <c r="C359" s="518"/>
      <c r="D359" s="518"/>
      <c r="E359" s="518"/>
      <c r="F359" s="518"/>
      <c r="G359" s="518"/>
      <c r="H359" s="518"/>
      <c r="I359" s="518"/>
      <c r="J359" s="518"/>
      <c r="K359" s="518"/>
      <c r="L359" s="518"/>
      <c r="M359" s="556">
        <f t="shared" ref="M359:Y359" si="233">M358/L358-1</f>
        <v>1.9417497006586317</v>
      </c>
      <c r="N359" s="556">
        <f t="shared" si="233"/>
        <v>-0.37549337392991622</v>
      </c>
      <c r="O359" s="556">
        <f t="shared" si="233"/>
        <v>0.19298245614035103</v>
      </c>
      <c r="P359" s="556">
        <f t="shared" si="233"/>
        <v>0.19117647058823528</v>
      </c>
      <c r="Q359" s="556">
        <f t="shared" si="233"/>
        <v>9.8765432098765427E-2</v>
      </c>
      <c r="R359" s="556">
        <f t="shared" si="233"/>
        <v>0.22471910112359561</v>
      </c>
      <c r="S359" s="556">
        <f t="shared" si="233"/>
        <v>-0.1834862385321101</v>
      </c>
      <c r="T359" s="556">
        <f t="shared" si="233"/>
        <v>0.4382022471910112</v>
      </c>
      <c r="U359" s="556">
        <f t="shared" si="233"/>
        <v>0.1015625</v>
      </c>
      <c r="V359" s="556">
        <f t="shared" si="233"/>
        <v>4.9645390070921946E-2</v>
      </c>
      <c r="W359" s="556">
        <f t="shared" si="233"/>
        <v>4.0540540540540571E-2</v>
      </c>
      <c r="X359" s="556">
        <f t="shared" si="233"/>
        <v>8.4415584415584277E-2</v>
      </c>
      <c r="Y359" s="556">
        <f t="shared" si="233"/>
        <v>0.10778443113772473</v>
      </c>
      <c r="Z359" s="556">
        <f t="shared" ref="Z359" si="234">Z358/Y358-1</f>
        <v>0.14541794465664748</v>
      </c>
      <c r="AA359" s="556">
        <f t="shared" ref="AA359" si="235">AA358/Z358-1</f>
        <v>0.14281239508639798</v>
      </c>
      <c r="AB359" s="556">
        <f t="shared" ref="AB359" si="236">AB358/AA358-1</f>
        <v>0.1307760267739031</v>
      </c>
      <c r="AC359" s="556">
        <f t="shared" ref="AC359" si="237">AC358/AB358-1</f>
        <v>0.1073080481036075</v>
      </c>
      <c r="AD359" s="556">
        <f t="shared" ref="AD359" si="238">AD358/AC358-1</f>
        <v>9.3933927588985222E-2</v>
      </c>
      <c r="AE359" s="556">
        <f t="shared" ref="AE359" si="239">AE358/AD358-1</f>
        <v>7.1760283565792893E-2</v>
      </c>
      <c r="AF359" s="556">
        <f t="shared" ref="AF359" si="240">AF358/AE358-1</f>
        <v>7.0213198972040924E-2</v>
      </c>
      <c r="AG359" s="556">
        <f t="shared" ref="AG359" si="241">AG358/AF358-1</f>
        <v>6.8789440304525273E-2</v>
      </c>
      <c r="AH359" s="556">
        <f t="shared" ref="AH359" si="242">AH358/AG358-1</f>
        <v>6.7476387144860039E-2</v>
      </c>
      <c r="AI359" s="556">
        <f t="shared" ref="AI359" si="243">AI358/AH358-1</f>
        <v>6.626315693255469E-2</v>
      </c>
      <c r="AJ359" s="267"/>
      <c r="AK359" s="267"/>
      <c r="AL359" s="267"/>
      <c r="AM359" s="267"/>
      <c r="AN359" s="267"/>
      <c r="AO359" s="267"/>
      <c r="AP359" s="267"/>
      <c r="AQ359" s="267"/>
      <c r="AR359" s="267"/>
    </row>
    <row r="360" spans="1:44" ht="15.75">
      <c r="A360" s="267"/>
      <c r="B360" s="521" t="s">
        <v>3387</v>
      </c>
      <c r="C360" s="527"/>
      <c r="D360" s="527"/>
      <c r="E360" s="527"/>
      <c r="F360" s="527"/>
      <c r="G360" s="527"/>
      <c r="H360" s="527"/>
      <c r="I360" s="527"/>
      <c r="J360" s="554"/>
      <c r="K360" s="554"/>
      <c r="L360" s="573">
        <f t="shared" ref="L360:T360" si="244">L358/2</f>
        <v>0.3102645</v>
      </c>
      <c r="M360" s="573">
        <f t="shared" si="244"/>
        <v>0.91272050000000005</v>
      </c>
      <c r="N360" s="573">
        <f t="shared" si="244"/>
        <v>0.56999999999999995</v>
      </c>
      <c r="O360" s="573">
        <f t="shared" si="244"/>
        <v>0.68</v>
      </c>
      <c r="P360" s="573">
        <f t="shared" si="244"/>
        <v>0.81</v>
      </c>
      <c r="Q360" s="573">
        <f t="shared" si="244"/>
        <v>0.89</v>
      </c>
      <c r="R360" s="573">
        <f t="shared" si="244"/>
        <v>1.0900000000000001</v>
      </c>
      <c r="S360" s="573">
        <f t="shared" si="244"/>
        <v>0.89</v>
      </c>
      <c r="T360" s="573">
        <f t="shared" si="244"/>
        <v>1.28</v>
      </c>
      <c r="U360" s="573">
        <f t="shared" ref="U360:AI360" si="245">U358/2</f>
        <v>1.41</v>
      </c>
      <c r="V360" s="573">
        <f t="shared" si="245"/>
        <v>1.48</v>
      </c>
      <c r="W360" s="573">
        <f t="shared" si="245"/>
        <v>1.54</v>
      </c>
      <c r="X360" s="573">
        <f t="shared" si="245"/>
        <v>1.67</v>
      </c>
      <c r="Y360" s="573">
        <f t="shared" si="245"/>
        <v>1.85</v>
      </c>
      <c r="Z360" s="573">
        <f t="shared" si="245"/>
        <v>2.1190231976147977</v>
      </c>
      <c r="AA360" s="573">
        <f t="shared" si="245"/>
        <v>2.4216459757098048</v>
      </c>
      <c r="AB360" s="573">
        <f t="shared" si="245"/>
        <v>2.7383392146661452</v>
      </c>
      <c r="AC360" s="573">
        <f t="shared" si="245"/>
        <v>3.0321850508375348</v>
      </c>
      <c r="AD360" s="573">
        <f t="shared" si="245"/>
        <v>3.3170101018393114</v>
      </c>
      <c r="AE360" s="573">
        <f t="shared" si="245"/>
        <v>3.5550396873378998</v>
      </c>
      <c r="AF360" s="573">
        <f t="shared" si="245"/>
        <v>3.8046503962584577</v>
      </c>
      <c r="AG360" s="573">
        <f t="shared" si="245"/>
        <v>4.066370167571467</v>
      </c>
      <c r="AH360" s="573">
        <f t="shared" si="245"/>
        <v>4.3407541352728289</v>
      </c>
      <c r="AI360" s="573">
        <f t="shared" si="245"/>
        <v>4.6283862077440485</v>
      </c>
      <c r="AJ360" s="267"/>
      <c r="AK360" s="267"/>
      <c r="AL360" s="267"/>
      <c r="AM360" s="267"/>
      <c r="AN360" s="267"/>
      <c r="AO360" s="267"/>
      <c r="AP360" s="267"/>
      <c r="AQ360" s="267"/>
      <c r="AR360" s="267"/>
    </row>
    <row r="361" spans="1:44" ht="15.75">
      <c r="A361" s="267"/>
      <c r="B361" s="521"/>
      <c r="C361" s="527"/>
      <c r="D361" s="527"/>
      <c r="E361" s="527"/>
      <c r="F361" s="527"/>
      <c r="G361" s="527"/>
      <c r="H361" s="527"/>
      <c r="I361" s="527"/>
      <c r="J361" s="554"/>
      <c r="K361" s="554"/>
      <c r="L361" s="527"/>
      <c r="M361" s="527"/>
      <c r="N361" s="527"/>
      <c r="O361" s="527"/>
      <c r="P361" s="527"/>
      <c r="Q361" s="527"/>
      <c r="R361" s="527"/>
      <c r="S361" s="527"/>
      <c r="T361" s="527"/>
      <c r="U361" s="573"/>
      <c r="V361" s="573"/>
      <c r="Y361" s="573"/>
      <c r="Z361" s="573"/>
      <c r="AA361" s="527"/>
      <c r="AB361" s="527"/>
      <c r="AC361" s="527"/>
      <c r="AD361" s="527"/>
      <c r="AE361" s="527"/>
      <c r="AF361" s="527"/>
      <c r="AG361" s="527"/>
      <c r="AH361" s="527"/>
      <c r="AI361" s="527"/>
      <c r="AJ361" s="267"/>
      <c r="AK361" s="267"/>
      <c r="AL361" s="267"/>
      <c r="AM361" s="267"/>
      <c r="AN361" s="267"/>
      <c r="AO361" s="267"/>
      <c r="AP361" s="267"/>
      <c r="AQ361" s="267"/>
      <c r="AR361" s="267"/>
    </row>
    <row r="362" spans="1:44" ht="15.75">
      <c r="A362" s="267"/>
      <c r="B362" s="521" t="s">
        <v>284</v>
      </c>
      <c r="C362" s="554"/>
      <c r="D362" s="554"/>
      <c r="E362" s="554"/>
      <c r="F362" s="554"/>
      <c r="G362" s="554"/>
      <c r="H362" s="554"/>
      <c r="I362" s="554"/>
      <c r="J362" s="554"/>
      <c r="K362" s="554"/>
      <c r="L362" s="554">
        <f t="shared" ref="L362:Y362" si="246">L358*L348/2</f>
        <v>533.11290791850001</v>
      </c>
      <c r="M362" s="554">
        <f t="shared" si="246"/>
        <v>1568.522957337</v>
      </c>
      <c r="N362" s="554">
        <f t="shared" si="246"/>
        <v>979.55297999999982</v>
      </c>
      <c r="O362" s="554">
        <f t="shared" si="246"/>
        <v>1168.58952</v>
      </c>
      <c r="P362" s="554">
        <f t="shared" si="246"/>
        <v>1391.9963399999999</v>
      </c>
      <c r="Q362" s="554">
        <f t="shared" si="246"/>
        <v>1529.4774599999998</v>
      </c>
      <c r="R362" s="554">
        <f t="shared" si="246"/>
        <v>1873.1802600000001</v>
      </c>
      <c r="S362" s="554">
        <f t="shared" si="246"/>
        <v>1529.4774599999998</v>
      </c>
      <c r="T362" s="554">
        <f t="shared" si="246"/>
        <v>2201.6972799999999</v>
      </c>
      <c r="U362" s="554">
        <f t="shared" si="246"/>
        <v>2418.08232</v>
      </c>
      <c r="V362" s="554">
        <f t="shared" si="246"/>
        <v>2538.5477999999998</v>
      </c>
      <c r="W362" s="552">
        <f t="shared" si="246"/>
        <v>2644.18154</v>
      </c>
      <c r="X362" s="552">
        <f t="shared" si="246"/>
        <v>2867.39167</v>
      </c>
      <c r="Y362" s="552">
        <f t="shared" si="246"/>
        <v>3175.0588000000002</v>
      </c>
      <c r="Z362" s="554">
        <f>Z363*Z18</f>
        <v>3636.7693248600012</v>
      </c>
      <c r="AA362" s="554">
        <f>AA363*AA18</f>
        <v>4156.1450625200014</v>
      </c>
      <c r="AB362" s="554">
        <f t="shared" ref="AB362:AI362" si="247">AB363*AB18</f>
        <v>4699.6692004923425</v>
      </c>
      <c r="AC362" s="554">
        <f t="shared" si="247"/>
        <v>5203.9815291298173</v>
      </c>
      <c r="AD362" s="554">
        <f t="shared" si="247"/>
        <v>5692.8119532615146</v>
      </c>
      <c r="AE362" s="554">
        <f t="shared" si="247"/>
        <v>6101.3297533142959</v>
      </c>
      <c r="AF362" s="554">
        <f t="shared" si="247"/>
        <v>6529.7236332777857</v>
      </c>
      <c r="AG362" s="554">
        <f t="shared" si="247"/>
        <v>6978.8996673541951</v>
      </c>
      <c r="AH362" s="554">
        <f t="shared" si="247"/>
        <v>7449.8106031537218</v>
      </c>
      <c r="AI362" s="554">
        <f t="shared" si="247"/>
        <v>7943.4585722683078</v>
      </c>
      <c r="AJ362" s="267"/>
      <c r="AK362" s="267"/>
      <c r="AL362" s="267"/>
      <c r="AM362" s="267"/>
      <c r="AN362" s="267"/>
      <c r="AO362" s="267"/>
      <c r="AP362" s="267"/>
      <c r="AQ362" s="267"/>
      <c r="AR362" s="267"/>
    </row>
    <row r="363" spans="1:44" ht="15.75">
      <c r="A363" s="267"/>
      <c r="B363" s="521" t="s">
        <v>311</v>
      </c>
      <c r="C363" s="554"/>
      <c r="D363" s="554"/>
      <c r="E363" s="554"/>
      <c r="F363" s="554"/>
      <c r="G363" s="554"/>
      <c r="H363" s="554"/>
      <c r="I363" s="554"/>
      <c r="J363" s="554"/>
      <c r="K363" s="554"/>
      <c r="L363" s="556">
        <f t="shared" ref="L363:Y363" si="248">L362/L13</f>
        <v>0.14114718239833202</v>
      </c>
      <c r="M363" s="556">
        <f t="shared" si="248"/>
        <v>0.36008332353925621</v>
      </c>
      <c r="N363" s="556">
        <f t="shared" si="248"/>
        <v>0.20209469362492261</v>
      </c>
      <c r="O363" s="556">
        <f t="shared" si="248"/>
        <v>0.1999982064008215</v>
      </c>
      <c r="P363" s="556">
        <f t="shared" si="248"/>
        <v>0.20130098915401301</v>
      </c>
      <c r="Q363" s="556">
        <f t="shared" si="248"/>
        <v>0.19824724044069991</v>
      </c>
      <c r="R363" s="556">
        <f t="shared" si="248"/>
        <v>0.20040443564780144</v>
      </c>
      <c r="S363" s="556">
        <f t="shared" si="248"/>
        <v>0.15052430469441982</v>
      </c>
      <c r="T363" s="556">
        <f t="shared" si="248"/>
        <v>0.19948330887016399</v>
      </c>
      <c r="U363" s="556">
        <f t="shared" si="248"/>
        <v>0.19957760977220204</v>
      </c>
      <c r="V363" s="556">
        <f t="shared" si="248"/>
        <v>0.19880524876697642</v>
      </c>
      <c r="W363" s="1058">
        <f t="shared" si="248"/>
        <v>0.19851223195087264</v>
      </c>
      <c r="X363" s="1058">
        <f t="shared" si="248"/>
        <v>0.19599593174312827</v>
      </c>
      <c r="Y363" s="1058">
        <f t="shared" si="248"/>
        <v>0.19923770242960076</v>
      </c>
      <c r="Z363" s="1059">
        <v>0.21</v>
      </c>
      <c r="AA363" s="1059">
        <v>0.22</v>
      </c>
      <c r="AB363" s="1059">
        <v>0.23</v>
      </c>
      <c r="AC363" s="1059">
        <v>0.24</v>
      </c>
      <c r="AD363" s="1059">
        <v>0.25</v>
      </c>
      <c r="AE363" s="1059">
        <v>0.26</v>
      </c>
      <c r="AF363" s="1059">
        <v>0.27</v>
      </c>
      <c r="AG363" s="1059">
        <v>0.28000000000000003</v>
      </c>
      <c r="AH363" s="1059">
        <v>0.28999999999999998</v>
      </c>
      <c r="AI363" s="1059">
        <v>0.3</v>
      </c>
      <c r="AJ363" s="267"/>
      <c r="AK363" s="267"/>
      <c r="AL363" s="267"/>
      <c r="AM363" s="267"/>
      <c r="AN363" s="267"/>
      <c r="AO363" s="267"/>
      <c r="AP363" s="267"/>
      <c r="AQ363" s="267"/>
      <c r="AR363" s="267"/>
    </row>
    <row r="364" spans="1:44" ht="15.75">
      <c r="A364" s="267"/>
      <c r="B364" s="521" t="s">
        <v>312</v>
      </c>
      <c r="C364" s="527"/>
      <c r="D364" s="527"/>
      <c r="E364" s="527"/>
      <c r="F364" s="527"/>
      <c r="G364" s="527"/>
      <c r="H364" s="527"/>
      <c r="I364" s="527"/>
      <c r="J364" s="527"/>
      <c r="K364" s="527"/>
      <c r="L364" s="527">
        <f t="shared" ref="L364:AI364" si="249">L362/L370</f>
        <v>0.35527596891727092</v>
      </c>
      <c r="M364" s="527">
        <f t="shared" si="249"/>
        <v>0.83008200536462751</v>
      </c>
      <c r="N364" s="527">
        <f t="shared" si="249"/>
        <v>0.44359553339987273</v>
      </c>
      <c r="O364" s="527">
        <f t="shared" si="249"/>
        <v>0.43302780648927669</v>
      </c>
      <c r="P364" s="527">
        <f t="shared" si="249"/>
        <v>0.38149010096359387</v>
      </c>
      <c r="Q364" s="527">
        <f t="shared" si="249"/>
        <v>0.39704256945751432</v>
      </c>
      <c r="R364" s="527">
        <f t="shared" si="249"/>
        <v>0.41353186692663912</v>
      </c>
      <c r="S364" s="527">
        <f t="shared" si="249"/>
        <v>0.36091819224397909</v>
      </c>
      <c r="T364" s="527">
        <f t="shared" si="249"/>
        <v>0.50731287212667509</v>
      </c>
      <c r="U364" s="527">
        <f t="shared" si="249"/>
        <v>0.52411788306066609</v>
      </c>
      <c r="V364" s="527">
        <f t="shared" si="249"/>
        <v>0.69009449081912</v>
      </c>
      <c r="W364" s="527">
        <f t="shared" si="249"/>
        <v>0.96476082324204659</v>
      </c>
      <c r="X364" s="527">
        <f t="shared" si="249"/>
        <v>1.2130230463203211</v>
      </c>
      <c r="Y364" s="527">
        <f t="shared" si="249"/>
        <v>1.1279641905889528</v>
      </c>
      <c r="Z364" s="527">
        <f t="shared" si="249"/>
        <v>0.91746483148477997</v>
      </c>
      <c r="AA364" s="527">
        <f t="shared" si="249"/>
        <v>0.87597865666690877</v>
      </c>
      <c r="AB364" s="527">
        <f t="shared" si="249"/>
        <v>0.79825653350610215</v>
      </c>
      <c r="AC364" s="527">
        <f t="shared" si="249"/>
        <v>0.77045135518603058</v>
      </c>
      <c r="AD364" s="527">
        <f t="shared" si="249"/>
        <v>0.75817381989033616</v>
      </c>
      <c r="AE364" s="527">
        <f t="shared" si="249"/>
        <v>0.76204412595987625</v>
      </c>
      <c r="AF364" s="527">
        <f t="shared" si="249"/>
        <v>0.76867225189690114</v>
      </c>
      <c r="AG364" s="527">
        <f t="shared" si="249"/>
        <v>0.7755110376370139</v>
      </c>
      <c r="AH364" s="527">
        <f t="shared" si="249"/>
        <v>0.78406424837868416</v>
      </c>
      <c r="AI364" s="527">
        <f t="shared" si="249"/>
        <v>0.79054383741910383</v>
      </c>
      <c r="AJ364" s="267"/>
      <c r="AK364" s="267"/>
      <c r="AL364" s="267"/>
      <c r="AM364" s="267"/>
      <c r="AN364" s="267"/>
      <c r="AO364" s="267"/>
      <c r="AP364" s="267"/>
      <c r="AQ364" s="267"/>
      <c r="AR364" s="267"/>
    </row>
    <row r="365" spans="1:44" ht="15.75">
      <c r="A365" s="267"/>
      <c r="B365" s="521" t="s">
        <v>313</v>
      </c>
      <c r="C365" s="527"/>
      <c r="D365" s="527"/>
      <c r="E365" s="527"/>
      <c r="F365" s="527"/>
      <c r="G365" s="527"/>
      <c r="H365" s="527"/>
      <c r="I365" s="527"/>
      <c r="J365" s="527"/>
      <c r="K365" s="527"/>
      <c r="L365" s="527">
        <f t="shared" ref="L365:AI365" si="250">L362/L35</f>
        <v>0.27636750021695178</v>
      </c>
      <c r="M365" s="527">
        <f t="shared" si="250"/>
        <v>0.82902904721828752</v>
      </c>
      <c r="N365" s="527">
        <f t="shared" si="250"/>
        <v>0.41621116634799227</v>
      </c>
      <c r="O365" s="527">
        <f t="shared" si="250"/>
        <v>0.36948725042550223</v>
      </c>
      <c r="P365" s="527">
        <f t="shared" si="250"/>
        <v>0.36099490145228214</v>
      </c>
      <c r="Q365" s="527">
        <f t="shared" si="250"/>
        <v>0.36975159192554097</v>
      </c>
      <c r="R365" s="527">
        <f t="shared" si="250"/>
        <v>0.41539456690468801</v>
      </c>
      <c r="S365" s="527">
        <f t="shared" si="250"/>
        <v>0.35920090652888675</v>
      </c>
      <c r="T365" s="527">
        <f t="shared" si="250"/>
        <v>0.52641958684009182</v>
      </c>
      <c r="U365" s="527">
        <f t="shared" si="250"/>
        <v>0.56392844649298812</v>
      </c>
      <c r="V365" s="527">
        <f t="shared" si="250"/>
        <v>0.7246587730731745</v>
      </c>
      <c r="W365" s="527">
        <f t="shared" si="250"/>
        <v>0.91311516305963736</v>
      </c>
      <c r="X365" s="527">
        <f t="shared" si="250"/>
        <v>1.1725674164838744</v>
      </c>
      <c r="Y365" s="527">
        <f t="shared" si="250"/>
        <v>1.1134759304278055</v>
      </c>
      <c r="Z365" s="527">
        <f t="shared" si="250"/>
        <v>0.9121721190280907</v>
      </c>
      <c r="AA365" s="527">
        <f t="shared" si="250"/>
        <v>0.87597865666690877</v>
      </c>
      <c r="AB365" s="527">
        <f t="shared" si="250"/>
        <v>0.79825653350610215</v>
      </c>
      <c r="AC365" s="527">
        <f t="shared" si="250"/>
        <v>0.77045135518603058</v>
      </c>
      <c r="AD365" s="527">
        <f t="shared" si="250"/>
        <v>0.75817381989033616</v>
      </c>
      <c r="AE365" s="527">
        <f t="shared" si="250"/>
        <v>0.76204412595987625</v>
      </c>
      <c r="AF365" s="527">
        <f t="shared" si="250"/>
        <v>0.76867225189690114</v>
      </c>
      <c r="AG365" s="527">
        <f t="shared" si="250"/>
        <v>0.7755110376370139</v>
      </c>
      <c r="AH365" s="527">
        <f t="shared" si="250"/>
        <v>0.78406424837868416</v>
      </c>
      <c r="AI365" s="527">
        <f t="shared" si="250"/>
        <v>0.79054383741910383</v>
      </c>
      <c r="AJ365" s="267"/>
      <c r="AK365" s="267"/>
      <c r="AL365" s="267"/>
      <c r="AM365" s="267"/>
      <c r="AN365" s="267"/>
      <c r="AO365" s="267"/>
      <c r="AP365" s="267"/>
      <c r="AQ365" s="267"/>
      <c r="AR365" s="267"/>
    </row>
    <row r="366" spans="1:44" ht="15.75">
      <c r="A366" s="267"/>
      <c r="B366" s="521" t="s">
        <v>314</v>
      </c>
      <c r="C366" s="527"/>
      <c r="D366" s="527"/>
      <c r="E366" s="527"/>
      <c r="F366" s="527"/>
      <c r="G366" s="527"/>
      <c r="H366" s="527"/>
      <c r="I366" s="527"/>
      <c r="J366" s="527"/>
      <c r="K366" s="527"/>
      <c r="L366" s="527">
        <f t="shared" ref="L366:AI366" si="251">L362/L374</f>
        <v>0.60473808693509234</v>
      </c>
      <c r="M366" s="527">
        <f t="shared" si="251"/>
        <v>1.1206937391661904</v>
      </c>
      <c r="N366" s="527">
        <f t="shared" si="251"/>
        <v>0.61068930905753827</v>
      </c>
      <c r="O366" s="527">
        <f t="shared" si="251"/>
        <v>1.3194743698104088</v>
      </c>
      <c r="P366" s="527">
        <f t="shared" si="251"/>
        <v>1.591143912029628</v>
      </c>
      <c r="Q366" s="527">
        <f t="shared" si="251"/>
        <v>0.92967463035847231</v>
      </c>
      <c r="R366" s="527">
        <f t="shared" si="251"/>
        <v>0.9075973853245014</v>
      </c>
      <c r="S366" s="527">
        <f t="shared" si="251"/>
        <v>0.84141706734736543</v>
      </c>
      <c r="T366" s="527">
        <f t="shared" si="251"/>
        <v>2.2770211392876347</v>
      </c>
      <c r="U366" s="527">
        <f t="shared" si="251"/>
        <v>5.4332823727670911</v>
      </c>
      <c r="V366" s="527">
        <f t="shared" si="251"/>
        <v>-1.3240691996180312</v>
      </c>
      <c r="W366" s="527">
        <f t="shared" si="251"/>
        <v>-0.8787513826755361</v>
      </c>
      <c r="X366" s="527">
        <f t="shared" si="251"/>
        <v>5.9555879545318779</v>
      </c>
      <c r="Y366" s="527">
        <f t="shared" si="251"/>
        <v>1.0036976484953444</v>
      </c>
      <c r="Z366" s="527">
        <f t="shared" si="251"/>
        <v>0.93000578747877649</v>
      </c>
      <c r="AA366" s="527">
        <f t="shared" si="251"/>
        <v>0.8940681047024932</v>
      </c>
      <c r="AB366" s="527">
        <f t="shared" si="251"/>
        <v>0.84072922497620861</v>
      </c>
      <c r="AC366" s="527">
        <f t="shared" si="251"/>
        <v>0.80213914692835009</v>
      </c>
      <c r="AD366" s="527">
        <f t="shared" si="251"/>
        <v>0.77021831819414133</v>
      </c>
      <c r="AE366" s="527">
        <f t="shared" si="251"/>
        <v>0.76500047786564085</v>
      </c>
      <c r="AF366" s="527">
        <f t="shared" si="251"/>
        <v>0.76463116274734988</v>
      </c>
      <c r="AG366" s="527">
        <f t="shared" si="251"/>
        <v>0.77669282327745115</v>
      </c>
      <c r="AH366" s="527">
        <f t="shared" si="251"/>
        <v>0.78920145016323651</v>
      </c>
      <c r="AI366" s="527">
        <f t="shared" si="251"/>
        <v>0.78821662117286884</v>
      </c>
      <c r="AJ366" s="267"/>
      <c r="AK366" s="267"/>
      <c r="AL366" s="267"/>
      <c r="AM366" s="267"/>
      <c r="AN366" s="267"/>
      <c r="AO366" s="267"/>
      <c r="AP366" s="267"/>
      <c r="AQ366" s="267"/>
      <c r="AR366" s="267"/>
    </row>
    <row r="367" spans="1:44" ht="15.75">
      <c r="A367" s="267"/>
      <c r="B367" s="521" t="s">
        <v>3388</v>
      </c>
      <c r="C367" s="527"/>
      <c r="D367" s="527"/>
      <c r="E367" s="527"/>
      <c r="F367" s="527"/>
      <c r="G367" s="527"/>
      <c r="H367" s="527"/>
      <c r="I367" s="527"/>
      <c r="J367" s="554"/>
      <c r="K367" s="554"/>
      <c r="L367" s="527"/>
      <c r="M367" s="527"/>
      <c r="N367" s="527"/>
      <c r="O367" s="527"/>
      <c r="P367" s="527"/>
      <c r="Q367" s="527"/>
      <c r="R367" s="527"/>
      <c r="S367" s="527"/>
      <c r="T367" s="527"/>
      <c r="U367" s="537">
        <v>2295.6019999999999</v>
      </c>
      <c r="V367" s="537">
        <v>2559.241</v>
      </c>
      <c r="W367" s="537">
        <v>2538.547</v>
      </c>
      <c r="X367" s="537">
        <v>2644.181</v>
      </c>
      <c r="Y367" s="522">
        <v>2867</v>
      </c>
      <c r="Z367" s="552">
        <f>Y362</f>
        <v>3175.0588000000002</v>
      </c>
      <c r="AA367" s="552">
        <f t="shared" ref="AA367:AI367" si="252">Z362</f>
        <v>3636.7693248600012</v>
      </c>
      <c r="AB367" s="552">
        <f t="shared" si="252"/>
        <v>4156.1450625200014</v>
      </c>
      <c r="AC367" s="552">
        <f t="shared" si="252"/>
        <v>4699.6692004923425</v>
      </c>
      <c r="AD367" s="552">
        <f t="shared" si="252"/>
        <v>5203.9815291298173</v>
      </c>
      <c r="AE367" s="552">
        <f t="shared" si="252"/>
        <v>5692.8119532615146</v>
      </c>
      <c r="AF367" s="552">
        <f t="shared" si="252"/>
        <v>6101.3297533142959</v>
      </c>
      <c r="AG367" s="552">
        <f t="shared" si="252"/>
        <v>6529.7236332777857</v>
      </c>
      <c r="AH367" s="552">
        <f t="shared" si="252"/>
        <v>6978.8996673541951</v>
      </c>
      <c r="AI367" s="552">
        <f t="shared" si="252"/>
        <v>7449.8106031537218</v>
      </c>
      <c r="AJ367" s="267"/>
      <c r="AK367" s="267"/>
      <c r="AL367" s="267"/>
      <c r="AM367" s="267"/>
      <c r="AN367" s="267"/>
      <c r="AO367" s="267"/>
      <c r="AP367" s="267"/>
      <c r="AQ367" s="267"/>
      <c r="AR367" s="267"/>
    </row>
    <row r="368" spans="1:44" ht="15.75">
      <c r="A368" s="267"/>
      <c r="B368" s="521"/>
      <c r="C368" s="521"/>
      <c r="D368" s="527"/>
      <c r="E368" s="521"/>
      <c r="F368" s="521"/>
      <c r="G368" s="521"/>
      <c r="H368" s="521"/>
      <c r="I368" s="521"/>
      <c r="J368" s="521"/>
      <c r="K368" s="521"/>
      <c r="L368" s="521"/>
      <c r="M368" s="521"/>
      <c r="N368" s="521"/>
      <c r="O368" s="522"/>
      <c r="P368" s="522"/>
      <c r="Q368" s="522"/>
      <c r="R368" s="522"/>
      <c r="S368" s="522"/>
      <c r="T368" s="522"/>
      <c r="U368" s="522"/>
      <c r="V368" s="522"/>
      <c r="W368" s="522"/>
      <c r="X368" s="522"/>
      <c r="Y368" s="522"/>
      <c r="Z368" s="522"/>
      <c r="AA368" s="522"/>
      <c r="AB368" s="522"/>
      <c r="AC368" s="522"/>
      <c r="AD368" s="522"/>
      <c r="AE368" s="522"/>
      <c r="AF368" s="522"/>
      <c r="AG368" s="522"/>
      <c r="AH368" s="522"/>
      <c r="AI368" s="522"/>
      <c r="AJ368" s="267"/>
      <c r="AK368" s="267"/>
      <c r="AL368" s="267"/>
      <c r="AM368" s="267"/>
      <c r="AN368" s="267"/>
      <c r="AO368" s="267"/>
      <c r="AP368" s="267"/>
      <c r="AQ368" s="267"/>
      <c r="AR368" s="267"/>
    </row>
    <row r="369" spans="1:44" ht="15.75">
      <c r="A369" s="267"/>
      <c r="B369" s="521"/>
      <c r="C369" s="521"/>
      <c r="D369" s="527"/>
      <c r="E369" s="521"/>
      <c r="F369" s="521"/>
      <c r="G369" s="521"/>
      <c r="H369" s="521"/>
      <c r="I369" s="521"/>
      <c r="J369" s="521"/>
      <c r="K369" s="521"/>
      <c r="L369" s="521"/>
      <c r="M369" s="521"/>
      <c r="N369" s="521"/>
      <c r="O369" s="522"/>
      <c r="P369" s="522"/>
      <c r="Q369" s="522"/>
      <c r="R369" s="522"/>
      <c r="S369" s="522"/>
      <c r="T369" s="522"/>
      <c r="U369" s="522"/>
      <c r="V369" s="522"/>
      <c r="W369" s="522"/>
      <c r="X369" s="522"/>
      <c r="Y369" s="522"/>
      <c r="Z369" s="522"/>
      <c r="AA369" s="522"/>
      <c r="AB369" s="522"/>
      <c r="AC369" s="522"/>
      <c r="AD369" s="522"/>
      <c r="AE369" s="522"/>
      <c r="AF369" s="522"/>
      <c r="AG369" s="522"/>
      <c r="AH369" s="522"/>
      <c r="AI369" s="522"/>
      <c r="AJ369" s="267"/>
      <c r="AK369" s="267"/>
      <c r="AL369" s="267"/>
      <c r="AM369" s="267"/>
      <c r="AN369" s="267"/>
      <c r="AO369" s="267"/>
      <c r="AP369" s="267"/>
      <c r="AQ369" s="267"/>
      <c r="AR369" s="267"/>
    </row>
    <row r="370" spans="1:44" ht="15.75">
      <c r="A370" s="267"/>
      <c r="B370" s="521" t="s">
        <v>301</v>
      </c>
      <c r="C370" s="522"/>
      <c r="D370" s="522"/>
      <c r="E370" s="522"/>
      <c r="F370" s="522"/>
      <c r="G370" s="522"/>
      <c r="H370" s="522"/>
      <c r="I370" s="522"/>
      <c r="J370" s="522"/>
      <c r="K370" s="522"/>
      <c r="L370" s="522">
        <f t="shared" ref="L370:AI370" si="253">L342</f>
        <v>1500.56</v>
      </c>
      <c r="M370" s="522">
        <f t="shared" si="253"/>
        <v>1889.6</v>
      </c>
      <c r="N370" s="522">
        <f t="shared" si="253"/>
        <v>2208.212</v>
      </c>
      <c r="O370" s="522">
        <f t="shared" si="253"/>
        <v>2698.6477599999998</v>
      </c>
      <c r="P370" s="522">
        <f t="shared" si="253"/>
        <v>3648.84</v>
      </c>
      <c r="Q370" s="522">
        <f t="shared" si="253"/>
        <v>3852.1749999999993</v>
      </c>
      <c r="R370" s="522">
        <f t="shared" si="253"/>
        <v>4529.7119999999995</v>
      </c>
      <c r="S370" s="522">
        <f t="shared" si="253"/>
        <v>4237.74</v>
      </c>
      <c r="T370" s="522">
        <f t="shared" si="253"/>
        <v>4339.92</v>
      </c>
      <c r="U370" s="522">
        <f t="shared" si="253"/>
        <v>4613.6230000000005</v>
      </c>
      <c r="V370" s="522">
        <f t="shared" si="253"/>
        <v>3678.5510300000005</v>
      </c>
      <c r="W370" s="522">
        <f t="shared" si="253"/>
        <v>2740.7638000000002</v>
      </c>
      <c r="X370" s="522">
        <f t="shared" si="253"/>
        <v>2363.8393999999998</v>
      </c>
      <c r="Y370" s="522">
        <f t="shared" si="253"/>
        <v>2814.8577999999998</v>
      </c>
      <c r="Z370" s="522">
        <f t="shared" si="253"/>
        <v>3963.9332212597537</v>
      </c>
      <c r="AA370" s="522">
        <f t="shared" si="253"/>
        <v>4744.5734332547527</v>
      </c>
      <c r="AB370" s="522">
        <f t="shared" si="253"/>
        <v>5887.4171437726372</v>
      </c>
      <c r="AC370" s="522">
        <f t="shared" si="253"/>
        <v>6754.4582718960646</v>
      </c>
      <c r="AD370" s="522">
        <f t="shared" si="253"/>
        <v>7508.5841846727635</v>
      </c>
      <c r="AE370" s="522">
        <f t="shared" si="253"/>
        <v>8006.5307840658397</v>
      </c>
      <c r="AF370" s="522">
        <f t="shared" si="253"/>
        <v>8494.8085704459518</v>
      </c>
      <c r="AG370" s="522">
        <f t="shared" si="253"/>
        <v>8999.0977931390098</v>
      </c>
      <c r="AH370" s="522">
        <f t="shared" si="253"/>
        <v>9501.5307974553161</v>
      </c>
      <c r="AI370" s="522">
        <f t="shared" si="253"/>
        <v>10048.09372520238</v>
      </c>
      <c r="AJ370" s="267"/>
      <c r="AK370" s="267"/>
      <c r="AL370" s="267"/>
      <c r="AM370" s="267"/>
      <c r="AN370" s="267"/>
      <c r="AO370" s="267"/>
      <c r="AP370" s="267"/>
      <c r="AQ370" s="267"/>
      <c r="AR370" s="267"/>
    </row>
    <row r="371" spans="1:44" ht="15.75">
      <c r="A371" s="267"/>
      <c r="B371" s="521" t="s">
        <v>315</v>
      </c>
      <c r="C371" s="522"/>
      <c r="D371" s="522"/>
      <c r="E371" s="522"/>
      <c r="F371" s="522"/>
      <c r="G371" s="522"/>
      <c r="H371" s="522"/>
      <c r="I371" s="522"/>
      <c r="J371" s="522"/>
      <c r="K371" s="522"/>
      <c r="L371" s="522">
        <f t="shared" ref="L371:AI371" si="254">-L336</f>
        <v>1057</v>
      </c>
      <c r="M371" s="522">
        <f t="shared" si="254"/>
        <v>1250</v>
      </c>
      <c r="N371" s="522">
        <f t="shared" si="254"/>
        <v>1558.6596881959911</v>
      </c>
      <c r="O371" s="522">
        <f t="shared" si="254"/>
        <v>1851.2081983720318</v>
      </c>
      <c r="P371" s="522">
        <f t="shared" si="254"/>
        <v>1877.4840745931269</v>
      </c>
      <c r="Q371" s="522">
        <f t="shared" si="254"/>
        <v>2364.6981962095792</v>
      </c>
      <c r="R371" s="522">
        <f t="shared" si="254"/>
        <v>3181.64957479646</v>
      </c>
      <c r="S371" s="522">
        <f t="shared" si="254"/>
        <v>4070.5279947361491</v>
      </c>
      <c r="T371" s="522">
        <f t="shared" si="254"/>
        <v>4661.4850579178892</v>
      </c>
      <c r="U371" s="522">
        <f t="shared" si="254"/>
        <v>4991.6720000000005</v>
      </c>
      <c r="V371" s="522">
        <f t="shared" si="254"/>
        <v>5981.6769999999997</v>
      </c>
      <c r="W371" s="522">
        <f t="shared" si="254"/>
        <v>6853.018</v>
      </c>
      <c r="X371" s="522">
        <f t="shared" si="254"/>
        <v>7954.9509999999991</v>
      </c>
      <c r="Y371" s="522">
        <f t="shared" si="254"/>
        <v>8803.8250000000007</v>
      </c>
      <c r="Z371" s="522">
        <f t="shared" si="254"/>
        <v>9663.6387925350573</v>
      </c>
      <c r="AA371" s="522">
        <f t="shared" si="254"/>
        <v>9760.6767804969986</v>
      </c>
      <c r="AB371" s="522">
        <f t="shared" si="254"/>
        <v>9701.8705025970685</v>
      </c>
      <c r="AC371" s="522">
        <f t="shared" si="254"/>
        <v>9775.9425208365865</v>
      </c>
      <c r="AD371" s="522">
        <f t="shared" si="254"/>
        <v>9845.00339211153</v>
      </c>
      <c r="AE371" s="522">
        <f t="shared" si="254"/>
        <v>9887.9532062991002</v>
      </c>
      <c r="AF371" s="522">
        <f t="shared" si="254"/>
        <v>9915.9815820478416</v>
      </c>
      <c r="AG371" s="522">
        <f t="shared" si="254"/>
        <v>9930.9875841609446</v>
      </c>
      <c r="AH371" s="522">
        <f t="shared" si="254"/>
        <v>9956.8618612168393</v>
      </c>
      <c r="AI371" s="522">
        <f t="shared" si="254"/>
        <v>9991.7603407307233</v>
      </c>
      <c r="AJ371" s="267"/>
      <c r="AK371" s="267"/>
      <c r="AL371" s="267"/>
      <c r="AM371" s="267"/>
      <c r="AN371" s="267"/>
      <c r="AO371" s="267"/>
      <c r="AP371" s="267"/>
      <c r="AQ371" s="267"/>
      <c r="AR371" s="267"/>
    </row>
    <row r="372" spans="1:44" ht="15.75">
      <c r="A372" s="267"/>
      <c r="B372" s="521" t="s">
        <v>316</v>
      </c>
      <c r="C372" s="522"/>
      <c r="D372" s="522"/>
      <c r="E372" s="522"/>
      <c r="F372" s="522"/>
      <c r="G372" s="522"/>
      <c r="H372" s="522"/>
      <c r="I372" s="522"/>
      <c r="J372" s="522"/>
      <c r="K372" s="522"/>
      <c r="L372" s="522">
        <f t="shared" ref="L372:AI372" si="255">-L337</f>
        <v>309</v>
      </c>
      <c r="M372" s="522">
        <f t="shared" si="255"/>
        <v>260</v>
      </c>
      <c r="N372" s="522">
        <f t="shared" si="255"/>
        <v>173.14031180400892</v>
      </c>
      <c r="O372" s="522">
        <f t="shared" si="255"/>
        <v>100.79180162796816</v>
      </c>
      <c r="P372" s="522">
        <f t="shared" si="255"/>
        <v>222.51592540687301</v>
      </c>
      <c r="Q372" s="522">
        <f t="shared" si="255"/>
        <v>120.30180379042088</v>
      </c>
      <c r="R372" s="522">
        <f t="shared" si="255"/>
        <v>105.65042520354027</v>
      </c>
      <c r="S372" s="522">
        <f t="shared" si="255"/>
        <v>44.472005263851067</v>
      </c>
      <c r="T372" s="522">
        <f t="shared" si="255"/>
        <v>46.514942082111013</v>
      </c>
      <c r="U372" s="522">
        <f t="shared" si="255"/>
        <v>306.32799999999997</v>
      </c>
      <c r="V372" s="522">
        <f t="shared" si="255"/>
        <v>258.54000000000002</v>
      </c>
      <c r="W372" s="522">
        <f t="shared" si="255"/>
        <v>346.197</v>
      </c>
      <c r="X372" s="522">
        <f t="shared" si="255"/>
        <v>502.67200000000003</v>
      </c>
      <c r="Y372" s="522">
        <f t="shared" si="255"/>
        <v>732.07100000000003</v>
      </c>
      <c r="Z372" s="522">
        <f t="shared" si="255"/>
        <v>0.20200000000000001</v>
      </c>
      <c r="AA372" s="522">
        <f t="shared" si="255"/>
        <v>-0.20200000000022555</v>
      </c>
      <c r="AB372" s="522">
        <f t="shared" si="255"/>
        <v>0</v>
      </c>
      <c r="AC372" s="522">
        <f t="shared" si="255"/>
        <v>0</v>
      </c>
      <c r="AD372" s="522">
        <f t="shared" si="255"/>
        <v>0</v>
      </c>
      <c r="AE372" s="522">
        <f t="shared" si="255"/>
        <v>0</v>
      </c>
      <c r="AF372" s="522">
        <f t="shared" si="255"/>
        <v>0</v>
      </c>
      <c r="AG372" s="522">
        <f t="shared" si="255"/>
        <v>0</v>
      </c>
      <c r="AH372" s="522">
        <f t="shared" si="255"/>
        <v>0</v>
      </c>
      <c r="AI372" s="522">
        <f t="shared" si="255"/>
        <v>0</v>
      </c>
      <c r="AJ372" s="267"/>
      <c r="AK372" s="267"/>
      <c r="AL372" s="267"/>
      <c r="AM372" s="267"/>
      <c r="AN372" s="267"/>
      <c r="AO372" s="267"/>
      <c r="AP372" s="267"/>
      <c r="AQ372" s="267"/>
      <c r="AR372" s="267"/>
    </row>
    <row r="373" spans="1:44" ht="15.75">
      <c r="A373" s="267"/>
      <c r="B373" s="858" t="s">
        <v>317</v>
      </c>
      <c r="C373" s="860"/>
      <c r="D373" s="860"/>
      <c r="E373" s="860"/>
      <c r="F373" s="860"/>
      <c r="G373" s="860"/>
      <c r="H373" s="860"/>
      <c r="I373" s="860"/>
      <c r="J373" s="860"/>
      <c r="K373" s="860"/>
      <c r="L373" s="860">
        <f t="shared" ref="L373:AI373" si="256">-L45</f>
        <v>-1985</v>
      </c>
      <c r="M373" s="860">
        <f t="shared" si="256"/>
        <v>-2000</v>
      </c>
      <c r="N373" s="860">
        <f t="shared" si="256"/>
        <v>-2336</v>
      </c>
      <c r="O373" s="860">
        <f t="shared" si="256"/>
        <v>-3765</v>
      </c>
      <c r="P373" s="860">
        <f t="shared" si="256"/>
        <v>-4874</v>
      </c>
      <c r="Q373" s="860">
        <f t="shared" si="256"/>
        <v>-4692</v>
      </c>
      <c r="R373" s="860">
        <f t="shared" si="256"/>
        <v>-5753.1229999999996</v>
      </c>
      <c r="S373" s="860">
        <f t="shared" si="256"/>
        <v>-6535</v>
      </c>
      <c r="T373" s="860">
        <f t="shared" si="256"/>
        <v>-8081</v>
      </c>
      <c r="U373" s="860">
        <f t="shared" si="256"/>
        <v>-9466.5730000000003</v>
      </c>
      <c r="V373" s="860">
        <f t="shared" si="256"/>
        <v>-11836</v>
      </c>
      <c r="W373" s="860">
        <f t="shared" si="256"/>
        <v>-12949</v>
      </c>
      <c r="X373" s="860">
        <f t="shared" si="256"/>
        <v>-10340</v>
      </c>
      <c r="Y373" s="860">
        <f t="shared" si="256"/>
        <v>-9187.3919999999998</v>
      </c>
      <c r="Z373" s="860">
        <f t="shared" si="256"/>
        <v>-9717.293698700003</v>
      </c>
      <c r="AA373" s="860">
        <f t="shared" si="256"/>
        <v>-9856.4705040000026</v>
      </c>
      <c r="AB373" s="860">
        <f t="shared" si="256"/>
        <v>-9999.2961712603028</v>
      </c>
      <c r="AC373" s="860">
        <f t="shared" si="256"/>
        <v>-10042.771372004911</v>
      </c>
      <c r="AD373" s="860">
        <f t="shared" si="256"/>
        <v>-9962.4209182076502</v>
      </c>
      <c r="AE373" s="860">
        <f t="shared" si="256"/>
        <v>-9918.8945236275231</v>
      </c>
      <c r="AF373" s="860">
        <f t="shared" si="256"/>
        <v>-9871.0863692785861</v>
      </c>
      <c r="AG373" s="860">
        <f t="shared" si="256"/>
        <v>-9944.6802619224636</v>
      </c>
      <c r="AH373" s="860">
        <f t="shared" si="256"/>
        <v>-10018.710811137766</v>
      </c>
      <c r="AI373" s="860">
        <f t="shared" si="256"/>
        <v>-9962.0932589503536</v>
      </c>
      <c r="AJ373" s="267"/>
      <c r="AK373" s="267"/>
      <c r="AL373" s="267"/>
      <c r="AM373" s="267"/>
      <c r="AN373" s="267"/>
      <c r="AO373" s="267"/>
      <c r="AP373" s="267"/>
      <c r="AQ373" s="267"/>
      <c r="AR373" s="267"/>
    </row>
    <row r="374" spans="1:44" ht="15.75">
      <c r="A374" s="267"/>
      <c r="B374" s="520" t="s">
        <v>318</v>
      </c>
      <c r="C374" s="523"/>
      <c r="D374" s="523"/>
      <c r="E374" s="523"/>
      <c r="F374" s="523"/>
      <c r="G374" s="523"/>
      <c r="H374" s="523"/>
      <c r="I374" s="523"/>
      <c r="J374" s="523"/>
      <c r="K374" s="523"/>
      <c r="L374" s="523">
        <f t="shared" ref="L374:AI374" si="257">SUM(L370:L373)</f>
        <v>881.56</v>
      </c>
      <c r="M374" s="523">
        <f t="shared" si="257"/>
        <v>1399.6</v>
      </c>
      <c r="N374" s="523">
        <f t="shared" si="257"/>
        <v>1604.0119999999997</v>
      </c>
      <c r="O374" s="523">
        <f t="shared" si="257"/>
        <v>885.64775999999983</v>
      </c>
      <c r="P374" s="523">
        <f t="shared" si="257"/>
        <v>874.84000000000015</v>
      </c>
      <c r="Q374" s="523">
        <f t="shared" si="257"/>
        <v>1645.1750000000002</v>
      </c>
      <c r="R374" s="523">
        <f t="shared" si="257"/>
        <v>2063.8890000000001</v>
      </c>
      <c r="S374" s="523">
        <f t="shared" si="257"/>
        <v>1817.7399999999998</v>
      </c>
      <c r="T374" s="523">
        <f t="shared" si="257"/>
        <v>966.92000000000007</v>
      </c>
      <c r="U374" s="523">
        <f t="shared" si="257"/>
        <v>445.05000000000109</v>
      </c>
      <c r="V374" s="523">
        <f t="shared" si="257"/>
        <v>-1917.2319699999989</v>
      </c>
      <c r="W374" s="523">
        <f t="shared" si="257"/>
        <v>-3009.0211999999992</v>
      </c>
      <c r="X374" s="523">
        <f t="shared" si="257"/>
        <v>481.46239999999852</v>
      </c>
      <c r="Y374" s="523">
        <f t="shared" si="257"/>
        <v>3163.3618000000006</v>
      </c>
      <c r="Z374" s="523">
        <f t="shared" si="257"/>
        <v>3910.4803150948082</v>
      </c>
      <c r="AA374" s="523">
        <f t="shared" si="257"/>
        <v>4648.5777097517475</v>
      </c>
      <c r="AB374" s="523">
        <f t="shared" si="257"/>
        <v>5589.9914751094038</v>
      </c>
      <c r="AC374" s="523">
        <f t="shared" si="257"/>
        <v>6487.6294207277424</v>
      </c>
      <c r="AD374" s="523">
        <f t="shared" si="257"/>
        <v>7391.1666585766452</v>
      </c>
      <c r="AE374" s="523">
        <f t="shared" si="257"/>
        <v>7975.5894667374178</v>
      </c>
      <c r="AF374" s="523">
        <f t="shared" si="257"/>
        <v>8539.7037832152055</v>
      </c>
      <c r="AG374" s="523">
        <f t="shared" si="257"/>
        <v>8985.4051153774908</v>
      </c>
      <c r="AH374" s="523">
        <f t="shared" si="257"/>
        <v>9439.6818475343916</v>
      </c>
      <c r="AI374" s="523">
        <f t="shared" si="257"/>
        <v>10077.760806982751</v>
      </c>
      <c r="AJ374" s="267"/>
      <c r="AK374" s="267"/>
      <c r="AL374" s="267"/>
      <c r="AM374" s="267"/>
      <c r="AN374" s="267"/>
      <c r="AO374" s="267"/>
      <c r="AP374" s="267"/>
      <c r="AQ374" s="267"/>
      <c r="AR374" s="267"/>
    </row>
    <row r="375" spans="1:44" ht="15.75">
      <c r="A375" s="267"/>
      <c r="B375" s="521" t="s">
        <v>319</v>
      </c>
      <c r="C375" s="573"/>
      <c r="D375" s="548"/>
      <c r="E375" s="548"/>
      <c r="F375" s="548"/>
      <c r="G375" s="548"/>
      <c r="H375" s="548"/>
      <c r="I375" s="548"/>
      <c r="J375" s="548"/>
      <c r="K375" s="548"/>
      <c r="L375" s="548">
        <f t="shared" ref="L375:AI375" si="258">L374/(L348/2)</f>
        <v>1.0261119870007502</v>
      </c>
      <c r="M375" s="548">
        <f t="shared" si="258"/>
        <v>1.6288491103360228</v>
      </c>
      <c r="N375" s="548">
        <f t="shared" si="258"/>
        <v>1.8667430116949875</v>
      </c>
      <c r="O375" s="548">
        <f t="shared" si="258"/>
        <v>1.0307134652379903</v>
      </c>
      <c r="P375" s="548">
        <f t="shared" si="258"/>
        <v>1.0181354356147232</v>
      </c>
      <c r="Q375" s="548">
        <f t="shared" si="258"/>
        <v>1.9146483531702392</v>
      </c>
      <c r="R375" s="548">
        <f t="shared" si="258"/>
        <v>2.401946099944487</v>
      </c>
      <c r="S375" s="548">
        <f t="shared" si="258"/>
        <v>2.1154788381124621</v>
      </c>
      <c r="T375" s="548">
        <f t="shared" si="258"/>
        <v>1.1242759040879591</v>
      </c>
      <c r="U375" s="548">
        <f t="shared" si="258"/>
        <v>0.51902327295457962</v>
      </c>
      <c r="V375" s="548">
        <f t="shared" si="258"/>
        <v>-2.2355327054310332</v>
      </c>
      <c r="W375" s="548">
        <f t="shared" si="258"/>
        <v>-3.5049731479480783</v>
      </c>
      <c r="X375" s="548">
        <f t="shared" si="258"/>
        <v>0.560817844602302</v>
      </c>
      <c r="Y375" s="548">
        <f t="shared" si="258"/>
        <v>3.6863691028336238</v>
      </c>
      <c r="Z375" s="548">
        <f t="shared" si="258"/>
        <v>4.5570107759424143</v>
      </c>
      <c r="AA375" s="548">
        <f t="shared" si="258"/>
        <v>5.4171398419712622</v>
      </c>
      <c r="AB375" s="548">
        <f t="shared" si="258"/>
        <v>6.514200133208492</v>
      </c>
      <c r="AC375" s="548">
        <f t="shared" si="258"/>
        <v>7.5602470280842189</v>
      </c>
      <c r="AD375" s="548">
        <f t="shared" si="258"/>
        <v>8.6131685613928113</v>
      </c>
      <c r="AE375" s="548">
        <f t="shared" si="258"/>
        <v>9.2942155990712507</v>
      </c>
      <c r="AF375" s="548">
        <f t="shared" si="258"/>
        <v>9.9515964863064141</v>
      </c>
      <c r="AG375" s="548">
        <f t="shared" si="258"/>
        <v>10.470986844998498</v>
      </c>
      <c r="AH375" s="548">
        <f t="shared" si="258"/>
        <v>11.000370398141051</v>
      </c>
      <c r="AI375" s="548">
        <f t="shared" si="258"/>
        <v>11.743944706106287</v>
      </c>
      <c r="AJ375" s="267"/>
      <c r="AK375" s="267"/>
      <c r="AL375" s="267"/>
      <c r="AM375" s="267"/>
      <c r="AN375" s="267"/>
      <c r="AO375" s="267"/>
      <c r="AP375" s="267"/>
      <c r="AQ375" s="267"/>
      <c r="AR375" s="267"/>
    </row>
    <row r="376" spans="1:44" ht="15.75">
      <c r="A376" s="267"/>
      <c r="B376" s="521" t="s">
        <v>131</v>
      </c>
      <c r="C376" s="527"/>
      <c r="D376" s="527"/>
      <c r="E376" s="527"/>
      <c r="F376" s="527"/>
      <c r="G376" s="527"/>
      <c r="H376" s="527"/>
      <c r="I376" s="527"/>
      <c r="J376" s="527"/>
      <c r="K376" s="527"/>
      <c r="L376" s="527"/>
      <c r="M376" s="527">
        <f t="shared" ref="M376:AI376" si="259">M375/L375-1</f>
        <v>0.58739896909013667</v>
      </c>
      <c r="N376" s="527">
        <f t="shared" si="259"/>
        <v>0.14605030008573872</v>
      </c>
      <c r="O376" s="527">
        <f t="shared" si="259"/>
        <v>-0.44785465445395678</v>
      </c>
      <c r="P376" s="527">
        <f t="shared" si="259"/>
        <v>-1.2203226257806676E-2</v>
      </c>
      <c r="Q376" s="527">
        <f t="shared" si="259"/>
        <v>0.88054387087924635</v>
      </c>
      <c r="R376" s="527">
        <f t="shared" si="259"/>
        <v>0.25451031045329509</v>
      </c>
      <c r="S376" s="527">
        <f t="shared" si="259"/>
        <v>-0.11926465037606204</v>
      </c>
      <c r="T376" s="527">
        <f t="shared" si="259"/>
        <v>-0.46854778982752898</v>
      </c>
      <c r="U376" s="527">
        <f t="shared" si="259"/>
        <v>-0.53834884207037748</v>
      </c>
      <c r="V376" s="527">
        <f t="shared" si="259"/>
        <v>-5.3071916461570066</v>
      </c>
      <c r="W376" s="527">
        <f t="shared" si="259"/>
        <v>0.56784695631294024</v>
      </c>
      <c r="X376" s="527">
        <f t="shared" si="259"/>
        <v>-1.1600063170043464</v>
      </c>
      <c r="Y376" s="527">
        <f t="shared" si="259"/>
        <v>5.5732022229923395</v>
      </c>
      <c r="Z376" s="527">
        <f t="shared" si="259"/>
        <v>0.23617864864360683</v>
      </c>
      <c r="AA376" s="527">
        <f t="shared" si="259"/>
        <v>0.18874852580329238</v>
      </c>
      <c r="AB376" s="527">
        <f t="shared" si="259"/>
        <v>0.20251651669343218</v>
      </c>
      <c r="AC376" s="527">
        <f t="shared" si="259"/>
        <v>0.16057948381768683</v>
      </c>
      <c r="AD376" s="527">
        <f t="shared" si="259"/>
        <v>0.13927078432718942</v>
      </c>
      <c r="AE376" s="527">
        <f t="shared" si="259"/>
        <v>7.9070441130239422E-2</v>
      </c>
      <c r="AF376" s="527">
        <f t="shared" si="259"/>
        <v>7.0730109521114803E-2</v>
      </c>
      <c r="AG376" s="527">
        <f t="shared" si="259"/>
        <v>5.2191661851118454E-2</v>
      </c>
      <c r="AH376" s="527">
        <f t="shared" si="259"/>
        <v>5.0557178705215922E-2</v>
      </c>
      <c r="AI376" s="527">
        <f t="shared" si="259"/>
        <v>6.7595388250825783E-2</v>
      </c>
      <c r="AJ376" s="267"/>
      <c r="AK376" s="267"/>
      <c r="AL376" s="267"/>
      <c r="AM376" s="267"/>
      <c r="AN376" s="267"/>
      <c r="AO376" s="267"/>
      <c r="AP376" s="267"/>
      <c r="AQ376" s="267"/>
      <c r="AR376" s="267"/>
    </row>
    <row r="377" spans="1:44" ht="15.75">
      <c r="A377" s="267"/>
      <c r="B377" s="267"/>
      <c r="C377" s="267"/>
      <c r="D377" s="267"/>
      <c r="E377" s="267"/>
      <c r="F377" s="267"/>
      <c r="G377" s="267"/>
      <c r="H377" s="267"/>
      <c r="I377" s="267"/>
      <c r="J377" s="267"/>
      <c r="K377" s="267"/>
      <c r="L377" s="267"/>
      <c r="M377" s="267"/>
      <c r="N377" s="267"/>
      <c r="O377" s="267"/>
      <c r="P377" s="267"/>
      <c r="Q377" s="267"/>
      <c r="R377" s="267"/>
      <c r="S377" s="267"/>
      <c r="T377" s="267"/>
      <c r="U377" s="267"/>
      <c r="V377" s="267"/>
      <c r="W377" s="267"/>
      <c r="X377" s="267"/>
      <c r="Y377" s="267"/>
      <c r="Z377" s="267"/>
      <c r="AA377" s="267"/>
      <c r="AB377" s="267"/>
      <c r="AC377" s="267"/>
      <c r="AD377" s="267"/>
      <c r="AE377" s="267"/>
      <c r="AF377" s="267"/>
      <c r="AG377" s="267"/>
      <c r="AH377" s="267"/>
      <c r="AI377" s="267"/>
      <c r="AJ377" s="267"/>
      <c r="AK377" s="267"/>
      <c r="AL377" s="267"/>
      <c r="AM377" s="267"/>
      <c r="AN377" s="267"/>
      <c r="AO377" s="267"/>
      <c r="AP377" s="267"/>
      <c r="AQ377" s="267"/>
      <c r="AR377" s="267"/>
    </row>
    <row r="378" spans="1:44" ht="15.75">
      <c r="A378" s="267"/>
      <c r="B378" s="520"/>
      <c r="C378" s="521"/>
      <c r="D378" s="520"/>
      <c r="E378" s="520"/>
      <c r="F378" s="520"/>
      <c r="G378" s="520"/>
      <c r="H378" s="520"/>
      <c r="I378" s="520"/>
      <c r="J378" s="520"/>
      <c r="K378" s="520"/>
      <c r="L378" s="520"/>
      <c r="M378" s="520"/>
      <c r="N378" s="520"/>
      <c r="O378" s="520"/>
      <c r="P378" s="520"/>
      <c r="Q378" s="520"/>
      <c r="R378" s="520"/>
      <c r="S378" s="520"/>
      <c r="T378" s="520"/>
      <c r="U378" s="520"/>
      <c r="V378" s="520"/>
      <c r="W378" s="520"/>
      <c r="X378" s="520"/>
      <c r="Y378" s="520"/>
      <c r="Z378" s="520"/>
      <c r="AA378" s="520"/>
      <c r="AB378" s="520"/>
      <c r="AC378" s="520"/>
      <c r="AD378" s="520"/>
      <c r="AE378" s="520"/>
      <c r="AF378" s="520"/>
      <c r="AG378" s="520"/>
      <c r="AH378" s="520"/>
      <c r="AI378" s="520"/>
      <c r="AJ378" s="267"/>
      <c r="AK378" s="267"/>
      <c r="AL378" s="267"/>
      <c r="AM378" s="267"/>
      <c r="AN378" s="267"/>
      <c r="AO378" s="267"/>
      <c r="AP378" s="267"/>
      <c r="AQ378" s="267"/>
      <c r="AR378" s="267"/>
    </row>
    <row r="379" spans="1:44" ht="15.75">
      <c r="A379" s="267"/>
      <c r="B379" s="521"/>
      <c r="C379" s="521"/>
      <c r="D379" s="574"/>
      <c r="E379" s="574"/>
      <c r="F379" s="574"/>
      <c r="G379" s="574"/>
      <c r="H379" s="574"/>
      <c r="I379" s="574"/>
      <c r="J379" s="574"/>
      <c r="K379" s="574"/>
      <c r="L379" s="574"/>
      <c r="M379" s="574"/>
      <c r="N379" s="574"/>
      <c r="O379" s="574"/>
      <c r="P379" s="574"/>
      <c r="Q379" s="574"/>
      <c r="R379" s="574"/>
      <c r="S379" s="574"/>
      <c r="T379" s="574"/>
      <c r="U379" s="574"/>
      <c r="V379" s="538"/>
      <c r="W379" s="538"/>
      <c r="X379" s="538"/>
      <c r="Y379" s="538"/>
      <c r="Z379" s="538"/>
      <c r="AA379" s="538"/>
      <c r="AB379" s="538"/>
      <c r="AC379" s="538"/>
      <c r="AD379" s="538"/>
      <c r="AE379" s="538"/>
      <c r="AF379" s="538"/>
      <c r="AG379" s="538"/>
      <c r="AH379" s="538"/>
      <c r="AI379" s="538"/>
      <c r="AJ379" s="267"/>
      <c r="AK379" s="267"/>
      <c r="AL379" s="267"/>
      <c r="AM379" s="267"/>
      <c r="AN379" s="267"/>
      <c r="AO379" s="267"/>
      <c r="AP379" s="267"/>
      <c r="AQ379" s="267"/>
      <c r="AR379" s="267"/>
    </row>
    <row r="380" spans="1:44" ht="15.75">
      <c r="A380" s="267"/>
      <c r="B380" s="521" t="s">
        <v>3390</v>
      </c>
      <c r="C380" s="521"/>
      <c r="D380" s="574"/>
      <c r="E380" s="574"/>
      <c r="F380" s="574"/>
      <c r="G380" s="574"/>
      <c r="H380" s="574"/>
      <c r="I380" s="574"/>
      <c r="J380" s="574"/>
      <c r="K380" s="574"/>
      <c r="L380" s="574"/>
      <c r="M380" s="574"/>
      <c r="N380" s="574"/>
      <c r="O380" s="574"/>
      <c r="P380" s="574"/>
      <c r="Q380" s="574"/>
      <c r="R380" s="574"/>
      <c r="S380" s="574"/>
      <c r="T380" s="574"/>
      <c r="U380" s="574"/>
      <c r="V380" s="574"/>
      <c r="W380" s="574"/>
      <c r="X380" s="574"/>
      <c r="Y380" s="1060"/>
      <c r="Z380" s="1060" cm="1">
        <f t="array" ref="Z380">_xll.VAData("MHSDF_MX", "FY-"&amp;Z3, "Dividend per share", "Consensus", "CD", "","","")</f>
        <v>3.5860584496519201</v>
      </c>
      <c r="AA380" s="1060" cm="1">
        <f t="array" ref="AA380">_xll.VAData("MHSDF_MX", "FY-"&amp;AA3, "Dividend per share", "Consensus", "CD", "","","")</f>
        <v>4.0517446497990166</v>
      </c>
      <c r="AB380" s="1060" cm="1">
        <f t="array" ref="AB380">_xll.VAData("MHSDF_MX", "FY-"&amp;AB3, "Dividend per share", "Consensus", "CD", "","","")</f>
        <v>4.8818637221327199</v>
      </c>
      <c r="AC380" s="1060" cm="1">
        <f t="array" ref="AC380">_xll.VAData("MHSDF_MX", "FY-"&amp;AC3, "Dividend per share", "Consensus", "CD", "","","")</f>
        <v>5.0971807385969798</v>
      </c>
      <c r="AD380" s="1060" cm="1">
        <f t="array" ref="AD380">_xll.VAData("MHSDF_MX", "FY-"&amp;AD3, "Dividend per share", "Consensus", "CD", "","","")</f>
        <v>5.7696249558170329</v>
      </c>
      <c r="AE380" s="1060" cm="1">
        <f t="array" ref="AE380">_xll.VAData("MHSDF_MX", "FY-"&amp;AE3, "Dividend per share", "Consensus", "CD", "","","")</f>
        <v>7.9613365667110196</v>
      </c>
      <c r="AF380" s="1060" cm="1">
        <f t="array" ref="AF380">_xll.VAData("MHSDF_MX", "FY-"&amp;AF3, "Dividend per share", "Consensus", "CD", "","","")</f>
        <v>8.3146540743219202</v>
      </c>
      <c r="AG380" s="1060" cm="1">
        <f t="array" ref="AG380">_xll.VAData("MHSDF_MX", "FY-"&amp;AG3, "Dividend per share", "Consensus", "CD", "","","")</f>
        <v>8.6501516845994999</v>
      </c>
      <c r="AH380" s="1060" cm="1">
        <f t="array" ref="AH380">_xll.VAData("MHSDF_MX", "FY-"&amp;AH3, "Dividend per share", "Consensus", "CD", "","","")</f>
        <v>8.9936774018672807</v>
      </c>
      <c r="AI380" s="1060" cm="1">
        <f t="array" ref="AI380">_xll.VAData("MHSDF_MX", "FY-"&amp;AI3, "Dividend per share", "Consensus", "CD", "","","")</f>
        <v>9.3452727914941107</v>
      </c>
      <c r="AJ380" s="267"/>
      <c r="AK380" s="267"/>
      <c r="AL380" s="267"/>
      <c r="AM380" s="267"/>
      <c r="AN380" s="267"/>
      <c r="AO380" s="267"/>
      <c r="AP380" s="267"/>
      <c r="AQ380" s="267"/>
      <c r="AR380" s="267"/>
    </row>
    <row r="381" spans="1:44" ht="15.75">
      <c r="A381" s="267"/>
      <c r="B381" s="521"/>
      <c r="C381" s="521"/>
      <c r="D381" s="574"/>
      <c r="E381" s="574"/>
      <c r="F381" s="574"/>
      <c r="G381" s="574"/>
      <c r="H381" s="574"/>
      <c r="I381" s="574"/>
      <c r="J381" s="574"/>
      <c r="K381" s="574"/>
      <c r="L381" s="574"/>
      <c r="M381" s="574"/>
      <c r="N381" s="574"/>
      <c r="O381" s="574"/>
      <c r="P381" s="574"/>
      <c r="Q381" s="574"/>
      <c r="R381" s="574"/>
      <c r="S381" s="574"/>
      <c r="T381" s="574"/>
      <c r="U381" s="574"/>
      <c r="V381" s="574"/>
      <c r="W381" s="574"/>
      <c r="X381" s="574"/>
      <c r="Y381" s="574"/>
      <c r="Z381" s="538"/>
      <c r="AA381" s="538"/>
      <c r="AB381" s="538"/>
      <c r="AC381" s="538"/>
      <c r="AD381" s="538"/>
      <c r="AE381" s="538"/>
      <c r="AF381" s="538"/>
      <c r="AG381" s="538"/>
      <c r="AH381" s="538"/>
      <c r="AI381" s="538"/>
      <c r="AJ381" s="267"/>
      <c r="AK381" s="267"/>
      <c r="AL381" s="267"/>
      <c r="AM381" s="267"/>
      <c r="AN381" s="267"/>
      <c r="AO381" s="267"/>
      <c r="AP381" s="267"/>
      <c r="AQ381" s="267"/>
      <c r="AR381" s="267"/>
    </row>
    <row r="382" spans="1:44" ht="15.75">
      <c r="A382" s="267"/>
      <c r="B382" s="521"/>
      <c r="C382" s="521"/>
      <c r="D382" s="574"/>
      <c r="E382" s="574"/>
      <c r="F382" s="574"/>
      <c r="G382" s="574"/>
      <c r="H382" s="574"/>
      <c r="I382" s="574"/>
      <c r="J382" s="574"/>
      <c r="K382" s="574"/>
      <c r="L382" s="574"/>
      <c r="M382" s="574"/>
      <c r="N382" s="574"/>
      <c r="O382" s="574"/>
      <c r="P382" s="574"/>
      <c r="Q382" s="574"/>
      <c r="R382" s="574"/>
      <c r="S382" s="574"/>
      <c r="T382" s="574"/>
      <c r="U382" s="574"/>
      <c r="V382" s="574"/>
      <c r="W382" s="574"/>
      <c r="X382" s="574"/>
      <c r="Y382" s="574"/>
      <c r="Z382" s="574"/>
      <c r="AA382" s="574"/>
      <c r="AB382" s="574"/>
      <c r="AC382" s="574"/>
      <c r="AD382" s="574"/>
      <c r="AE382" s="574"/>
      <c r="AF382" s="574"/>
      <c r="AG382" s="574"/>
      <c r="AH382" s="574"/>
      <c r="AI382" s="574"/>
      <c r="AJ382" s="267"/>
      <c r="AK382" s="267"/>
      <c r="AL382" s="267"/>
      <c r="AM382" s="267"/>
      <c r="AN382" s="267"/>
      <c r="AO382" s="267"/>
      <c r="AP382" s="267"/>
      <c r="AQ382" s="267"/>
      <c r="AR382" s="267"/>
    </row>
    <row r="383" spans="1:44" ht="15.75">
      <c r="A383" s="267"/>
      <c r="B383" s="521"/>
      <c r="C383" s="521"/>
      <c r="D383" s="574"/>
      <c r="E383" s="574"/>
      <c r="F383" s="574"/>
      <c r="G383" s="574"/>
      <c r="H383" s="574"/>
      <c r="I383" s="574"/>
      <c r="J383" s="574"/>
      <c r="K383" s="574"/>
      <c r="L383" s="574"/>
      <c r="M383" s="574"/>
      <c r="N383" s="574"/>
      <c r="O383" s="574"/>
      <c r="P383" s="574"/>
      <c r="Q383" s="574"/>
      <c r="R383" s="574"/>
      <c r="S383" s="574"/>
      <c r="T383" s="574"/>
      <c r="U383" s="574"/>
      <c r="V383" s="574"/>
      <c r="W383" s="574"/>
      <c r="X383" s="574"/>
      <c r="Y383" s="574"/>
      <c r="Z383" s="574"/>
      <c r="AA383" s="574"/>
      <c r="AB383" s="574"/>
      <c r="AC383" s="574"/>
      <c r="AD383" s="574"/>
      <c r="AE383" s="574"/>
      <c r="AF383" s="574"/>
      <c r="AG383" s="574"/>
      <c r="AH383" s="574"/>
      <c r="AI383" s="574"/>
      <c r="AJ383" s="267"/>
      <c r="AK383" s="267"/>
      <c r="AL383" s="267"/>
      <c r="AM383" s="267"/>
      <c r="AN383" s="267"/>
      <c r="AO383" s="267"/>
      <c r="AP383" s="267"/>
      <c r="AQ383" s="267"/>
      <c r="AR383" s="267"/>
    </row>
    <row r="384" spans="1:44" ht="15.75">
      <c r="A384" s="267"/>
      <c r="AJ384" s="267"/>
      <c r="AK384" s="267"/>
      <c r="AL384" s="267"/>
      <c r="AM384" s="267"/>
      <c r="AN384" s="267"/>
      <c r="AO384" s="267"/>
      <c r="AP384" s="267"/>
      <c r="AQ384" s="267"/>
      <c r="AR384" s="267"/>
    </row>
    <row r="385" spans="1:44" ht="15.75">
      <c r="A385" s="267"/>
      <c r="B385" s="521"/>
      <c r="C385" s="521"/>
      <c r="D385" s="574"/>
      <c r="E385" s="574"/>
      <c r="F385" s="574"/>
      <c r="G385" s="574"/>
      <c r="H385" s="574"/>
      <c r="I385" s="574"/>
      <c r="J385" s="574"/>
      <c r="K385" s="574"/>
      <c r="L385" s="574"/>
      <c r="M385" s="574"/>
      <c r="N385" s="574"/>
      <c r="O385" s="574"/>
      <c r="P385" s="574"/>
      <c r="Q385" s="574"/>
      <c r="R385" s="574"/>
      <c r="S385" s="574"/>
      <c r="T385" s="574"/>
      <c r="U385" s="574"/>
      <c r="V385" s="574"/>
      <c r="W385" s="574"/>
      <c r="X385" s="574"/>
      <c r="Y385" s="574"/>
      <c r="Z385" s="538"/>
      <c r="AA385" s="538"/>
      <c r="AB385" s="538"/>
      <c r="AC385" s="538"/>
      <c r="AD385" s="538"/>
      <c r="AE385" s="538"/>
      <c r="AF385" s="538"/>
      <c r="AG385" s="538"/>
      <c r="AH385" s="538"/>
      <c r="AI385" s="538"/>
      <c r="AJ385" s="267"/>
      <c r="AK385" s="267"/>
      <c r="AL385" s="267"/>
      <c r="AM385" s="267"/>
      <c r="AN385" s="267"/>
      <c r="AO385" s="267"/>
      <c r="AP385" s="267"/>
      <c r="AQ385" s="267"/>
      <c r="AR385" s="267"/>
    </row>
    <row r="386" spans="1:44" ht="15.75">
      <c r="A386" s="267"/>
      <c r="B386" s="521"/>
      <c r="C386" s="521"/>
      <c r="D386" s="574"/>
      <c r="E386" s="574"/>
      <c r="F386" s="574"/>
      <c r="G386" s="574"/>
      <c r="H386" s="574"/>
      <c r="I386" s="574"/>
      <c r="J386" s="574"/>
      <c r="K386" s="574"/>
      <c r="L386" s="574"/>
      <c r="M386" s="574"/>
      <c r="N386" s="574"/>
      <c r="O386" s="574"/>
      <c r="P386" s="574"/>
      <c r="Q386" s="574"/>
      <c r="R386" s="574"/>
      <c r="S386" s="574"/>
      <c r="T386" s="574"/>
      <c r="U386" s="574"/>
      <c r="V386" s="574"/>
      <c r="W386" s="574"/>
      <c r="X386" s="574"/>
      <c r="Y386" s="574"/>
      <c r="Z386" s="574"/>
      <c r="AA386" s="538"/>
      <c r="AB386" s="538"/>
      <c r="AC386" s="538"/>
      <c r="AD386" s="538"/>
      <c r="AE386" s="538"/>
      <c r="AF386" s="538"/>
      <c r="AG386" s="538"/>
      <c r="AH386" s="538"/>
      <c r="AI386" s="538"/>
      <c r="AJ386" s="267"/>
      <c r="AK386" s="267"/>
      <c r="AL386" s="267"/>
      <c r="AM386" s="267"/>
      <c r="AN386" s="267"/>
      <c r="AO386" s="267"/>
      <c r="AP386" s="267"/>
      <c r="AQ386" s="267"/>
      <c r="AR386" s="267"/>
    </row>
    <row r="387" spans="1:44" ht="15.75">
      <c r="A387" s="267"/>
      <c r="B387" s="521"/>
      <c r="C387" s="521"/>
      <c r="D387" s="574"/>
      <c r="E387" s="574"/>
      <c r="F387" s="574"/>
      <c r="G387" s="574"/>
      <c r="H387" s="574"/>
      <c r="I387" s="574"/>
      <c r="J387" s="574"/>
      <c r="K387" s="574"/>
      <c r="L387" s="574"/>
      <c r="M387" s="574"/>
      <c r="N387" s="574"/>
      <c r="O387" s="574"/>
      <c r="P387" s="574"/>
      <c r="Q387" s="574"/>
      <c r="R387" s="574"/>
      <c r="S387" s="574"/>
      <c r="T387" s="574"/>
      <c r="U387" s="574"/>
      <c r="V387" s="574"/>
      <c r="W387" s="574"/>
      <c r="X387" s="574"/>
      <c r="Y387" s="574"/>
      <c r="Z387" s="574"/>
      <c r="AA387" s="574"/>
      <c r="AB387" s="574"/>
      <c r="AC387" s="574"/>
      <c r="AD387" s="574"/>
      <c r="AE387" s="574"/>
      <c r="AF387" s="574"/>
      <c r="AG387" s="574"/>
      <c r="AH387" s="574"/>
      <c r="AI387" s="574"/>
      <c r="AJ387" s="267"/>
      <c r="AK387" s="267"/>
      <c r="AL387" s="267"/>
      <c r="AM387" s="267"/>
      <c r="AN387" s="267"/>
      <c r="AO387" s="267"/>
      <c r="AP387" s="267"/>
      <c r="AQ387" s="267"/>
      <c r="AR387" s="267"/>
    </row>
    <row r="388" spans="1:44" ht="15.75">
      <c r="A388" s="267"/>
      <c r="B388" s="521"/>
      <c r="C388" s="521"/>
      <c r="D388" s="574"/>
      <c r="E388" s="574"/>
      <c r="F388" s="574"/>
      <c r="G388" s="574"/>
      <c r="H388" s="574"/>
      <c r="I388" s="574"/>
      <c r="J388" s="574"/>
      <c r="K388" s="574"/>
      <c r="L388" s="574"/>
      <c r="M388" s="574"/>
      <c r="N388" s="574"/>
      <c r="O388" s="574"/>
      <c r="P388" s="574"/>
      <c r="Q388" s="574"/>
      <c r="R388" s="574"/>
      <c r="S388" s="574"/>
      <c r="T388" s="574"/>
      <c r="U388" s="574"/>
      <c r="V388" s="574"/>
      <c r="W388" s="574"/>
      <c r="X388" s="574"/>
      <c r="Y388" s="574"/>
      <c r="Z388" s="574"/>
      <c r="AA388" s="574"/>
      <c r="AB388" s="574"/>
      <c r="AC388" s="574"/>
      <c r="AD388" s="574"/>
      <c r="AE388" s="574"/>
      <c r="AF388" s="574"/>
      <c r="AG388" s="574"/>
      <c r="AH388" s="574"/>
      <c r="AI388" s="574"/>
      <c r="AJ388" s="267"/>
      <c r="AK388" s="267"/>
      <c r="AL388" s="267"/>
      <c r="AM388" s="267"/>
      <c r="AN388" s="267"/>
      <c r="AO388" s="267"/>
      <c r="AP388" s="267"/>
      <c r="AQ388" s="267"/>
      <c r="AR388" s="267"/>
    </row>
    <row r="389" spans="1:44" ht="15.75">
      <c r="A389" s="267"/>
      <c r="B389" s="521"/>
      <c r="C389" s="521"/>
      <c r="D389" s="574"/>
      <c r="E389" s="574"/>
      <c r="F389" s="574"/>
      <c r="G389" s="574"/>
      <c r="H389" s="574"/>
      <c r="I389" s="574"/>
      <c r="J389" s="574"/>
      <c r="K389" s="574"/>
      <c r="L389" s="574"/>
      <c r="M389" s="574"/>
      <c r="N389" s="574"/>
      <c r="O389" s="574"/>
      <c r="P389" s="574"/>
      <c r="Q389" s="574"/>
      <c r="R389" s="574"/>
      <c r="S389" s="574"/>
      <c r="T389" s="574"/>
      <c r="U389" s="574"/>
      <c r="V389" s="574"/>
      <c r="W389" s="574"/>
      <c r="X389" s="574"/>
      <c r="Y389" s="574"/>
      <c r="Z389" s="574"/>
      <c r="AA389" s="574"/>
      <c r="AB389" s="574"/>
      <c r="AC389" s="574"/>
      <c r="AD389" s="574"/>
      <c r="AE389" s="574"/>
      <c r="AF389" s="574"/>
      <c r="AG389" s="574"/>
      <c r="AH389" s="574"/>
      <c r="AI389" s="574"/>
      <c r="AJ389" s="267"/>
      <c r="AK389" s="267"/>
      <c r="AL389" s="267"/>
      <c r="AM389" s="267"/>
      <c r="AN389" s="267"/>
      <c r="AO389" s="267"/>
      <c r="AP389" s="267"/>
      <c r="AQ389" s="267"/>
      <c r="AR389" s="267"/>
    </row>
    <row r="390" spans="1:44" ht="15.75">
      <c r="A390" s="267"/>
      <c r="B390" s="521"/>
      <c r="C390" s="521"/>
      <c r="D390" s="574"/>
      <c r="E390" s="574"/>
      <c r="F390" s="574"/>
      <c r="G390" s="574"/>
      <c r="H390" s="574"/>
      <c r="I390" s="574"/>
      <c r="J390" s="574"/>
      <c r="K390" s="574"/>
      <c r="L390" s="574"/>
      <c r="M390" s="574"/>
      <c r="N390" s="574"/>
      <c r="O390" s="574"/>
      <c r="P390" s="574"/>
      <c r="Q390" s="574"/>
      <c r="R390" s="574"/>
      <c r="S390" s="574"/>
      <c r="T390" s="574"/>
      <c r="U390" s="574"/>
      <c r="V390" s="574"/>
      <c r="W390" s="574"/>
      <c r="X390" s="574"/>
      <c r="Y390" s="574"/>
      <c r="Z390" s="574"/>
      <c r="AA390" s="574"/>
      <c r="AB390" s="574"/>
      <c r="AC390" s="574"/>
      <c r="AD390" s="574"/>
      <c r="AE390" s="574"/>
      <c r="AF390" s="574"/>
      <c r="AG390" s="574"/>
      <c r="AH390" s="574"/>
      <c r="AI390" s="574"/>
      <c r="AJ390" s="267"/>
      <c r="AK390" s="267"/>
      <c r="AL390" s="267"/>
      <c r="AM390" s="267"/>
      <c r="AN390" s="267"/>
      <c r="AO390" s="267"/>
      <c r="AP390" s="267"/>
      <c r="AQ390" s="267"/>
      <c r="AR390" s="267"/>
    </row>
    <row r="391" spans="1:44" ht="15.75">
      <c r="A391" s="267"/>
      <c r="B391" s="521"/>
      <c r="C391" s="521"/>
      <c r="D391" s="574"/>
      <c r="E391" s="574"/>
      <c r="F391" s="574"/>
      <c r="G391" s="574"/>
      <c r="H391" s="574"/>
      <c r="I391" s="574"/>
      <c r="J391" s="574"/>
      <c r="K391" s="574"/>
      <c r="L391" s="574"/>
      <c r="M391" s="574"/>
      <c r="N391" s="574"/>
      <c r="O391" s="574"/>
      <c r="P391" s="574"/>
      <c r="Q391" s="574"/>
      <c r="R391" s="574"/>
      <c r="S391" s="574"/>
      <c r="T391" s="574"/>
      <c r="U391" s="574"/>
      <c r="V391" s="574"/>
      <c r="W391" s="574"/>
      <c r="X391" s="574"/>
      <c r="Y391" s="574"/>
      <c r="Z391" s="574"/>
      <c r="AA391" s="574"/>
      <c r="AB391" s="574"/>
      <c r="AC391" s="574"/>
      <c r="AD391" s="574"/>
      <c r="AE391" s="574"/>
      <c r="AF391" s="574"/>
      <c r="AG391" s="574"/>
      <c r="AH391" s="574"/>
      <c r="AI391" s="574"/>
      <c r="AJ391" s="267"/>
      <c r="AK391" s="267"/>
      <c r="AL391" s="267"/>
      <c r="AM391" s="267"/>
      <c r="AN391" s="267"/>
      <c r="AO391" s="267"/>
      <c r="AP391" s="267"/>
      <c r="AQ391" s="267"/>
      <c r="AR391" s="267"/>
    </row>
    <row r="392" spans="1:44" ht="15.75">
      <c r="A392" s="267"/>
      <c r="B392" s="521"/>
      <c r="C392" s="521"/>
      <c r="D392" s="574"/>
      <c r="E392" s="574"/>
      <c r="F392" s="574"/>
      <c r="G392" s="574"/>
      <c r="H392" s="574"/>
      <c r="I392" s="574"/>
      <c r="J392" s="574"/>
      <c r="K392" s="574"/>
      <c r="L392" s="574"/>
      <c r="M392" s="574"/>
      <c r="N392" s="574"/>
      <c r="O392" s="574"/>
      <c r="P392" s="574"/>
      <c r="Q392" s="574"/>
      <c r="R392" s="574"/>
      <c r="S392" s="574"/>
      <c r="T392" s="574"/>
      <c r="U392" s="574"/>
      <c r="V392" s="574"/>
      <c r="W392" s="574"/>
      <c r="X392" s="574"/>
      <c r="Y392" s="574"/>
      <c r="Z392" s="574"/>
      <c r="AA392" s="574"/>
      <c r="AB392" s="574"/>
      <c r="AC392" s="574"/>
      <c r="AD392" s="574"/>
      <c r="AE392" s="574"/>
      <c r="AF392" s="574"/>
      <c r="AG392" s="574"/>
      <c r="AH392" s="574"/>
      <c r="AI392" s="574"/>
      <c r="AJ392" s="267"/>
      <c r="AK392" s="267"/>
      <c r="AL392" s="267"/>
      <c r="AM392" s="267"/>
      <c r="AN392" s="267"/>
      <c r="AO392" s="267"/>
      <c r="AP392" s="267"/>
      <c r="AQ392" s="267"/>
      <c r="AR392" s="267"/>
    </row>
    <row r="393" spans="1:44" ht="15.75">
      <c r="A393" s="267"/>
      <c r="B393" s="521"/>
      <c r="C393" s="521"/>
      <c r="D393" s="574"/>
      <c r="E393" s="574"/>
      <c r="F393" s="574"/>
      <c r="G393" s="574"/>
      <c r="H393" s="574"/>
      <c r="I393" s="574"/>
      <c r="J393" s="574"/>
      <c r="K393" s="574"/>
      <c r="L393" s="574"/>
      <c r="M393" s="574"/>
      <c r="N393" s="574"/>
      <c r="O393" s="574"/>
      <c r="P393" s="574"/>
      <c r="Q393" s="574"/>
      <c r="R393" s="574"/>
      <c r="S393" s="574"/>
      <c r="T393" s="574"/>
      <c r="U393" s="574"/>
      <c r="V393" s="574"/>
      <c r="W393" s="574"/>
      <c r="X393" s="574"/>
      <c r="Y393" s="574"/>
      <c r="Z393" s="574"/>
      <c r="AA393" s="574"/>
      <c r="AB393" s="574"/>
      <c r="AC393" s="574"/>
      <c r="AD393" s="574"/>
      <c r="AE393" s="574"/>
      <c r="AF393" s="574"/>
      <c r="AG393" s="574"/>
      <c r="AH393" s="574"/>
      <c r="AI393" s="574"/>
      <c r="AJ393" s="267"/>
      <c r="AK393" s="267"/>
      <c r="AL393" s="267"/>
      <c r="AM393" s="267"/>
      <c r="AN393" s="267"/>
      <c r="AO393" s="267"/>
      <c r="AP393" s="267"/>
      <c r="AQ393" s="267"/>
      <c r="AR393" s="267"/>
    </row>
    <row r="394" spans="1:44" ht="15.75">
      <c r="A394" s="267"/>
      <c r="B394" s="521"/>
      <c r="C394" s="521"/>
      <c r="D394" s="574"/>
      <c r="E394" s="574"/>
      <c r="F394" s="574"/>
      <c r="G394" s="574"/>
      <c r="H394" s="574"/>
      <c r="I394" s="574"/>
      <c r="J394" s="574"/>
      <c r="K394" s="574"/>
      <c r="L394" s="574"/>
      <c r="M394" s="574"/>
      <c r="N394" s="574"/>
      <c r="O394" s="574"/>
      <c r="P394" s="574"/>
      <c r="Q394" s="574"/>
      <c r="R394" s="574"/>
      <c r="S394" s="574"/>
      <c r="T394" s="574"/>
      <c r="U394" s="574"/>
      <c r="V394" s="574"/>
      <c r="W394" s="574"/>
      <c r="X394" s="574"/>
      <c r="Y394" s="574"/>
      <c r="Z394" s="574"/>
      <c r="AA394" s="574"/>
      <c r="AB394" s="574"/>
      <c r="AC394" s="574"/>
      <c r="AD394" s="574"/>
      <c r="AE394" s="574"/>
      <c r="AF394" s="574"/>
      <c r="AG394" s="574"/>
      <c r="AH394" s="574"/>
      <c r="AI394" s="574"/>
      <c r="AJ394" s="267"/>
      <c r="AK394" s="267"/>
      <c r="AL394" s="267"/>
      <c r="AM394" s="267"/>
      <c r="AN394" s="267"/>
      <c r="AO394" s="267"/>
      <c r="AP394" s="267"/>
      <c r="AQ394" s="267"/>
      <c r="AR394" s="267"/>
    </row>
    <row r="395" spans="1:44" ht="15.75">
      <c r="A395" s="267"/>
      <c r="B395" s="521"/>
      <c r="C395" s="521"/>
      <c r="D395" s="574"/>
      <c r="E395" s="574"/>
      <c r="F395" s="574"/>
      <c r="G395" s="574"/>
      <c r="H395" s="574"/>
      <c r="I395" s="574"/>
      <c r="J395" s="574"/>
      <c r="K395" s="574"/>
      <c r="L395" s="574"/>
      <c r="M395" s="574"/>
      <c r="N395" s="574"/>
      <c r="O395" s="574"/>
      <c r="P395" s="574"/>
      <c r="Q395" s="574"/>
      <c r="R395" s="574"/>
      <c r="S395" s="574"/>
      <c r="T395" s="574"/>
      <c r="U395" s="574"/>
      <c r="V395" s="574"/>
      <c r="W395" s="574"/>
      <c r="X395" s="574"/>
      <c r="Y395" s="574"/>
      <c r="Z395" s="574"/>
      <c r="AA395" s="574"/>
      <c r="AB395" s="574"/>
      <c r="AC395" s="574"/>
      <c r="AD395" s="574"/>
      <c r="AE395" s="574"/>
      <c r="AF395" s="574"/>
      <c r="AG395" s="574"/>
      <c r="AH395" s="574"/>
      <c r="AI395" s="574"/>
      <c r="AJ395" s="267"/>
      <c r="AK395" s="267"/>
      <c r="AL395" s="267"/>
      <c r="AM395" s="267"/>
      <c r="AN395" s="267"/>
      <c r="AO395" s="267"/>
      <c r="AP395" s="267"/>
      <c r="AQ395" s="267"/>
      <c r="AR395" s="267"/>
    </row>
    <row r="396" spans="1:44" ht="15.75">
      <c r="A396" s="267"/>
      <c r="B396" s="521"/>
      <c r="C396" s="521"/>
      <c r="D396" s="574"/>
      <c r="E396" s="574"/>
      <c r="F396" s="574"/>
      <c r="G396" s="574"/>
      <c r="H396" s="574"/>
      <c r="I396" s="574"/>
      <c r="J396" s="574"/>
      <c r="K396" s="574"/>
      <c r="L396" s="574"/>
      <c r="M396" s="574"/>
      <c r="N396" s="574"/>
      <c r="O396" s="574"/>
      <c r="P396" s="574"/>
      <c r="Q396" s="574"/>
      <c r="R396" s="574"/>
      <c r="S396" s="574"/>
      <c r="T396" s="574"/>
      <c r="U396" s="574"/>
      <c r="V396" s="574"/>
      <c r="W396" s="574"/>
      <c r="X396" s="574"/>
      <c r="Y396" s="574"/>
      <c r="Z396" s="574"/>
      <c r="AA396" s="574"/>
      <c r="AB396" s="574"/>
      <c r="AC396" s="574"/>
      <c r="AD396" s="574"/>
      <c r="AE396" s="574"/>
      <c r="AF396" s="574"/>
      <c r="AG396" s="574"/>
      <c r="AH396" s="574"/>
      <c r="AI396" s="574"/>
      <c r="AJ396" s="267"/>
      <c r="AK396" s="267"/>
      <c r="AL396" s="267"/>
      <c r="AM396" s="267"/>
      <c r="AN396" s="267"/>
      <c r="AO396" s="267"/>
      <c r="AP396" s="267"/>
      <c r="AQ396" s="267"/>
      <c r="AR396" s="267"/>
    </row>
    <row r="397" spans="1:44" ht="15.75">
      <c r="A397" s="267"/>
      <c r="B397" s="521"/>
      <c r="C397" s="521"/>
      <c r="D397" s="574"/>
      <c r="E397" s="574"/>
      <c r="F397" s="574"/>
      <c r="G397" s="574"/>
      <c r="H397" s="574"/>
      <c r="I397" s="574"/>
      <c r="J397" s="574"/>
      <c r="K397" s="574"/>
      <c r="L397" s="574"/>
      <c r="M397" s="574"/>
      <c r="N397" s="574"/>
      <c r="O397" s="574"/>
      <c r="P397" s="574"/>
      <c r="Q397" s="574"/>
      <c r="R397" s="574"/>
      <c r="S397" s="574"/>
      <c r="T397" s="574"/>
      <c r="U397" s="574"/>
      <c r="V397" s="574"/>
      <c r="W397" s="574"/>
      <c r="X397" s="574"/>
      <c r="Y397" s="574"/>
      <c r="Z397" s="574"/>
      <c r="AA397" s="574"/>
      <c r="AB397" s="574"/>
      <c r="AC397" s="574"/>
      <c r="AD397" s="574"/>
      <c r="AE397" s="574"/>
      <c r="AF397" s="574"/>
      <c r="AG397" s="574"/>
      <c r="AH397" s="574"/>
      <c r="AI397" s="574"/>
      <c r="AJ397" s="267"/>
      <c r="AK397" s="267"/>
      <c r="AL397" s="267"/>
      <c r="AM397" s="267"/>
      <c r="AN397" s="267"/>
      <c r="AO397" s="267"/>
      <c r="AP397" s="267"/>
      <c r="AQ397" s="267"/>
      <c r="AR397" s="267"/>
    </row>
    <row r="398" spans="1:44" ht="15.75">
      <c r="A398" s="267"/>
      <c r="B398" s="521"/>
      <c r="C398" s="521"/>
      <c r="D398" s="574"/>
      <c r="E398" s="574"/>
      <c r="F398" s="574"/>
      <c r="G398" s="574"/>
      <c r="H398" s="574"/>
      <c r="I398" s="574"/>
      <c r="J398" s="574"/>
      <c r="K398" s="574"/>
      <c r="L398" s="574"/>
      <c r="M398" s="574"/>
      <c r="N398" s="574"/>
      <c r="O398" s="574"/>
      <c r="P398" s="574"/>
      <c r="Q398" s="574"/>
      <c r="R398" s="574"/>
      <c r="S398" s="574"/>
      <c r="T398" s="574"/>
      <c r="U398" s="574"/>
      <c r="V398" s="574"/>
      <c r="W398" s="574"/>
      <c r="X398" s="574"/>
      <c r="Y398" s="574"/>
      <c r="Z398" s="574"/>
      <c r="AA398" s="574"/>
      <c r="AB398" s="574"/>
      <c r="AC398" s="574"/>
      <c r="AD398" s="574"/>
      <c r="AE398" s="574"/>
      <c r="AF398" s="574"/>
      <c r="AG398" s="574"/>
      <c r="AH398" s="574"/>
      <c r="AI398" s="574"/>
      <c r="AJ398" s="267"/>
      <c r="AK398" s="267"/>
      <c r="AL398" s="267"/>
      <c r="AM398" s="267"/>
      <c r="AN398" s="267"/>
      <c r="AO398" s="267"/>
      <c r="AP398" s="267"/>
      <c r="AQ398" s="267"/>
      <c r="AR398" s="267"/>
    </row>
    <row r="399" spans="1:44" ht="15.75">
      <c r="A399" s="267"/>
      <c r="B399" s="521"/>
      <c r="C399" s="521"/>
      <c r="D399" s="574"/>
      <c r="E399" s="574"/>
      <c r="F399" s="574"/>
      <c r="G399" s="574"/>
      <c r="H399" s="574"/>
      <c r="I399" s="574"/>
      <c r="J399" s="574"/>
      <c r="K399" s="574"/>
      <c r="L399" s="574"/>
      <c r="M399" s="574"/>
      <c r="N399" s="574"/>
      <c r="O399" s="574"/>
      <c r="P399" s="574"/>
      <c r="Q399" s="574"/>
      <c r="R399" s="574"/>
      <c r="S399" s="574"/>
      <c r="T399" s="574"/>
      <c r="U399" s="574"/>
      <c r="V399" s="574"/>
      <c r="W399" s="574"/>
      <c r="X399" s="574"/>
      <c r="Y399" s="574"/>
      <c r="Z399" s="574"/>
      <c r="AA399" s="574"/>
      <c r="AB399" s="574"/>
      <c r="AC399" s="574"/>
      <c r="AD399" s="574"/>
      <c r="AE399" s="574"/>
      <c r="AF399" s="574"/>
      <c r="AG399" s="574"/>
      <c r="AH399" s="574"/>
      <c r="AI399" s="574"/>
      <c r="AJ399" s="267"/>
      <c r="AK399" s="267"/>
      <c r="AL399" s="267"/>
      <c r="AM399" s="267"/>
      <c r="AN399" s="267"/>
      <c r="AO399" s="267"/>
      <c r="AP399" s="267"/>
      <c r="AQ399" s="267"/>
      <c r="AR399" s="267"/>
    </row>
    <row r="400" spans="1:44" ht="15.75">
      <c r="A400" s="267"/>
      <c r="B400" s="521"/>
      <c r="C400" s="521"/>
      <c r="D400" s="574"/>
      <c r="E400" s="574"/>
      <c r="F400" s="574"/>
      <c r="G400" s="574"/>
      <c r="H400" s="574"/>
      <c r="I400" s="574"/>
      <c r="J400" s="574"/>
      <c r="K400" s="574"/>
      <c r="L400" s="574"/>
      <c r="M400" s="574"/>
      <c r="N400" s="574"/>
      <c r="O400" s="574"/>
      <c r="P400" s="574"/>
      <c r="Q400" s="574"/>
      <c r="R400" s="574"/>
      <c r="S400" s="574"/>
      <c r="T400" s="574"/>
      <c r="U400" s="574"/>
      <c r="V400" s="574"/>
      <c r="W400" s="574"/>
      <c r="X400" s="574"/>
      <c r="Y400" s="574"/>
      <c r="Z400" s="574"/>
      <c r="AA400" s="574"/>
      <c r="AB400" s="574"/>
      <c r="AC400" s="574"/>
      <c r="AD400" s="574"/>
      <c r="AE400" s="574"/>
      <c r="AF400" s="574"/>
      <c r="AG400" s="574"/>
      <c r="AH400" s="574"/>
      <c r="AI400" s="574"/>
      <c r="AJ400" s="267"/>
      <c r="AK400" s="267"/>
      <c r="AL400" s="267"/>
      <c r="AM400" s="267"/>
      <c r="AN400" s="267"/>
      <c r="AO400" s="267"/>
      <c r="AP400" s="267"/>
      <c r="AQ400" s="267"/>
      <c r="AR400" s="267"/>
    </row>
    <row r="401" spans="1:44" ht="15.75">
      <c r="A401" s="267"/>
      <c r="B401" s="521"/>
      <c r="C401" s="521"/>
      <c r="D401" s="574"/>
      <c r="E401" s="574"/>
      <c r="F401" s="574"/>
      <c r="G401" s="574"/>
      <c r="H401" s="574"/>
      <c r="I401" s="574"/>
      <c r="J401" s="574"/>
      <c r="K401" s="574"/>
      <c r="L401" s="574"/>
      <c r="M401" s="574"/>
      <c r="N401" s="574"/>
      <c r="O401" s="574"/>
      <c r="P401" s="574"/>
      <c r="Q401" s="574"/>
      <c r="R401" s="574"/>
      <c r="S401" s="574"/>
      <c r="T401" s="574"/>
      <c r="U401" s="574"/>
      <c r="V401" s="574"/>
      <c r="W401" s="574"/>
      <c r="X401" s="574"/>
      <c r="Y401" s="574"/>
      <c r="Z401" s="574"/>
      <c r="AA401" s="574"/>
      <c r="AB401" s="574"/>
      <c r="AC401" s="574"/>
      <c r="AD401" s="574"/>
      <c r="AE401" s="574"/>
      <c r="AF401" s="574"/>
      <c r="AG401" s="574"/>
      <c r="AH401" s="574"/>
      <c r="AI401" s="574"/>
      <c r="AJ401" s="267"/>
      <c r="AK401" s="267"/>
      <c r="AL401" s="267"/>
      <c r="AM401" s="267"/>
      <c r="AN401" s="267"/>
      <c r="AO401" s="267"/>
      <c r="AP401" s="267"/>
      <c r="AQ401" s="267"/>
      <c r="AR401" s="267"/>
    </row>
    <row r="402" spans="1:44" ht="15.75">
      <c r="A402" s="267"/>
      <c r="B402" s="521"/>
      <c r="C402" s="521"/>
      <c r="D402" s="574"/>
      <c r="E402" s="574"/>
      <c r="F402" s="574"/>
      <c r="G402" s="574"/>
      <c r="H402" s="574"/>
      <c r="I402" s="574"/>
      <c r="J402" s="574"/>
      <c r="K402" s="574"/>
      <c r="L402" s="574"/>
      <c r="M402" s="574"/>
      <c r="N402" s="574"/>
      <c r="O402" s="574"/>
      <c r="P402" s="574"/>
      <c r="Q402" s="574"/>
      <c r="R402" s="574"/>
      <c r="S402" s="574"/>
      <c r="T402" s="574"/>
      <c r="U402" s="574"/>
      <c r="V402" s="574"/>
      <c r="W402" s="574"/>
      <c r="X402" s="574"/>
      <c r="Y402" s="574"/>
      <c r="Z402" s="574"/>
      <c r="AA402" s="574"/>
      <c r="AB402" s="574"/>
      <c r="AC402" s="574"/>
      <c r="AD402" s="574"/>
      <c r="AE402" s="574"/>
      <c r="AF402" s="574"/>
      <c r="AG402" s="574"/>
      <c r="AH402" s="574"/>
      <c r="AI402" s="574"/>
      <c r="AJ402" s="267"/>
      <c r="AK402" s="267"/>
      <c r="AL402" s="267"/>
      <c r="AM402" s="267"/>
      <c r="AN402" s="267"/>
      <c r="AO402" s="267"/>
      <c r="AP402" s="267"/>
      <c r="AQ402" s="267"/>
      <c r="AR402" s="267"/>
    </row>
    <row r="403" spans="1:44" ht="15.75">
      <c r="A403" s="267"/>
      <c r="B403" s="521"/>
      <c r="C403" s="521"/>
      <c r="D403" s="574"/>
      <c r="E403" s="574"/>
      <c r="F403" s="574"/>
      <c r="G403" s="574"/>
      <c r="H403" s="574"/>
      <c r="I403" s="574"/>
      <c r="J403" s="574"/>
      <c r="K403" s="574"/>
      <c r="L403" s="574"/>
      <c r="M403" s="574"/>
      <c r="N403" s="574"/>
      <c r="O403" s="574"/>
      <c r="P403" s="574"/>
      <c r="Q403" s="574"/>
      <c r="R403" s="574"/>
      <c r="S403" s="574"/>
      <c r="T403" s="574"/>
      <c r="U403" s="574"/>
      <c r="V403" s="574"/>
      <c r="W403" s="574"/>
      <c r="X403" s="574"/>
      <c r="Y403" s="574"/>
      <c r="Z403" s="574"/>
      <c r="AA403" s="574"/>
      <c r="AB403" s="574"/>
      <c r="AC403" s="574"/>
      <c r="AD403" s="574"/>
      <c r="AE403" s="574"/>
      <c r="AF403" s="574"/>
      <c r="AG403" s="574"/>
      <c r="AH403" s="574"/>
      <c r="AI403" s="574"/>
      <c r="AJ403" s="267"/>
      <c r="AK403" s="267"/>
      <c r="AL403" s="267"/>
      <c r="AM403" s="267"/>
      <c r="AN403" s="267"/>
      <c r="AO403" s="267"/>
      <c r="AP403" s="267"/>
      <c r="AQ403" s="267"/>
      <c r="AR403" s="267"/>
    </row>
    <row r="404" spans="1:44" ht="15.75">
      <c r="A404" s="267"/>
      <c r="B404" s="521"/>
      <c r="C404" s="521"/>
      <c r="D404" s="574"/>
      <c r="E404" s="574"/>
      <c r="F404" s="574"/>
      <c r="G404" s="574"/>
      <c r="H404" s="574"/>
      <c r="I404" s="574"/>
      <c r="J404" s="574"/>
      <c r="K404" s="574"/>
      <c r="L404" s="574"/>
      <c r="M404" s="574"/>
      <c r="N404" s="574"/>
      <c r="O404" s="574"/>
      <c r="P404" s="574"/>
      <c r="Q404" s="574"/>
      <c r="R404" s="574"/>
      <c r="S404" s="574"/>
      <c r="T404" s="574"/>
      <c r="U404" s="574"/>
      <c r="V404" s="574"/>
      <c r="W404" s="574"/>
      <c r="X404" s="574"/>
      <c r="Y404" s="574"/>
      <c r="Z404" s="574"/>
      <c r="AA404" s="574"/>
      <c r="AB404" s="574"/>
      <c r="AC404" s="574"/>
      <c r="AD404" s="574"/>
      <c r="AE404" s="574"/>
      <c r="AF404" s="574"/>
      <c r="AG404" s="574"/>
      <c r="AH404" s="574"/>
      <c r="AI404" s="574"/>
      <c r="AJ404" s="267"/>
      <c r="AK404" s="267"/>
      <c r="AL404" s="267"/>
      <c r="AM404" s="267"/>
      <c r="AN404" s="267"/>
      <c r="AO404" s="267"/>
      <c r="AP404" s="267"/>
      <c r="AQ404" s="267"/>
      <c r="AR404" s="267"/>
    </row>
    <row r="405" spans="1:44" ht="15.75">
      <c r="A405" s="267"/>
      <c r="B405" s="521"/>
      <c r="C405" s="521"/>
      <c r="D405" s="574"/>
      <c r="E405" s="574"/>
      <c r="F405" s="574"/>
      <c r="G405" s="574"/>
      <c r="H405" s="574"/>
      <c r="I405" s="574"/>
      <c r="J405" s="574"/>
      <c r="K405" s="574"/>
      <c r="L405" s="574"/>
      <c r="M405" s="574"/>
      <c r="N405" s="574"/>
      <c r="O405" s="574"/>
      <c r="P405" s="574"/>
      <c r="Q405" s="574"/>
      <c r="R405" s="574"/>
      <c r="S405" s="574"/>
      <c r="T405" s="574"/>
      <c r="U405" s="574"/>
      <c r="V405" s="574"/>
      <c r="W405" s="574"/>
      <c r="X405" s="574"/>
      <c r="Y405" s="574"/>
      <c r="Z405" s="574"/>
      <c r="AA405" s="574"/>
      <c r="AB405" s="574"/>
      <c r="AC405" s="574"/>
      <c r="AD405" s="574"/>
      <c r="AE405" s="574"/>
      <c r="AF405" s="574"/>
      <c r="AG405" s="574"/>
      <c r="AH405" s="574"/>
      <c r="AI405" s="574"/>
      <c r="AJ405" s="267"/>
      <c r="AK405" s="267"/>
      <c r="AL405" s="267"/>
      <c r="AM405" s="267"/>
      <c r="AN405" s="267"/>
      <c r="AO405" s="267"/>
      <c r="AP405" s="267"/>
      <c r="AQ405" s="267"/>
      <c r="AR405" s="267"/>
    </row>
    <row r="406" spans="1:44" ht="15.75">
      <c r="A406" s="267"/>
      <c r="B406" s="521"/>
      <c r="C406" s="521"/>
      <c r="D406" s="574"/>
      <c r="E406" s="574"/>
      <c r="F406" s="574"/>
      <c r="G406" s="574"/>
      <c r="H406" s="574"/>
      <c r="I406" s="574"/>
      <c r="J406" s="574"/>
      <c r="K406" s="574"/>
      <c r="L406" s="574"/>
      <c r="M406" s="574"/>
      <c r="N406" s="574"/>
      <c r="O406" s="574"/>
      <c r="P406" s="574"/>
      <c r="Q406" s="574"/>
      <c r="R406" s="574"/>
      <c r="S406" s="574"/>
      <c r="T406" s="574"/>
      <c r="U406" s="574"/>
      <c r="V406" s="574"/>
      <c r="W406" s="574"/>
      <c r="X406" s="574"/>
      <c r="Y406" s="574"/>
      <c r="Z406" s="574"/>
      <c r="AA406" s="574"/>
      <c r="AB406" s="574"/>
      <c r="AC406" s="574"/>
      <c r="AD406" s="574"/>
      <c r="AE406" s="574"/>
      <c r="AF406" s="574"/>
      <c r="AG406" s="574"/>
      <c r="AH406" s="574"/>
      <c r="AI406" s="574"/>
      <c r="AJ406" s="267"/>
      <c r="AK406" s="267"/>
      <c r="AL406" s="267"/>
      <c r="AM406" s="267"/>
      <c r="AN406" s="267"/>
      <c r="AO406" s="267"/>
      <c r="AP406" s="267"/>
      <c r="AQ406" s="267"/>
      <c r="AR406" s="267"/>
    </row>
    <row r="407" spans="1:44" ht="15.75">
      <c r="A407" s="267"/>
      <c r="B407" s="521"/>
      <c r="C407" s="521"/>
      <c r="D407" s="574"/>
      <c r="E407" s="574"/>
      <c r="F407" s="574"/>
      <c r="G407" s="574"/>
      <c r="H407" s="574"/>
      <c r="I407" s="574"/>
      <c r="J407" s="574"/>
      <c r="K407" s="574"/>
      <c r="L407" s="574"/>
      <c r="M407" s="574"/>
      <c r="N407" s="574"/>
      <c r="O407" s="574"/>
      <c r="P407" s="574"/>
      <c r="Q407" s="574"/>
      <c r="R407" s="574"/>
      <c r="S407" s="574"/>
      <c r="T407" s="574"/>
      <c r="U407" s="574"/>
      <c r="V407" s="574"/>
      <c r="W407" s="574"/>
      <c r="X407" s="574"/>
      <c r="Y407" s="574"/>
      <c r="Z407" s="574"/>
      <c r="AA407" s="574"/>
      <c r="AB407" s="574"/>
      <c r="AC407" s="574"/>
      <c r="AD407" s="574"/>
      <c r="AE407" s="574"/>
      <c r="AF407" s="574"/>
      <c r="AG407" s="574"/>
      <c r="AH407" s="574"/>
      <c r="AI407" s="574"/>
      <c r="AJ407" s="267"/>
      <c r="AK407" s="267"/>
      <c r="AL407" s="267"/>
      <c r="AM407" s="267"/>
      <c r="AN407" s="267"/>
      <c r="AO407" s="267"/>
      <c r="AP407" s="267"/>
      <c r="AQ407" s="267"/>
      <c r="AR407" s="267"/>
    </row>
    <row r="408" spans="1:44" ht="15.75">
      <c r="A408" s="267"/>
      <c r="B408" s="521"/>
      <c r="C408" s="521"/>
      <c r="D408" s="574"/>
      <c r="E408" s="574"/>
      <c r="F408" s="574"/>
      <c r="G408" s="574"/>
      <c r="H408" s="574"/>
      <c r="I408" s="574"/>
      <c r="J408" s="574"/>
      <c r="K408" s="574"/>
      <c r="L408" s="574"/>
      <c r="M408" s="574"/>
      <c r="N408" s="574"/>
      <c r="O408" s="574"/>
      <c r="P408" s="574"/>
      <c r="Q408" s="574"/>
      <c r="R408" s="574"/>
      <c r="S408" s="574"/>
      <c r="T408" s="574"/>
      <c r="U408" s="574"/>
      <c r="V408" s="574"/>
      <c r="W408" s="574"/>
      <c r="X408" s="574"/>
      <c r="Y408" s="574"/>
      <c r="Z408" s="574"/>
      <c r="AA408" s="574"/>
      <c r="AB408" s="574"/>
      <c r="AC408" s="574"/>
      <c r="AD408" s="574"/>
      <c r="AE408" s="574"/>
      <c r="AF408" s="574"/>
      <c r="AG408" s="574"/>
      <c r="AH408" s="574"/>
      <c r="AI408" s="574"/>
      <c r="AJ408" s="267"/>
      <c r="AK408" s="267"/>
      <c r="AL408" s="267"/>
      <c r="AM408" s="267"/>
      <c r="AN408" s="267"/>
      <c r="AO408" s="267"/>
      <c r="AP408" s="267"/>
      <c r="AQ408" s="267"/>
      <c r="AR408" s="267"/>
    </row>
    <row r="409" spans="1:44" ht="15.75">
      <c r="A409" s="267"/>
      <c r="B409" s="521"/>
      <c r="C409" s="521"/>
      <c r="D409" s="574"/>
      <c r="E409" s="574"/>
      <c r="F409" s="574"/>
      <c r="G409" s="574"/>
      <c r="H409" s="574"/>
      <c r="I409" s="574"/>
      <c r="J409" s="574"/>
      <c r="K409" s="574"/>
      <c r="L409" s="574"/>
      <c r="M409" s="574"/>
      <c r="N409" s="574"/>
      <c r="O409" s="574"/>
      <c r="P409" s="574"/>
      <c r="Q409" s="574"/>
      <c r="R409" s="574"/>
      <c r="S409" s="574"/>
      <c r="T409" s="574"/>
      <c r="U409" s="574"/>
      <c r="V409" s="574"/>
      <c r="W409" s="574"/>
      <c r="X409" s="574"/>
      <c r="Y409" s="574"/>
      <c r="Z409" s="574"/>
      <c r="AA409" s="574"/>
      <c r="AB409" s="574"/>
      <c r="AC409" s="574"/>
      <c r="AD409" s="574"/>
      <c r="AE409" s="574"/>
      <c r="AF409" s="574"/>
      <c r="AG409" s="574"/>
      <c r="AH409" s="574"/>
      <c r="AI409" s="574"/>
      <c r="AJ409" s="267"/>
      <c r="AK409" s="267"/>
      <c r="AL409" s="267"/>
      <c r="AM409" s="267"/>
      <c r="AN409" s="267"/>
      <c r="AO409" s="267"/>
      <c r="AP409" s="267"/>
      <c r="AQ409" s="267"/>
      <c r="AR409" s="267"/>
    </row>
    <row r="410" spans="1:44" ht="15.75">
      <c r="A410" s="267"/>
      <c r="B410" s="521"/>
      <c r="C410" s="521"/>
      <c r="D410" s="574"/>
      <c r="E410" s="574"/>
      <c r="F410" s="574"/>
      <c r="G410" s="574"/>
      <c r="H410" s="574"/>
      <c r="I410" s="574"/>
      <c r="J410" s="574"/>
      <c r="K410" s="574"/>
      <c r="L410" s="574"/>
      <c r="M410" s="574"/>
      <c r="N410" s="574"/>
      <c r="O410" s="574"/>
      <c r="P410" s="574"/>
      <c r="Q410" s="574"/>
      <c r="R410" s="574"/>
      <c r="S410" s="574"/>
      <c r="T410" s="574"/>
      <c r="U410" s="574"/>
      <c r="V410" s="574"/>
      <c r="W410" s="574"/>
      <c r="X410" s="574"/>
      <c r="Y410" s="574"/>
      <c r="Z410" s="574"/>
      <c r="AA410" s="574"/>
      <c r="AB410" s="574"/>
      <c r="AC410" s="574"/>
      <c r="AD410" s="574"/>
      <c r="AE410" s="574"/>
      <c r="AF410" s="574"/>
      <c r="AG410" s="574"/>
      <c r="AH410" s="574"/>
      <c r="AI410" s="574"/>
      <c r="AJ410" s="267"/>
      <c r="AK410" s="267"/>
      <c r="AL410" s="267"/>
      <c r="AM410" s="267"/>
      <c r="AN410" s="267"/>
      <c r="AO410" s="267"/>
      <c r="AP410" s="267"/>
      <c r="AQ410" s="267"/>
      <c r="AR410" s="267"/>
    </row>
    <row r="411" spans="1:44" ht="15.75">
      <c r="A411" s="267"/>
      <c r="B411" s="521"/>
      <c r="C411" s="521"/>
      <c r="D411" s="574"/>
      <c r="E411" s="574"/>
      <c r="F411" s="574"/>
      <c r="G411" s="574"/>
      <c r="H411" s="574"/>
      <c r="I411" s="574"/>
      <c r="J411" s="574"/>
      <c r="K411" s="574"/>
      <c r="L411" s="574"/>
      <c r="M411" s="574"/>
      <c r="N411" s="574"/>
      <c r="O411" s="574"/>
      <c r="P411" s="574"/>
      <c r="Q411" s="574"/>
      <c r="R411" s="574"/>
      <c r="S411" s="574"/>
      <c r="T411" s="574"/>
      <c r="U411" s="574"/>
      <c r="V411" s="574"/>
      <c r="W411" s="574"/>
      <c r="X411" s="574"/>
      <c r="Y411" s="574"/>
      <c r="Z411" s="574"/>
      <c r="AA411" s="574"/>
      <c r="AB411" s="574"/>
      <c r="AC411" s="574"/>
      <c r="AD411" s="574"/>
      <c r="AE411" s="574"/>
      <c r="AF411" s="574"/>
      <c r="AG411" s="574"/>
      <c r="AH411" s="574"/>
      <c r="AI411" s="574"/>
      <c r="AJ411" s="267"/>
      <c r="AK411" s="267"/>
      <c r="AL411" s="267"/>
      <c r="AM411" s="267"/>
      <c r="AN411" s="267"/>
      <c r="AO411" s="267"/>
      <c r="AP411" s="267"/>
      <c r="AQ411" s="267"/>
      <c r="AR411" s="267"/>
    </row>
    <row r="412" spans="1:44" ht="15.75">
      <c r="A412" s="267"/>
      <c r="B412" s="521"/>
      <c r="C412" s="521"/>
      <c r="D412" s="574"/>
      <c r="E412" s="574"/>
      <c r="F412" s="574"/>
      <c r="G412" s="574"/>
      <c r="H412" s="574"/>
      <c r="I412" s="574"/>
      <c r="J412" s="574"/>
      <c r="K412" s="574"/>
      <c r="L412" s="574"/>
      <c r="M412" s="574"/>
      <c r="N412" s="574"/>
      <c r="O412" s="574"/>
      <c r="P412" s="574"/>
      <c r="Q412" s="574"/>
      <c r="R412" s="574"/>
      <c r="S412" s="574"/>
      <c r="T412" s="574"/>
      <c r="U412" s="574"/>
      <c r="V412" s="574"/>
      <c r="W412" s="574"/>
      <c r="X412" s="574"/>
      <c r="Y412" s="574"/>
      <c r="Z412" s="574"/>
      <c r="AA412" s="574"/>
      <c r="AB412" s="574"/>
      <c r="AC412" s="574"/>
      <c r="AD412" s="574"/>
      <c r="AE412" s="574"/>
      <c r="AF412" s="574"/>
      <c r="AG412" s="574"/>
      <c r="AH412" s="574"/>
      <c r="AI412" s="574"/>
      <c r="AJ412" s="267"/>
      <c r="AK412" s="267"/>
      <c r="AL412" s="267"/>
      <c r="AM412" s="267"/>
      <c r="AN412" s="267"/>
      <c r="AO412" s="267"/>
      <c r="AP412" s="267"/>
      <c r="AQ412" s="267"/>
      <c r="AR412" s="267"/>
    </row>
    <row r="413" spans="1:44" ht="15.75">
      <c r="A413" s="267"/>
      <c r="B413" s="521"/>
      <c r="C413" s="521"/>
      <c r="D413" s="574"/>
      <c r="E413" s="574"/>
      <c r="F413" s="575"/>
      <c r="G413" s="575"/>
      <c r="H413" s="575"/>
      <c r="I413" s="575"/>
      <c r="J413" s="575"/>
      <c r="K413" s="575"/>
      <c r="L413" s="575"/>
      <c r="M413" s="575"/>
      <c r="N413" s="575"/>
      <c r="O413" s="575"/>
      <c r="P413" s="575"/>
      <c r="Q413" s="575"/>
      <c r="R413" s="575"/>
      <c r="S413" s="575"/>
      <c r="T413" s="575"/>
      <c r="U413" s="575"/>
      <c r="V413" s="575"/>
      <c r="W413" s="575"/>
      <c r="X413" s="575"/>
      <c r="Y413" s="575"/>
      <c r="Z413" s="575"/>
      <c r="AA413" s="575"/>
      <c r="AB413" s="575"/>
      <c r="AC413" s="575"/>
      <c r="AD413" s="575"/>
      <c r="AE413" s="575"/>
      <c r="AF413" s="575"/>
      <c r="AG413" s="575"/>
      <c r="AH413" s="575"/>
      <c r="AI413" s="575"/>
      <c r="AJ413" s="267"/>
      <c r="AK413" s="267"/>
      <c r="AL413" s="267"/>
      <c r="AM413" s="267"/>
      <c r="AN413" s="267"/>
      <c r="AO413" s="267"/>
      <c r="AP413" s="267"/>
      <c r="AQ413" s="267"/>
      <c r="AR413" s="267"/>
    </row>
    <row r="414" spans="1:44" ht="15.75">
      <c r="A414" s="267"/>
      <c r="B414" s="521"/>
      <c r="C414" s="521"/>
      <c r="D414" s="574"/>
      <c r="E414" s="574"/>
      <c r="F414" s="575"/>
      <c r="G414" s="575"/>
      <c r="H414" s="575"/>
      <c r="I414" s="575"/>
      <c r="J414" s="575"/>
      <c r="K414" s="575"/>
      <c r="L414" s="575"/>
      <c r="M414" s="575"/>
      <c r="N414" s="575"/>
      <c r="O414" s="575"/>
      <c r="P414" s="575"/>
      <c r="Q414" s="575"/>
      <c r="R414" s="575"/>
      <c r="S414" s="575"/>
      <c r="T414" s="575"/>
      <c r="U414" s="575"/>
      <c r="V414" s="575"/>
      <c r="W414" s="575"/>
      <c r="X414" s="575"/>
      <c r="Y414" s="575"/>
      <c r="Z414" s="575"/>
      <c r="AA414" s="575"/>
      <c r="AB414" s="575"/>
      <c r="AC414" s="575"/>
      <c r="AD414" s="575"/>
      <c r="AE414" s="575"/>
      <c r="AF414" s="575"/>
      <c r="AG414" s="575"/>
      <c r="AH414" s="575"/>
      <c r="AI414" s="575"/>
      <c r="AJ414" s="267"/>
      <c r="AK414" s="267"/>
      <c r="AL414" s="267"/>
      <c r="AM414" s="267"/>
      <c r="AN414" s="267"/>
      <c r="AO414" s="267"/>
      <c r="AP414" s="267"/>
      <c r="AQ414" s="267"/>
      <c r="AR414" s="267"/>
    </row>
    <row r="415" spans="1:44" ht="15.75">
      <c r="A415" s="267"/>
      <c r="B415" s="521"/>
      <c r="C415" s="521"/>
      <c r="D415" s="574"/>
      <c r="E415" s="574"/>
      <c r="F415" s="575"/>
      <c r="G415" s="575"/>
      <c r="H415" s="575"/>
      <c r="I415" s="575"/>
      <c r="J415" s="575"/>
      <c r="K415" s="575"/>
      <c r="L415" s="575"/>
      <c r="M415" s="575"/>
      <c r="N415" s="575"/>
      <c r="O415" s="575"/>
      <c r="P415" s="575"/>
      <c r="Q415" s="575"/>
      <c r="R415" s="575"/>
      <c r="S415" s="575"/>
      <c r="T415" s="575"/>
      <c r="U415" s="575"/>
      <c r="V415" s="575"/>
      <c r="W415" s="575"/>
      <c r="X415" s="575"/>
      <c r="Y415" s="575"/>
      <c r="Z415" s="575"/>
      <c r="AA415" s="575"/>
      <c r="AB415" s="575"/>
      <c r="AC415" s="575"/>
      <c r="AD415" s="575"/>
      <c r="AE415" s="575"/>
      <c r="AF415" s="575"/>
      <c r="AG415" s="575"/>
      <c r="AH415" s="575"/>
      <c r="AI415" s="575"/>
      <c r="AJ415" s="267"/>
      <c r="AK415" s="267"/>
      <c r="AL415" s="267"/>
      <c r="AM415" s="267"/>
      <c r="AN415" s="267"/>
      <c r="AO415" s="267"/>
      <c r="AP415" s="267"/>
      <c r="AQ415" s="267"/>
      <c r="AR415" s="267"/>
    </row>
    <row r="416" spans="1:44" ht="15.75">
      <c r="A416" s="267"/>
      <c r="B416" s="521"/>
      <c r="C416" s="521"/>
      <c r="D416" s="574"/>
      <c r="E416" s="574"/>
      <c r="F416" s="575"/>
      <c r="G416" s="575"/>
      <c r="H416" s="575"/>
      <c r="I416" s="575"/>
      <c r="J416" s="575"/>
      <c r="K416" s="575"/>
      <c r="L416" s="575"/>
      <c r="M416" s="575"/>
      <c r="N416" s="575"/>
      <c r="O416" s="575"/>
      <c r="P416" s="575"/>
      <c r="Q416" s="575"/>
      <c r="R416" s="575"/>
      <c r="S416" s="575"/>
      <c r="T416" s="575"/>
      <c r="U416" s="575"/>
      <c r="V416" s="575"/>
      <c r="W416" s="575"/>
      <c r="X416" s="575"/>
      <c r="Y416" s="575"/>
      <c r="Z416" s="575"/>
      <c r="AA416" s="575"/>
      <c r="AB416" s="575"/>
      <c r="AC416" s="575"/>
      <c r="AD416" s="575"/>
      <c r="AE416" s="575"/>
      <c r="AF416" s="575"/>
      <c r="AG416" s="575"/>
      <c r="AH416" s="575"/>
      <c r="AI416" s="575"/>
      <c r="AJ416" s="267"/>
      <c r="AK416" s="267"/>
      <c r="AL416" s="267"/>
      <c r="AM416" s="267"/>
      <c r="AN416" s="267"/>
      <c r="AO416" s="267"/>
      <c r="AP416" s="267"/>
      <c r="AQ416" s="267"/>
      <c r="AR416" s="267"/>
    </row>
    <row r="417" spans="1:44" ht="15.75">
      <c r="A417" s="267"/>
      <c r="B417" s="521"/>
      <c r="C417" s="521"/>
      <c r="D417" s="574"/>
      <c r="E417" s="574"/>
      <c r="F417" s="575"/>
      <c r="G417" s="575"/>
      <c r="H417" s="575"/>
      <c r="I417" s="575"/>
      <c r="J417" s="575"/>
      <c r="K417" s="575"/>
      <c r="L417" s="575"/>
      <c r="M417" s="575"/>
      <c r="N417" s="575"/>
      <c r="O417" s="575"/>
      <c r="P417" s="575"/>
      <c r="Q417" s="575"/>
      <c r="R417" s="575"/>
      <c r="S417" s="575"/>
      <c r="T417" s="575"/>
      <c r="U417" s="575"/>
      <c r="V417" s="575"/>
      <c r="W417" s="575"/>
      <c r="X417" s="575"/>
      <c r="Y417" s="575"/>
      <c r="Z417" s="575"/>
      <c r="AA417" s="575"/>
      <c r="AB417" s="575"/>
      <c r="AC417" s="575"/>
      <c r="AD417" s="575"/>
      <c r="AE417" s="575"/>
      <c r="AF417" s="575"/>
      <c r="AG417" s="575"/>
      <c r="AH417" s="575"/>
      <c r="AI417" s="575"/>
      <c r="AJ417" s="267"/>
      <c r="AK417" s="267"/>
      <c r="AL417" s="267"/>
      <c r="AM417" s="267"/>
      <c r="AN417" s="267"/>
      <c r="AO417" s="267"/>
      <c r="AP417" s="267"/>
      <c r="AQ417" s="267"/>
      <c r="AR417" s="267"/>
    </row>
    <row r="418" spans="1:44" ht="15.75">
      <c r="A418" s="267"/>
      <c r="B418" s="521"/>
      <c r="C418" s="521"/>
      <c r="D418" s="574"/>
      <c r="E418" s="574"/>
      <c r="F418" s="575"/>
      <c r="G418" s="575"/>
      <c r="H418" s="575"/>
      <c r="I418" s="575"/>
      <c r="J418" s="575"/>
      <c r="K418" s="575"/>
      <c r="L418" s="575"/>
      <c r="M418" s="575"/>
      <c r="N418" s="575"/>
      <c r="O418" s="575"/>
      <c r="P418" s="575"/>
      <c r="Q418" s="575"/>
      <c r="R418" s="575"/>
      <c r="S418" s="575"/>
      <c r="T418" s="575"/>
      <c r="U418" s="575"/>
      <c r="V418" s="575"/>
      <c r="W418" s="575"/>
      <c r="X418" s="575"/>
      <c r="Y418" s="575"/>
      <c r="Z418" s="575"/>
      <c r="AA418" s="575"/>
      <c r="AB418" s="575"/>
      <c r="AC418" s="575"/>
      <c r="AD418" s="575"/>
      <c r="AE418" s="575"/>
      <c r="AF418" s="575"/>
      <c r="AG418" s="575"/>
      <c r="AH418" s="575"/>
      <c r="AI418" s="575"/>
      <c r="AJ418" s="267"/>
      <c r="AK418" s="267"/>
      <c r="AL418" s="267"/>
      <c r="AM418" s="267"/>
      <c r="AN418" s="267"/>
      <c r="AO418" s="267"/>
      <c r="AP418" s="267"/>
      <c r="AQ418" s="267"/>
      <c r="AR418" s="267"/>
    </row>
    <row r="419" spans="1:44" ht="15.75">
      <c r="A419" s="267"/>
      <c r="B419" s="521"/>
      <c r="C419" s="521"/>
      <c r="D419" s="574"/>
      <c r="E419" s="574"/>
      <c r="F419" s="575"/>
      <c r="G419" s="575"/>
      <c r="H419" s="575"/>
      <c r="I419" s="575"/>
      <c r="J419" s="575"/>
      <c r="K419" s="575"/>
      <c r="L419" s="575"/>
      <c r="M419" s="575"/>
      <c r="N419" s="575"/>
      <c r="O419" s="575"/>
      <c r="P419" s="575"/>
      <c r="Q419" s="575"/>
      <c r="R419" s="575"/>
      <c r="S419" s="575"/>
      <c r="T419" s="575"/>
      <c r="U419" s="575"/>
      <c r="V419" s="575"/>
      <c r="W419" s="575"/>
      <c r="X419" s="575"/>
      <c r="Y419" s="575"/>
      <c r="Z419" s="575"/>
      <c r="AA419" s="575"/>
      <c r="AB419" s="575"/>
      <c r="AC419" s="575"/>
      <c r="AD419" s="575"/>
      <c r="AE419" s="575"/>
      <c r="AF419" s="575"/>
      <c r="AG419" s="575"/>
      <c r="AH419" s="575"/>
      <c r="AI419" s="575"/>
      <c r="AJ419" s="267"/>
      <c r="AK419" s="267"/>
      <c r="AL419" s="267"/>
      <c r="AM419" s="267"/>
      <c r="AN419" s="267"/>
      <c r="AO419" s="267"/>
      <c r="AP419" s="267"/>
      <c r="AQ419" s="267"/>
      <c r="AR419" s="267"/>
    </row>
    <row r="420" spans="1:44" ht="15.75">
      <c r="A420" s="267"/>
      <c r="B420" s="521"/>
      <c r="C420" s="521"/>
      <c r="D420" s="574"/>
      <c r="E420" s="574"/>
      <c r="F420" s="575"/>
      <c r="G420" s="575"/>
      <c r="H420" s="575"/>
      <c r="I420" s="575"/>
      <c r="J420" s="575"/>
      <c r="K420" s="575"/>
      <c r="L420" s="575"/>
      <c r="M420" s="575"/>
      <c r="N420" s="575"/>
      <c r="O420" s="575"/>
      <c r="P420" s="575"/>
      <c r="Q420" s="575"/>
      <c r="R420" s="575"/>
      <c r="S420" s="575"/>
      <c r="T420" s="575"/>
      <c r="U420" s="575"/>
      <c r="V420" s="575"/>
      <c r="W420" s="575"/>
      <c r="X420" s="575"/>
      <c r="Y420" s="575"/>
      <c r="Z420" s="575"/>
      <c r="AA420" s="575"/>
      <c r="AB420" s="575"/>
      <c r="AC420" s="575"/>
      <c r="AD420" s="575"/>
      <c r="AE420" s="575"/>
      <c r="AF420" s="575"/>
      <c r="AG420" s="575"/>
      <c r="AH420" s="575"/>
      <c r="AI420" s="575"/>
      <c r="AJ420" s="267"/>
      <c r="AK420" s="267"/>
      <c r="AL420" s="267"/>
      <c r="AM420" s="267"/>
      <c r="AN420" s="267"/>
      <c r="AO420" s="267"/>
      <c r="AP420" s="267"/>
      <c r="AQ420" s="267"/>
      <c r="AR420" s="267"/>
    </row>
    <row r="421" spans="1:44" ht="15.75">
      <c r="A421" s="267"/>
      <c r="B421" s="521"/>
      <c r="C421" s="521"/>
      <c r="D421" s="574"/>
      <c r="E421" s="574"/>
      <c r="F421" s="574"/>
      <c r="G421" s="534"/>
      <c r="H421" s="534"/>
      <c r="I421" s="534"/>
      <c r="J421" s="534"/>
      <c r="K421" s="534"/>
      <c r="L421" s="534"/>
      <c r="M421" s="534"/>
      <c r="N421" s="534"/>
      <c r="O421" s="534"/>
      <c r="P421" s="534"/>
      <c r="Q421" s="534"/>
      <c r="R421" s="534"/>
      <c r="S421" s="534"/>
      <c r="T421" s="534"/>
      <c r="U421" s="534"/>
      <c r="V421" s="534"/>
      <c r="W421" s="534"/>
      <c r="X421" s="534"/>
      <c r="Y421" s="534"/>
      <c r="Z421" s="534"/>
      <c r="AA421" s="534"/>
      <c r="AB421" s="534"/>
      <c r="AC421" s="534"/>
      <c r="AD421" s="534"/>
      <c r="AE421" s="534"/>
      <c r="AF421" s="534"/>
      <c r="AG421" s="534"/>
      <c r="AH421" s="534"/>
      <c r="AI421" s="534"/>
      <c r="AJ421" s="267"/>
      <c r="AK421" s="267"/>
      <c r="AL421" s="267"/>
      <c r="AM421" s="267"/>
      <c r="AN421" s="267"/>
      <c r="AO421" s="267"/>
      <c r="AP421" s="267"/>
      <c r="AQ421" s="267"/>
      <c r="AR421" s="267"/>
    </row>
    <row r="422" spans="1:44" ht="15.75">
      <c r="A422" s="267"/>
      <c r="B422" s="521"/>
      <c r="C422" s="521"/>
      <c r="D422" s="574"/>
      <c r="E422" s="574"/>
      <c r="F422" s="574"/>
      <c r="G422" s="574"/>
      <c r="H422" s="574"/>
      <c r="I422" s="574"/>
      <c r="J422" s="574"/>
      <c r="K422" s="574"/>
      <c r="L422" s="574"/>
      <c r="M422" s="574"/>
      <c r="N422" s="574"/>
      <c r="O422" s="574"/>
      <c r="P422" s="574"/>
      <c r="Q422" s="574"/>
      <c r="R422" s="574"/>
      <c r="S422" s="574"/>
      <c r="T422" s="574"/>
      <c r="U422" s="574"/>
      <c r="V422" s="574"/>
      <c r="W422" s="574"/>
      <c r="X422" s="574"/>
      <c r="Y422" s="574"/>
      <c r="Z422" s="574"/>
      <c r="AA422" s="574"/>
      <c r="AB422" s="574"/>
      <c r="AC422" s="574"/>
      <c r="AD422" s="574"/>
      <c r="AE422" s="574"/>
      <c r="AF422" s="574"/>
      <c r="AG422" s="574"/>
      <c r="AH422" s="574"/>
      <c r="AI422" s="574"/>
      <c r="AJ422" s="267"/>
      <c r="AK422" s="267"/>
      <c r="AL422" s="267"/>
      <c r="AM422" s="267"/>
      <c r="AN422" s="267"/>
      <c r="AO422" s="267"/>
      <c r="AP422" s="267"/>
      <c r="AQ422" s="267"/>
      <c r="AR422" s="267"/>
    </row>
    <row r="423" spans="1:44" ht="15.75">
      <c r="A423" s="267"/>
      <c r="B423" s="521"/>
      <c r="C423" s="267"/>
      <c r="D423" s="574"/>
      <c r="E423" s="574"/>
      <c r="F423" s="574"/>
      <c r="G423" s="574"/>
      <c r="H423" s="574"/>
      <c r="I423" s="574"/>
      <c r="J423" s="574"/>
      <c r="K423" s="574"/>
      <c r="L423" s="574"/>
      <c r="M423" s="574"/>
      <c r="N423" s="574"/>
      <c r="O423" s="574"/>
      <c r="P423" s="574"/>
      <c r="Q423" s="574"/>
      <c r="R423" s="574"/>
      <c r="S423" s="574"/>
      <c r="T423" s="574"/>
      <c r="U423" s="574"/>
      <c r="V423" s="574"/>
      <c r="W423" s="574"/>
      <c r="X423" s="574"/>
      <c r="Y423" s="574"/>
      <c r="Z423" s="574"/>
      <c r="AA423" s="574"/>
      <c r="AB423" s="574"/>
      <c r="AC423" s="574"/>
      <c r="AD423" s="574"/>
      <c r="AE423" s="574"/>
      <c r="AF423" s="574"/>
      <c r="AG423" s="574"/>
      <c r="AH423" s="574"/>
      <c r="AI423" s="574"/>
      <c r="AJ423" s="267"/>
      <c r="AK423" s="267"/>
      <c r="AL423" s="267"/>
      <c r="AM423" s="267"/>
      <c r="AN423" s="267"/>
      <c r="AO423" s="267"/>
      <c r="AP423" s="267"/>
      <c r="AQ423" s="267"/>
      <c r="AR423" s="267"/>
    </row>
    <row r="424" spans="1:44" ht="15.75">
      <c r="A424" s="267"/>
      <c r="B424" s="521"/>
      <c r="C424" s="267"/>
      <c r="D424" s="574"/>
      <c r="E424" s="574"/>
      <c r="F424" s="574"/>
      <c r="G424" s="574"/>
      <c r="H424" s="574"/>
      <c r="I424" s="574"/>
      <c r="J424" s="574"/>
      <c r="K424" s="574"/>
      <c r="L424" s="574"/>
      <c r="M424" s="574"/>
      <c r="N424" s="574"/>
      <c r="O424" s="574"/>
      <c r="P424" s="574"/>
      <c r="Q424" s="574"/>
      <c r="R424" s="574"/>
      <c r="S424" s="574"/>
      <c r="T424" s="574"/>
      <c r="U424" s="574"/>
      <c r="V424" s="574"/>
      <c r="W424" s="574"/>
      <c r="X424" s="574"/>
      <c r="Y424" s="574"/>
      <c r="Z424" s="574"/>
      <c r="AA424" s="574"/>
      <c r="AB424" s="574"/>
      <c r="AC424" s="574"/>
      <c r="AD424" s="574"/>
      <c r="AE424" s="574"/>
      <c r="AF424" s="574"/>
      <c r="AG424" s="574"/>
      <c r="AH424" s="574"/>
      <c r="AI424" s="574"/>
      <c r="AJ424" s="267"/>
      <c r="AK424" s="267"/>
      <c r="AL424" s="267"/>
      <c r="AM424" s="267"/>
      <c r="AN424" s="267"/>
      <c r="AO424" s="267"/>
      <c r="AP424" s="267"/>
      <c r="AQ424" s="267"/>
      <c r="AR424" s="267"/>
    </row>
    <row r="425" spans="1:44" ht="15.75">
      <c r="A425" s="267"/>
      <c r="B425" s="521"/>
      <c r="C425" s="574"/>
      <c r="D425" s="574"/>
      <c r="E425" s="574"/>
      <c r="F425" s="574"/>
      <c r="G425" s="574"/>
      <c r="H425" s="574"/>
      <c r="I425" s="574"/>
      <c r="J425" s="574"/>
      <c r="K425" s="574"/>
      <c r="L425" s="574"/>
      <c r="M425" s="574"/>
      <c r="N425" s="574"/>
      <c r="O425" s="574"/>
      <c r="P425" s="574"/>
      <c r="Q425" s="574"/>
      <c r="R425" s="574"/>
      <c r="S425" s="574"/>
      <c r="T425" s="574"/>
      <c r="U425" s="574"/>
      <c r="V425" s="574"/>
      <c r="W425" s="574"/>
      <c r="X425" s="574"/>
      <c r="Y425" s="574"/>
      <c r="Z425" s="574"/>
      <c r="AA425" s="574"/>
      <c r="AB425" s="574"/>
      <c r="AC425" s="574"/>
      <c r="AD425" s="574"/>
      <c r="AE425" s="574"/>
      <c r="AF425" s="574"/>
      <c r="AG425" s="574"/>
      <c r="AH425" s="574"/>
      <c r="AI425" s="574"/>
      <c r="AJ425" s="267"/>
      <c r="AK425" s="267"/>
      <c r="AL425" s="267"/>
      <c r="AM425" s="267"/>
      <c r="AN425" s="267"/>
      <c r="AO425" s="267"/>
      <c r="AP425" s="267"/>
      <c r="AQ425" s="267"/>
      <c r="AR425" s="267"/>
    </row>
    <row r="426" spans="1:44" ht="15.75">
      <c r="A426" s="267"/>
      <c r="B426" s="521"/>
      <c r="C426" s="574"/>
      <c r="D426" s="574"/>
      <c r="E426" s="574"/>
      <c r="F426" s="574"/>
      <c r="G426" s="574"/>
      <c r="H426" s="574"/>
      <c r="I426" s="574"/>
      <c r="J426" s="574"/>
      <c r="K426" s="574"/>
      <c r="L426" s="574"/>
      <c r="M426" s="574"/>
      <c r="N426" s="574"/>
      <c r="O426" s="574"/>
      <c r="P426" s="574"/>
      <c r="Q426" s="574"/>
      <c r="R426" s="574"/>
      <c r="S426" s="574"/>
      <c r="T426" s="574"/>
      <c r="U426" s="574"/>
      <c r="V426" s="574"/>
      <c r="W426" s="574"/>
      <c r="X426" s="574"/>
      <c r="Y426" s="574"/>
      <c r="Z426" s="574"/>
      <c r="AA426" s="574"/>
      <c r="AB426" s="574"/>
      <c r="AC426" s="574"/>
      <c r="AD426" s="574"/>
      <c r="AE426" s="574"/>
      <c r="AF426" s="574"/>
      <c r="AG426" s="574"/>
      <c r="AH426" s="574"/>
      <c r="AI426" s="574"/>
      <c r="AJ426" s="267"/>
      <c r="AK426" s="267"/>
      <c r="AL426" s="267"/>
      <c r="AM426" s="267"/>
      <c r="AN426" s="267"/>
      <c r="AO426" s="267"/>
      <c r="AP426" s="267"/>
      <c r="AQ426" s="267"/>
      <c r="AR426" s="267"/>
    </row>
    <row r="427" spans="1:44" ht="15.75">
      <c r="A427" s="267"/>
      <c r="B427" s="521"/>
      <c r="C427" s="574"/>
      <c r="D427" s="574"/>
      <c r="E427" s="574"/>
      <c r="F427" s="574"/>
      <c r="G427" s="574"/>
      <c r="H427" s="574"/>
      <c r="I427" s="574"/>
      <c r="J427" s="574"/>
      <c r="K427" s="574"/>
      <c r="L427" s="574"/>
      <c r="M427" s="574"/>
      <c r="N427" s="574"/>
      <c r="O427" s="574"/>
      <c r="P427" s="574"/>
      <c r="Q427" s="574"/>
      <c r="R427" s="574"/>
      <c r="S427" s="574"/>
      <c r="T427" s="574"/>
      <c r="U427" s="574"/>
      <c r="V427" s="574"/>
      <c r="W427" s="574"/>
      <c r="X427" s="574"/>
      <c r="Y427" s="574"/>
      <c r="Z427" s="574"/>
      <c r="AA427" s="574"/>
      <c r="AB427" s="574"/>
      <c r="AC427" s="574"/>
      <c r="AD427" s="574"/>
      <c r="AE427" s="574"/>
      <c r="AF427" s="574"/>
      <c r="AG427" s="574"/>
      <c r="AH427" s="574"/>
      <c r="AI427" s="574"/>
      <c r="AJ427" s="267"/>
      <c r="AK427" s="267"/>
      <c r="AL427" s="267"/>
      <c r="AM427" s="267"/>
      <c r="AN427" s="267"/>
      <c r="AO427" s="267"/>
      <c r="AP427" s="267"/>
      <c r="AQ427" s="267"/>
      <c r="AR427" s="267"/>
    </row>
    <row r="428" spans="1:44" ht="15.75">
      <c r="A428" s="267"/>
      <c r="B428" s="521"/>
      <c r="C428" s="267"/>
      <c r="D428" s="574"/>
      <c r="E428" s="574"/>
      <c r="F428" s="574"/>
      <c r="G428" s="574"/>
      <c r="H428" s="574"/>
      <c r="I428" s="574"/>
      <c r="J428" s="574"/>
      <c r="K428" s="574"/>
      <c r="L428" s="574"/>
      <c r="M428" s="574"/>
      <c r="N428" s="574"/>
      <c r="O428" s="574"/>
      <c r="P428" s="574"/>
      <c r="Q428" s="574"/>
      <c r="R428" s="574"/>
      <c r="S428" s="574"/>
      <c r="T428" s="574"/>
      <c r="U428" s="574"/>
      <c r="V428" s="574"/>
      <c r="W428" s="574"/>
      <c r="X428" s="574"/>
      <c r="Y428" s="574"/>
      <c r="Z428" s="574"/>
      <c r="AA428" s="574"/>
      <c r="AB428" s="574"/>
      <c r="AC428" s="574"/>
      <c r="AD428" s="574"/>
      <c r="AE428" s="574"/>
      <c r="AF428" s="574"/>
      <c r="AG428" s="574"/>
      <c r="AH428" s="574"/>
      <c r="AI428" s="574"/>
      <c r="AJ428" s="267"/>
      <c r="AK428" s="267"/>
      <c r="AL428" s="267"/>
      <c r="AM428" s="267"/>
      <c r="AN428" s="267"/>
      <c r="AO428" s="267"/>
      <c r="AP428" s="267"/>
      <c r="AQ428" s="267"/>
      <c r="AR428" s="267"/>
    </row>
    <row r="429" spans="1:44" ht="15.75">
      <c r="A429" s="267"/>
      <c r="B429" s="521"/>
      <c r="C429" s="521"/>
      <c r="D429" s="574"/>
      <c r="E429" s="574"/>
      <c r="F429" s="574"/>
      <c r="G429" s="574"/>
      <c r="H429" s="574"/>
      <c r="I429" s="574"/>
      <c r="J429" s="574"/>
      <c r="K429" s="574"/>
      <c r="L429" s="574"/>
      <c r="M429" s="574"/>
      <c r="N429" s="574"/>
      <c r="O429" s="574"/>
      <c r="P429" s="574"/>
      <c r="Q429" s="574"/>
      <c r="R429" s="574"/>
      <c r="S429" s="574"/>
      <c r="T429" s="574"/>
      <c r="U429" s="574"/>
      <c r="V429" s="574"/>
      <c r="W429" s="574"/>
      <c r="X429" s="574"/>
      <c r="Y429" s="574"/>
      <c r="Z429" s="574"/>
      <c r="AA429" s="574"/>
      <c r="AB429" s="574"/>
      <c r="AC429" s="574"/>
      <c r="AD429" s="574"/>
      <c r="AE429" s="574"/>
      <c r="AF429" s="574"/>
      <c r="AG429" s="574"/>
      <c r="AH429" s="574"/>
      <c r="AI429" s="574"/>
      <c r="AJ429" s="267"/>
      <c r="AK429" s="267"/>
      <c r="AL429" s="267"/>
      <c r="AM429" s="267"/>
      <c r="AN429" s="267"/>
      <c r="AO429" s="267"/>
      <c r="AP429" s="267"/>
      <c r="AQ429" s="267"/>
      <c r="AR429" s="267"/>
    </row>
    <row r="430" spans="1:44" ht="15.75">
      <c r="A430" s="267"/>
      <c r="B430" s="521"/>
      <c r="C430" s="521"/>
      <c r="D430" s="521"/>
      <c r="E430" s="521"/>
      <c r="F430" s="574"/>
      <c r="G430" s="574"/>
      <c r="H430" s="574"/>
      <c r="I430" s="574"/>
      <c r="J430" s="574"/>
      <c r="K430" s="574"/>
      <c r="L430" s="574"/>
      <c r="M430" s="574"/>
      <c r="N430" s="574"/>
      <c r="O430" s="574"/>
      <c r="P430" s="574"/>
      <c r="Q430" s="574"/>
      <c r="R430" s="574"/>
      <c r="S430" s="574"/>
      <c r="T430" s="574"/>
      <c r="U430" s="574"/>
      <c r="V430" s="574"/>
      <c r="W430" s="574"/>
      <c r="X430" s="574"/>
      <c r="Y430" s="574"/>
      <c r="Z430" s="574"/>
      <c r="AA430" s="574"/>
      <c r="AB430" s="574"/>
      <c r="AC430" s="574"/>
      <c r="AD430" s="574"/>
      <c r="AE430" s="574"/>
      <c r="AF430" s="574"/>
      <c r="AG430" s="574"/>
      <c r="AH430" s="574"/>
      <c r="AI430" s="574"/>
      <c r="AJ430" s="267"/>
      <c r="AK430" s="267"/>
      <c r="AL430" s="267"/>
      <c r="AM430" s="267"/>
      <c r="AN430" s="267"/>
      <c r="AO430" s="267"/>
      <c r="AP430" s="267"/>
      <c r="AQ430" s="267"/>
      <c r="AR430" s="267"/>
    </row>
    <row r="431" spans="1:44" ht="15.75">
      <c r="A431" s="267"/>
      <c r="B431" s="521"/>
      <c r="C431" s="521"/>
      <c r="D431" s="574"/>
      <c r="E431" s="574"/>
      <c r="F431" s="574"/>
      <c r="G431" s="574"/>
      <c r="H431" s="574"/>
      <c r="I431" s="574"/>
      <c r="J431" s="574"/>
      <c r="K431" s="574"/>
      <c r="L431" s="574"/>
      <c r="M431" s="574"/>
      <c r="N431" s="574"/>
      <c r="O431" s="574"/>
      <c r="P431" s="574"/>
      <c r="Q431" s="574"/>
      <c r="R431" s="574"/>
      <c r="S431" s="574"/>
      <c r="T431" s="574"/>
      <c r="U431" s="574"/>
      <c r="V431" s="574"/>
      <c r="W431" s="574"/>
      <c r="X431" s="574"/>
      <c r="Y431" s="574"/>
      <c r="Z431" s="574"/>
      <c r="AA431" s="574"/>
      <c r="AB431" s="574"/>
      <c r="AC431" s="574"/>
      <c r="AD431" s="574"/>
      <c r="AE431" s="574"/>
      <c r="AF431" s="574"/>
      <c r="AG431" s="574"/>
      <c r="AH431" s="574"/>
      <c r="AI431" s="574"/>
      <c r="AJ431" s="267"/>
      <c r="AK431" s="267"/>
      <c r="AL431" s="267"/>
      <c r="AM431" s="267"/>
      <c r="AN431" s="267"/>
      <c r="AO431" s="267"/>
      <c r="AP431" s="267"/>
      <c r="AQ431" s="267"/>
      <c r="AR431" s="267"/>
    </row>
    <row r="432" spans="1:44" ht="15.75">
      <c r="A432" s="267"/>
      <c r="B432" s="267"/>
      <c r="C432" s="267"/>
      <c r="D432" s="267"/>
      <c r="E432" s="267"/>
      <c r="F432" s="267"/>
      <c r="G432" s="267"/>
      <c r="H432" s="267"/>
      <c r="I432" s="267"/>
      <c r="J432" s="267"/>
      <c r="K432" s="267"/>
      <c r="L432" s="267"/>
      <c r="M432" s="267"/>
      <c r="N432" s="267"/>
      <c r="O432" s="267"/>
      <c r="P432" s="267"/>
      <c r="Q432" s="267"/>
      <c r="R432" s="267"/>
      <c r="S432" s="267"/>
      <c r="T432" s="267"/>
      <c r="U432" s="267"/>
      <c r="V432" s="267"/>
      <c r="W432" s="267"/>
      <c r="X432" s="267"/>
      <c r="Y432" s="267"/>
      <c r="Z432" s="267"/>
      <c r="AA432" s="267"/>
      <c r="AB432" s="267"/>
      <c r="AC432" s="267"/>
      <c r="AD432" s="267"/>
      <c r="AE432" s="267"/>
      <c r="AF432" s="267"/>
      <c r="AG432" s="267"/>
      <c r="AH432" s="267"/>
      <c r="AI432" s="267"/>
      <c r="AJ432" s="267"/>
      <c r="AK432" s="267"/>
      <c r="AL432" s="267"/>
      <c r="AM432" s="267"/>
      <c r="AN432" s="267"/>
      <c r="AO432" s="267"/>
      <c r="AP432" s="267"/>
      <c r="AQ432" s="267"/>
      <c r="AR432" s="267"/>
    </row>
    <row r="433" spans="1:44" ht="15.75">
      <c r="A433" s="267"/>
      <c r="B433" s="267"/>
      <c r="C433" s="267"/>
      <c r="D433" s="267"/>
      <c r="E433" s="267"/>
      <c r="F433" s="267"/>
      <c r="G433" s="267"/>
      <c r="H433" s="267"/>
      <c r="I433" s="267"/>
      <c r="J433" s="267"/>
      <c r="K433" s="267"/>
      <c r="L433" s="267"/>
      <c r="M433" s="267"/>
      <c r="N433" s="267"/>
      <c r="O433" s="267"/>
      <c r="P433" s="267"/>
      <c r="Q433" s="267"/>
      <c r="R433" s="267"/>
      <c r="S433" s="267"/>
      <c r="T433" s="267"/>
      <c r="U433" s="267"/>
      <c r="V433" s="267"/>
      <c r="W433" s="267"/>
      <c r="X433" s="267"/>
      <c r="Y433" s="267"/>
      <c r="Z433" s="267"/>
      <c r="AA433" s="267"/>
      <c r="AB433" s="267"/>
      <c r="AC433" s="267"/>
      <c r="AD433" s="267"/>
      <c r="AE433" s="267"/>
      <c r="AF433" s="267"/>
      <c r="AG433" s="267"/>
      <c r="AH433" s="267"/>
      <c r="AI433" s="267"/>
      <c r="AJ433" s="267"/>
      <c r="AK433" s="267"/>
      <c r="AL433" s="267"/>
      <c r="AM433" s="267"/>
      <c r="AN433" s="267"/>
      <c r="AO433" s="267"/>
      <c r="AP433" s="267"/>
      <c r="AQ433" s="267"/>
      <c r="AR433" s="267"/>
    </row>
    <row r="434" spans="1:44" ht="15.75">
      <c r="A434" s="267"/>
      <c r="B434" s="267"/>
      <c r="C434" s="267"/>
      <c r="D434" s="267"/>
      <c r="E434" s="267"/>
      <c r="F434" s="267"/>
      <c r="G434" s="267"/>
      <c r="H434" s="267"/>
      <c r="I434" s="267"/>
      <c r="J434" s="267"/>
      <c r="K434" s="267"/>
      <c r="L434" s="267"/>
      <c r="M434" s="267"/>
      <c r="N434" s="267"/>
      <c r="O434" s="267"/>
      <c r="P434" s="267"/>
      <c r="Q434" s="267"/>
      <c r="R434" s="267"/>
      <c r="S434" s="267"/>
      <c r="T434" s="267"/>
      <c r="U434" s="267"/>
      <c r="V434" s="267"/>
      <c r="W434" s="267"/>
      <c r="X434" s="267"/>
      <c r="Y434" s="267"/>
      <c r="Z434" s="267"/>
      <c r="AA434" s="267"/>
      <c r="AB434" s="267"/>
      <c r="AC434" s="267"/>
      <c r="AD434" s="267"/>
      <c r="AE434" s="267"/>
      <c r="AF434" s="267"/>
      <c r="AG434" s="267"/>
      <c r="AH434" s="267"/>
      <c r="AI434" s="267"/>
      <c r="AJ434" s="267"/>
      <c r="AK434" s="267"/>
      <c r="AL434" s="267"/>
      <c r="AM434" s="267"/>
      <c r="AN434" s="267"/>
      <c r="AO434" s="267"/>
      <c r="AP434" s="267"/>
      <c r="AQ434" s="267"/>
      <c r="AR434" s="267"/>
    </row>
    <row r="435" spans="1:44" ht="15.75">
      <c r="A435" s="267"/>
      <c r="B435" s="267"/>
      <c r="C435" s="267"/>
      <c r="D435" s="267"/>
      <c r="E435" s="267"/>
      <c r="F435" s="267"/>
      <c r="G435" s="267"/>
      <c r="H435" s="267"/>
      <c r="I435" s="267"/>
      <c r="J435" s="267"/>
      <c r="K435" s="267"/>
      <c r="L435" s="267"/>
      <c r="M435" s="267"/>
      <c r="N435" s="267"/>
      <c r="O435" s="267"/>
      <c r="P435" s="267"/>
      <c r="Q435" s="267"/>
      <c r="R435" s="267"/>
      <c r="S435" s="267"/>
      <c r="T435" s="267"/>
      <c r="U435" s="267"/>
      <c r="V435" s="267"/>
      <c r="W435" s="267"/>
      <c r="X435" s="267"/>
      <c r="Y435" s="267"/>
      <c r="Z435" s="267"/>
      <c r="AA435" s="267"/>
      <c r="AB435" s="267"/>
      <c r="AC435" s="267"/>
      <c r="AD435" s="267"/>
      <c r="AE435" s="267"/>
      <c r="AF435" s="267"/>
      <c r="AG435" s="267"/>
      <c r="AH435" s="267"/>
      <c r="AI435" s="267"/>
      <c r="AJ435" s="267"/>
      <c r="AK435" s="267"/>
      <c r="AL435" s="267"/>
      <c r="AM435" s="267"/>
      <c r="AN435" s="267"/>
      <c r="AO435" s="267"/>
      <c r="AP435" s="267"/>
      <c r="AQ435" s="267"/>
      <c r="AR435" s="267"/>
    </row>
    <row r="436" spans="1:44" ht="15.75">
      <c r="A436" s="267"/>
      <c r="B436" s="267"/>
      <c r="C436" s="267"/>
      <c r="D436" s="267"/>
      <c r="E436" s="267"/>
      <c r="F436" s="267"/>
      <c r="G436" s="267"/>
      <c r="H436" s="267"/>
      <c r="I436" s="267"/>
      <c r="J436" s="267"/>
      <c r="K436" s="267"/>
      <c r="L436" s="267"/>
      <c r="M436" s="267"/>
      <c r="N436" s="267"/>
      <c r="O436" s="267"/>
      <c r="P436" s="267"/>
      <c r="Q436" s="267"/>
      <c r="R436" s="267"/>
      <c r="S436" s="267"/>
      <c r="T436" s="267"/>
      <c r="U436" s="267"/>
      <c r="V436" s="267"/>
      <c r="W436" s="267"/>
      <c r="X436" s="267"/>
      <c r="Y436" s="267"/>
      <c r="Z436" s="267"/>
      <c r="AA436" s="267"/>
      <c r="AB436" s="267"/>
      <c r="AC436" s="267"/>
      <c r="AD436" s="267"/>
      <c r="AE436" s="267"/>
      <c r="AF436" s="267"/>
      <c r="AG436" s="267"/>
      <c r="AH436" s="267"/>
      <c r="AI436" s="267"/>
      <c r="AJ436" s="267"/>
      <c r="AK436" s="267"/>
      <c r="AL436" s="267"/>
      <c r="AM436" s="267"/>
      <c r="AN436" s="267"/>
      <c r="AO436" s="267"/>
      <c r="AP436" s="267"/>
      <c r="AQ436" s="267"/>
      <c r="AR436" s="267"/>
    </row>
    <row r="437" spans="1:44" ht="15.75">
      <c r="A437" s="267"/>
      <c r="B437" s="267"/>
      <c r="C437" s="267"/>
      <c r="D437" s="267"/>
      <c r="E437" s="267"/>
      <c r="F437" s="267"/>
      <c r="G437" s="267"/>
      <c r="H437" s="267"/>
      <c r="I437" s="267"/>
      <c r="J437" s="267"/>
      <c r="K437" s="267"/>
      <c r="L437" s="267"/>
      <c r="M437" s="267"/>
      <c r="N437" s="267"/>
      <c r="O437" s="267"/>
      <c r="P437" s="267"/>
      <c r="Q437" s="267"/>
      <c r="R437" s="267"/>
      <c r="S437" s="267"/>
      <c r="T437" s="267"/>
      <c r="U437" s="267"/>
      <c r="V437" s="267"/>
      <c r="W437" s="267"/>
      <c r="X437" s="267"/>
      <c r="Y437" s="267"/>
      <c r="Z437" s="267"/>
      <c r="AA437" s="267"/>
      <c r="AB437" s="267"/>
      <c r="AC437" s="267"/>
      <c r="AD437" s="267"/>
      <c r="AE437" s="267"/>
      <c r="AF437" s="267"/>
      <c r="AG437" s="267"/>
      <c r="AH437" s="267"/>
      <c r="AI437" s="267"/>
      <c r="AJ437" s="267"/>
      <c r="AK437" s="267"/>
      <c r="AL437" s="267"/>
      <c r="AM437" s="267"/>
      <c r="AN437" s="267"/>
      <c r="AO437" s="267"/>
      <c r="AP437" s="267"/>
      <c r="AQ437" s="267"/>
      <c r="AR437" s="267"/>
    </row>
    <row r="438" spans="1:44" ht="15.75">
      <c r="A438" s="267"/>
      <c r="B438" s="267"/>
      <c r="C438" s="267"/>
      <c r="D438" s="267"/>
      <c r="E438" s="267"/>
      <c r="F438" s="267"/>
      <c r="G438" s="267"/>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row>
    <row r="439" spans="1:44" ht="15.75">
      <c r="A439" s="267"/>
      <c r="B439" s="267"/>
      <c r="C439" s="267"/>
      <c r="D439" s="267"/>
      <c r="E439" s="267"/>
      <c r="F439" s="267"/>
      <c r="G439" s="267"/>
      <c r="H439" s="267"/>
      <c r="I439" s="267"/>
      <c r="J439" s="267"/>
      <c r="K439" s="267"/>
      <c r="L439" s="267"/>
      <c r="M439" s="267"/>
      <c r="N439" s="267"/>
      <c r="O439" s="267"/>
      <c r="P439" s="267"/>
      <c r="Q439" s="267"/>
      <c r="R439" s="267"/>
      <c r="S439" s="267"/>
      <c r="T439" s="267"/>
      <c r="U439" s="267"/>
      <c r="V439" s="267"/>
      <c r="W439" s="267"/>
      <c r="X439" s="267"/>
      <c r="Y439" s="267"/>
      <c r="Z439" s="267"/>
      <c r="AA439" s="267"/>
      <c r="AB439" s="267"/>
      <c r="AC439" s="267"/>
      <c r="AD439" s="267"/>
      <c r="AE439" s="267"/>
      <c r="AF439" s="267"/>
      <c r="AG439" s="267"/>
      <c r="AH439" s="267"/>
      <c r="AI439" s="267"/>
      <c r="AJ439" s="267"/>
      <c r="AK439" s="267"/>
      <c r="AL439" s="267"/>
      <c r="AM439" s="267"/>
      <c r="AN439" s="267"/>
      <c r="AO439" s="267"/>
      <c r="AP439" s="267"/>
      <c r="AQ439" s="267"/>
      <c r="AR439" s="267"/>
    </row>
    <row r="440" spans="1:44" ht="15.75">
      <c r="A440" s="267"/>
      <c r="B440" s="267"/>
      <c r="C440" s="267"/>
      <c r="D440" s="267"/>
      <c r="E440" s="267"/>
      <c r="F440" s="267"/>
      <c r="G440" s="267"/>
      <c r="H440" s="267"/>
      <c r="I440" s="267"/>
      <c r="J440" s="267"/>
      <c r="K440" s="267"/>
      <c r="L440" s="267"/>
      <c r="M440" s="267"/>
      <c r="N440" s="267"/>
      <c r="O440" s="267"/>
      <c r="P440" s="267"/>
      <c r="Q440" s="267"/>
      <c r="R440" s="267"/>
      <c r="S440" s="267"/>
      <c r="T440" s="267"/>
      <c r="U440" s="267"/>
      <c r="V440" s="267"/>
      <c r="W440" s="267"/>
      <c r="X440" s="267"/>
      <c r="Y440" s="267"/>
      <c r="Z440" s="267"/>
      <c r="AA440" s="267"/>
      <c r="AB440" s="267"/>
      <c r="AC440" s="267"/>
      <c r="AD440" s="267"/>
      <c r="AE440" s="267"/>
      <c r="AF440" s="267"/>
      <c r="AG440" s="267"/>
      <c r="AH440" s="267"/>
      <c r="AI440" s="267"/>
      <c r="AJ440" s="267"/>
      <c r="AK440" s="267"/>
      <c r="AL440" s="267"/>
      <c r="AM440" s="267"/>
      <c r="AN440" s="267"/>
      <c r="AO440" s="267"/>
      <c r="AP440" s="267"/>
      <c r="AQ440" s="267"/>
      <c r="AR440" s="267"/>
    </row>
    <row r="441" spans="1:44" ht="15.75">
      <c r="A441" s="267"/>
      <c r="B441" s="267"/>
      <c r="C441" s="267"/>
      <c r="D441" s="267"/>
      <c r="E441" s="267"/>
      <c r="F441" s="267"/>
      <c r="G441" s="267"/>
      <c r="H441" s="267"/>
      <c r="I441" s="267"/>
      <c r="J441" s="267"/>
      <c r="K441" s="267"/>
      <c r="L441" s="267"/>
      <c r="M441" s="267"/>
      <c r="N441" s="267"/>
      <c r="O441" s="267"/>
      <c r="P441" s="267"/>
      <c r="Q441" s="267"/>
      <c r="R441" s="267"/>
      <c r="S441" s="267"/>
      <c r="T441" s="267"/>
      <c r="U441" s="267"/>
      <c r="V441" s="267"/>
      <c r="W441" s="267"/>
      <c r="X441" s="267"/>
      <c r="Y441" s="267"/>
      <c r="Z441" s="267"/>
      <c r="AA441" s="267"/>
      <c r="AB441" s="267"/>
      <c r="AC441" s="267"/>
      <c r="AD441" s="267"/>
      <c r="AE441" s="267"/>
      <c r="AF441" s="267"/>
      <c r="AG441" s="267"/>
      <c r="AH441" s="267"/>
      <c r="AI441" s="267"/>
      <c r="AJ441" s="267"/>
      <c r="AK441" s="267"/>
      <c r="AL441" s="267"/>
      <c r="AM441" s="267"/>
      <c r="AN441" s="267"/>
      <c r="AO441" s="267"/>
      <c r="AP441" s="267"/>
      <c r="AQ441" s="267"/>
      <c r="AR441" s="267"/>
    </row>
    <row r="442" spans="1:44" ht="15.75">
      <c r="A442" s="267"/>
      <c r="B442" s="267"/>
      <c r="C442" s="267"/>
      <c r="D442" s="267"/>
      <c r="E442" s="267"/>
      <c r="F442" s="267"/>
      <c r="G442" s="267"/>
      <c r="H442" s="267"/>
      <c r="I442" s="267"/>
      <c r="J442" s="267"/>
      <c r="K442" s="267"/>
      <c r="L442" s="267"/>
      <c r="M442" s="267"/>
      <c r="N442" s="267"/>
      <c r="O442" s="267"/>
      <c r="P442" s="267"/>
      <c r="Q442" s="267"/>
      <c r="R442" s="267"/>
      <c r="S442" s="267"/>
      <c r="T442" s="267"/>
      <c r="U442" s="267"/>
      <c r="V442" s="267"/>
      <c r="W442" s="267"/>
      <c r="X442" s="267"/>
      <c r="Y442" s="267"/>
      <c r="Z442" s="267"/>
      <c r="AA442" s="267"/>
      <c r="AB442" s="267"/>
      <c r="AC442" s="267"/>
      <c r="AD442" s="267"/>
      <c r="AE442" s="267"/>
      <c r="AF442" s="267"/>
      <c r="AG442" s="267"/>
      <c r="AH442" s="267"/>
      <c r="AI442" s="267"/>
      <c r="AJ442" s="267"/>
      <c r="AK442" s="267"/>
      <c r="AL442" s="267"/>
      <c r="AM442" s="267"/>
      <c r="AN442" s="267"/>
      <c r="AO442" s="267"/>
      <c r="AP442" s="267"/>
      <c r="AQ442" s="267"/>
      <c r="AR442" s="267"/>
    </row>
    <row r="443" spans="1:44" ht="15.75">
      <c r="A443" s="267"/>
      <c r="B443" s="267"/>
      <c r="C443" s="267"/>
      <c r="D443" s="267"/>
      <c r="E443" s="267"/>
      <c r="F443" s="267"/>
      <c r="G443" s="267"/>
      <c r="H443" s="267"/>
      <c r="I443" s="267"/>
      <c r="J443" s="267"/>
      <c r="K443" s="267"/>
      <c r="L443" s="267"/>
      <c r="M443" s="267"/>
      <c r="N443" s="267"/>
      <c r="O443" s="267"/>
      <c r="P443" s="267"/>
      <c r="Q443" s="267"/>
      <c r="R443" s="267"/>
      <c r="S443" s="267"/>
      <c r="T443" s="267"/>
      <c r="U443" s="267"/>
      <c r="V443" s="267"/>
      <c r="W443" s="267"/>
      <c r="X443" s="267"/>
      <c r="Y443" s="267"/>
      <c r="Z443" s="267"/>
      <c r="AA443" s="267"/>
      <c r="AB443" s="267"/>
      <c r="AC443" s="267"/>
      <c r="AD443" s="267"/>
      <c r="AE443" s="267"/>
      <c r="AF443" s="267"/>
      <c r="AG443" s="267"/>
      <c r="AH443" s="267"/>
      <c r="AI443" s="267"/>
      <c r="AJ443" s="267"/>
      <c r="AK443" s="267"/>
      <c r="AL443" s="267"/>
      <c r="AM443" s="267"/>
      <c r="AN443" s="267"/>
      <c r="AO443" s="267"/>
      <c r="AP443" s="267"/>
      <c r="AQ443" s="267"/>
      <c r="AR443" s="267"/>
    </row>
    <row r="444" spans="1:44" ht="15.75">
      <c r="A444" s="267"/>
      <c r="B444" s="267"/>
      <c r="C444" s="267"/>
      <c r="D444" s="267"/>
      <c r="E444" s="267"/>
      <c r="F444" s="267"/>
      <c r="G444" s="267"/>
      <c r="H444" s="267"/>
      <c r="I444" s="267"/>
      <c r="J444" s="267"/>
      <c r="K444" s="267"/>
      <c r="L444" s="267"/>
      <c r="M444" s="267"/>
      <c r="N444" s="267"/>
      <c r="O444" s="267"/>
      <c r="P444" s="267"/>
      <c r="Q444" s="267"/>
      <c r="R444" s="267"/>
      <c r="S444" s="267"/>
      <c r="T444" s="267"/>
      <c r="U444" s="267"/>
      <c r="V444" s="267"/>
      <c r="W444" s="267"/>
      <c r="X444" s="267"/>
      <c r="Y444" s="267"/>
      <c r="Z444" s="267"/>
      <c r="AA444" s="267"/>
      <c r="AB444" s="267"/>
      <c r="AC444" s="267"/>
      <c r="AD444" s="267"/>
      <c r="AE444" s="267"/>
      <c r="AF444" s="267"/>
      <c r="AG444" s="267"/>
      <c r="AH444" s="267"/>
      <c r="AI444" s="267"/>
      <c r="AJ444" s="267"/>
      <c r="AK444" s="267"/>
      <c r="AL444" s="267"/>
      <c r="AM444" s="267"/>
      <c r="AN444" s="267"/>
      <c r="AO444" s="267"/>
      <c r="AP444" s="267"/>
      <c r="AQ444" s="267"/>
      <c r="AR444" s="267"/>
    </row>
    <row r="445" spans="1:44" ht="15.75">
      <c r="A445" s="267"/>
      <c r="B445" s="267"/>
      <c r="C445" s="267"/>
      <c r="D445" s="267"/>
      <c r="E445" s="267"/>
      <c r="F445" s="267"/>
      <c r="G445" s="267"/>
      <c r="H445" s="267"/>
      <c r="I445" s="267"/>
      <c r="J445" s="267"/>
      <c r="K445" s="267"/>
      <c r="L445" s="267"/>
      <c r="M445" s="267"/>
      <c r="N445" s="267"/>
      <c r="O445" s="267"/>
      <c r="P445" s="267"/>
      <c r="Q445" s="267"/>
      <c r="R445" s="267"/>
      <c r="S445" s="267"/>
      <c r="T445" s="267"/>
      <c r="U445" s="267"/>
      <c r="V445" s="267"/>
      <c r="W445" s="267"/>
      <c r="X445" s="267"/>
      <c r="Y445" s="267"/>
      <c r="Z445" s="267"/>
      <c r="AA445" s="267"/>
      <c r="AB445" s="267"/>
      <c r="AC445" s="267"/>
      <c r="AD445" s="267"/>
      <c r="AE445" s="267"/>
      <c r="AF445" s="267"/>
      <c r="AG445" s="267"/>
      <c r="AH445" s="267"/>
      <c r="AI445" s="267"/>
      <c r="AJ445" s="267"/>
      <c r="AK445" s="267"/>
      <c r="AL445" s="267"/>
      <c r="AM445" s="267"/>
      <c r="AN445" s="267"/>
      <c r="AO445" s="267"/>
      <c r="AP445" s="267"/>
      <c r="AQ445" s="267"/>
      <c r="AR445" s="267"/>
    </row>
    <row r="446" spans="1:44" ht="15.75">
      <c r="A446" s="267"/>
      <c r="B446" s="267"/>
      <c r="C446" s="267"/>
      <c r="D446" s="267"/>
      <c r="E446" s="267"/>
      <c r="F446" s="267"/>
      <c r="G446" s="267"/>
      <c r="H446" s="267"/>
      <c r="I446" s="267"/>
      <c r="J446" s="267"/>
      <c r="K446" s="267"/>
      <c r="L446" s="267"/>
      <c r="M446" s="267"/>
      <c r="N446" s="267"/>
      <c r="O446" s="267"/>
      <c r="P446" s="267"/>
      <c r="Q446" s="267"/>
      <c r="R446" s="267"/>
      <c r="S446" s="267"/>
      <c r="T446" s="267"/>
      <c r="U446" s="267"/>
      <c r="V446" s="267"/>
      <c r="W446" s="267"/>
      <c r="X446" s="267"/>
      <c r="Y446" s="267"/>
      <c r="Z446" s="267"/>
      <c r="AA446" s="267"/>
      <c r="AB446" s="267"/>
      <c r="AC446" s="267"/>
      <c r="AD446" s="267"/>
      <c r="AE446" s="267"/>
      <c r="AF446" s="267"/>
      <c r="AG446" s="267"/>
      <c r="AH446" s="267"/>
      <c r="AI446" s="267"/>
      <c r="AJ446" s="267"/>
      <c r="AK446" s="267"/>
      <c r="AL446" s="267"/>
      <c r="AM446" s="267"/>
      <c r="AN446" s="267"/>
      <c r="AO446" s="267"/>
      <c r="AP446" s="267"/>
      <c r="AQ446" s="267"/>
      <c r="AR446" s="267"/>
    </row>
    <row r="447" spans="1:44" ht="15.75">
      <c r="A447" s="267"/>
      <c r="B447" s="267"/>
      <c r="C447" s="267"/>
      <c r="D447" s="267"/>
      <c r="E447" s="267"/>
      <c r="F447" s="267"/>
      <c r="G447" s="267"/>
      <c r="H447" s="267"/>
      <c r="I447" s="267"/>
      <c r="J447" s="267"/>
      <c r="K447" s="267"/>
      <c r="L447" s="267"/>
      <c r="M447" s="267"/>
      <c r="N447" s="267"/>
      <c r="O447" s="267"/>
      <c r="P447" s="267"/>
      <c r="Q447" s="267"/>
      <c r="R447" s="267"/>
      <c r="S447" s="267"/>
      <c r="T447" s="267"/>
      <c r="U447" s="267"/>
      <c r="V447" s="267"/>
      <c r="W447" s="267"/>
      <c r="X447" s="267"/>
      <c r="Y447" s="267"/>
      <c r="Z447" s="267"/>
      <c r="AA447" s="267"/>
      <c r="AB447" s="267"/>
      <c r="AC447" s="267"/>
      <c r="AD447" s="267"/>
      <c r="AE447" s="267"/>
      <c r="AF447" s="267"/>
      <c r="AG447" s="267"/>
      <c r="AH447" s="267"/>
      <c r="AI447" s="267"/>
      <c r="AJ447" s="267"/>
      <c r="AK447" s="267"/>
      <c r="AL447" s="267"/>
      <c r="AM447" s="267"/>
      <c r="AN447" s="267"/>
      <c r="AO447" s="267"/>
      <c r="AP447" s="267"/>
      <c r="AQ447" s="267"/>
      <c r="AR447" s="267"/>
    </row>
    <row r="448" spans="1:44" ht="15.75">
      <c r="A448" s="267"/>
      <c r="B448" s="267"/>
      <c r="C448" s="267"/>
      <c r="D448" s="267"/>
      <c r="E448" s="267"/>
      <c r="F448" s="267"/>
      <c r="G448" s="267"/>
      <c r="H448" s="267"/>
      <c r="I448" s="267"/>
      <c r="J448" s="267"/>
      <c r="K448" s="267"/>
      <c r="L448" s="267"/>
      <c r="M448" s="267"/>
      <c r="N448" s="267"/>
      <c r="O448" s="267"/>
      <c r="P448" s="267"/>
      <c r="Q448" s="267"/>
      <c r="R448" s="267"/>
      <c r="S448" s="267"/>
      <c r="T448" s="267"/>
      <c r="U448" s="267"/>
      <c r="V448" s="267"/>
      <c r="W448" s="267"/>
      <c r="X448" s="267"/>
      <c r="Y448" s="267"/>
      <c r="Z448" s="267"/>
      <c r="AA448" s="267"/>
      <c r="AB448" s="267"/>
      <c r="AC448" s="267"/>
      <c r="AD448" s="267"/>
      <c r="AE448" s="267"/>
      <c r="AF448" s="267"/>
      <c r="AG448" s="267"/>
      <c r="AH448" s="267"/>
      <c r="AI448" s="267"/>
      <c r="AJ448" s="267"/>
      <c r="AK448" s="267"/>
      <c r="AL448" s="267"/>
      <c r="AM448" s="267"/>
      <c r="AN448" s="267"/>
      <c r="AO448" s="267"/>
      <c r="AP448" s="267"/>
      <c r="AQ448" s="267"/>
      <c r="AR448" s="267"/>
    </row>
    <row r="449" spans="1:44" ht="15.75">
      <c r="A449" s="267"/>
      <c r="B449" s="267"/>
      <c r="C449" s="267"/>
      <c r="D449" s="267"/>
      <c r="E449" s="267"/>
      <c r="F449" s="267"/>
      <c r="G449" s="267"/>
      <c r="H449" s="267"/>
      <c r="I449" s="267"/>
      <c r="J449" s="267"/>
      <c r="K449" s="267"/>
      <c r="L449" s="267"/>
      <c r="M449" s="267"/>
      <c r="N449" s="267"/>
      <c r="O449" s="267"/>
      <c r="P449" s="267"/>
      <c r="Q449" s="267"/>
      <c r="R449" s="267"/>
      <c r="S449" s="267"/>
      <c r="T449" s="267"/>
      <c r="U449" s="267"/>
      <c r="V449" s="267"/>
      <c r="W449" s="267"/>
      <c r="X449" s="267"/>
      <c r="Y449" s="267"/>
      <c r="Z449" s="267"/>
      <c r="AA449" s="267"/>
      <c r="AB449" s="267"/>
      <c r="AC449" s="267"/>
      <c r="AD449" s="267"/>
      <c r="AE449" s="267"/>
      <c r="AF449" s="267"/>
      <c r="AG449" s="267"/>
      <c r="AH449" s="267"/>
      <c r="AI449" s="267"/>
      <c r="AJ449" s="267"/>
      <c r="AK449" s="267"/>
      <c r="AL449" s="267"/>
      <c r="AM449" s="267"/>
      <c r="AN449" s="267"/>
      <c r="AO449" s="267"/>
      <c r="AP449" s="267"/>
      <c r="AQ449" s="267"/>
      <c r="AR449" s="267"/>
    </row>
    <row r="450" spans="1:44" ht="15.75">
      <c r="A450" s="267"/>
      <c r="B450" s="267"/>
      <c r="C450" s="267"/>
      <c r="D450" s="267"/>
      <c r="E450" s="267"/>
      <c r="F450" s="267"/>
      <c r="G450" s="267"/>
      <c r="H450" s="267"/>
      <c r="I450" s="267"/>
      <c r="J450" s="267"/>
      <c r="K450" s="267"/>
      <c r="L450" s="267"/>
      <c r="M450" s="267"/>
      <c r="N450" s="267"/>
      <c r="O450" s="267"/>
      <c r="P450" s="267"/>
      <c r="Q450" s="267"/>
      <c r="R450" s="267"/>
      <c r="S450" s="267"/>
      <c r="T450" s="267"/>
      <c r="U450" s="267"/>
      <c r="V450" s="267"/>
      <c r="W450" s="267"/>
      <c r="X450" s="267"/>
      <c r="Y450" s="267"/>
      <c r="Z450" s="267"/>
      <c r="AA450" s="267"/>
      <c r="AB450" s="267"/>
      <c r="AC450" s="267"/>
      <c r="AD450" s="267"/>
      <c r="AE450" s="267"/>
      <c r="AF450" s="267"/>
      <c r="AG450" s="267"/>
      <c r="AH450" s="267"/>
      <c r="AI450" s="267"/>
      <c r="AJ450" s="267"/>
      <c r="AK450" s="267"/>
      <c r="AL450" s="267"/>
      <c r="AM450" s="267"/>
      <c r="AN450" s="267"/>
      <c r="AO450" s="267"/>
      <c r="AP450" s="267"/>
      <c r="AQ450" s="267"/>
      <c r="AR450" s="267"/>
    </row>
    <row r="451" spans="1:44" ht="15.75">
      <c r="A451" s="267"/>
      <c r="B451" s="267"/>
      <c r="C451" s="267"/>
      <c r="D451" s="267"/>
      <c r="E451" s="267"/>
      <c r="F451" s="267"/>
      <c r="G451" s="267"/>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row>
    <row r="452" spans="1:44" ht="15.75">
      <c r="A452" s="267"/>
      <c r="B452" s="267"/>
      <c r="C452" s="267"/>
      <c r="D452" s="267"/>
      <c r="E452" s="267"/>
      <c r="F452" s="267"/>
      <c r="G452" s="267"/>
      <c r="H452" s="267"/>
      <c r="I452" s="267"/>
      <c r="J452" s="267"/>
      <c r="K452" s="267"/>
      <c r="L452" s="267"/>
      <c r="M452" s="267"/>
      <c r="N452" s="267"/>
      <c r="O452" s="267"/>
      <c r="P452" s="267"/>
      <c r="Q452" s="267"/>
      <c r="R452" s="267"/>
      <c r="S452" s="267"/>
      <c r="T452" s="267"/>
      <c r="U452" s="267"/>
      <c r="V452" s="267"/>
      <c r="W452" s="267"/>
      <c r="X452" s="267"/>
      <c r="Y452" s="267"/>
      <c r="Z452" s="267"/>
      <c r="AA452" s="267"/>
      <c r="AB452" s="267"/>
      <c r="AC452" s="267"/>
      <c r="AD452" s="267"/>
      <c r="AE452" s="267"/>
      <c r="AF452" s="267"/>
      <c r="AG452" s="267"/>
      <c r="AH452" s="267"/>
      <c r="AI452" s="267"/>
      <c r="AJ452" s="267"/>
      <c r="AK452" s="267"/>
      <c r="AL452" s="267"/>
      <c r="AM452" s="267"/>
      <c r="AN452" s="267"/>
      <c r="AO452" s="267"/>
      <c r="AP452" s="267"/>
      <c r="AQ452" s="267"/>
      <c r="AR452" s="267"/>
    </row>
    <row r="453" spans="1:44" ht="15.75">
      <c r="A453" s="267"/>
      <c r="B453" s="267"/>
      <c r="C453" s="267"/>
      <c r="D453" s="267"/>
      <c r="E453" s="267"/>
      <c r="F453" s="267"/>
      <c r="G453" s="267"/>
      <c r="H453" s="267"/>
      <c r="I453" s="267"/>
      <c r="J453" s="267"/>
      <c r="K453" s="267"/>
      <c r="L453" s="267"/>
      <c r="M453" s="267"/>
      <c r="N453" s="267"/>
      <c r="O453" s="267"/>
      <c r="P453" s="267"/>
      <c r="Q453" s="267"/>
      <c r="R453" s="267"/>
      <c r="S453" s="267"/>
      <c r="T453" s="267"/>
      <c r="U453" s="267"/>
      <c r="V453" s="267"/>
      <c r="W453" s="267"/>
      <c r="X453" s="267"/>
      <c r="Y453" s="267"/>
      <c r="Z453" s="267"/>
      <c r="AA453" s="267"/>
      <c r="AB453" s="267"/>
      <c r="AC453" s="267"/>
      <c r="AD453" s="267"/>
      <c r="AE453" s="267"/>
      <c r="AF453" s="267"/>
      <c r="AG453" s="267"/>
      <c r="AH453" s="267"/>
      <c r="AI453" s="267"/>
      <c r="AJ453" s="267"/>
      <c r="AK453" s="267"/>
      <c r="AL453" s="267"/>
      <c r="AM453" s="267"/>
      <c r="AN453" s="267"/>
      <c r="AO453" s="267"/>
      <c r="AP453" s="267"/>
      <c r="AQ453" s="267"/>
      <c r="AR453" s="267"/>
    </row>
    <row r="454" spans="1:44" ht="15.75">
      <c r="A454" s="267"/>
      <c r="B454" s="267"/>
      <c r="C454" s="267"/>
      <c r="D454" s="267"/>
      <c r="E454" s="267"/>
      <c r="F454" s="267"/>
      <c r="G454" s="267"/>
      <c r="H454" s="267"/>
      <c r="I454" s="267"/>
      <c r="J454" s="267"/>
      <c r="K454" s="267"/>
      <c r="L454" s="267"/>
      <c r="M454" s="267"/>
      <c r="N454" s="267"/>
      <c r="O454" s="267"/>
      <c r="P454" s="267"/>
      <c r="Q454" s="267"/>
      <c r="R454" s="267"/>
      <c r="S454" s="267"/>
      <c r="T454" s="267"/>
      <c r="U454" s="267"/>
      <c r="V454" s="267"/>
      <c r="W454" s="267"/>
      <c r="X454" s="267"/>
      <c r="Y454" s="267"/>
      <c r="Z454" s="267"/>
      <c r="AA454" s="267"/>
      <c r="AB454" s="267"/>
      <c r="AC454" s="267"/>
      <c r="AD454" s="267"/>
      <c r="AE454" s="267"/>
      <c r="AF454" s="267"/>
      <c r="AG454" s="267"/>
      <c r="AH454" s="267"/>
      <c r="AI454" s="267"/>
      <c r="AJ454" s="267"/>
      <c r="AK454" s="267"/>
      <c r="AL454" s="267"/>
      <c r="AM454" s="267"/>
      <c r="AN454" s="267"/>
      <c r="AO454" s="267"/>
      <c r="AP454" s="267"/>
      <c r="AQ454" s="267"/>
      <c r="AR454" s="267"/>
    </row>
    <row r="455" spans="1:44" ht="15.75">
      <c r="A455" s="267"/>
      <c r="B455" s="267"/>
      <c r="C455" s="267"/>
      <c r="D455" s="267"/>
      <c r="E455" s="267"/>
      <c r="F455" s="267"/>
      <c r="G455" s="267"/>
      <c r="H455" s="267"/>
      <c r="I455" s="267"/>
      <c r="J455" s="267"/>
      <c r="K455" s="267"/>
      <c r="L455" s="267"/>
      <c r="M455" s="267"/>
      <c r="N455" s="267"/>
      <c r="O455" s="267"/>
      <c r="P455" s="267"/>
      <c r="Q455" s="267"/>
      <c r="R455" s="267"/>
      <c r="S455" s="267"/>
      <c r="T455" s="267"/>
      <c r="U455" s="267"/>
      <c r="V455" s="267"/>
      <c r="W455" s="267"/>
      <c r="X455" s="267"/>
      <c r="Y455" s="267"/>
      <c r="Z455" s="267"/>
      <c r="AA455" s="267"/>
      <c r="AB455" s="267"/>
      <c r="AC455" s="267"/>
      <c r="AD455" s="267"/>
      <c r="AE455" s="267"/>
      <c r="AF455" s="267"/>
      <c r="AG455" s="267"/>
      <c r="AH455" s="267"/>
      <c r="AI455" s="267"/>
      <c r="AJ455" s="267"/>
      <c r="AK455" s="267"/>
      <c r="AL455" s="267"/>
      <c r="AM455" s="267"/>
      <c r="AN455" s="267"/>
      <c r="AO455" s="267"/>
      <c r="AP455" s="267"/>
      <c r="AQ455" s="267"/>
      <c r="AR455" s="267"/>
    </row>
    <row r="456" spans="1:44" ht="15.75">
      <c r="A456" s="267"/>
      <c r="B456" s="267"/>
      <c r="C456" s="267"/>
      <c r="D456" s="267"/>
      <c r="E456" s="267"/>
      <c r="F456" s="267"/>
      <c r="G456" s="267"/>
      <c r="H456" s="267"/>
      <c r="I456" s="267"/>
      <c r="J456" s="267"/>
      <c r="K456" s="267"/>
      <c r="L456" s="267"/>
      <c r="M456" s="267"/>
      <c r="N456" s="267"/>
      <c r="O456" s="267"/>
      <c r="P456" s="267"/>
      <c r="Q456" s="267"/>
      <c r="R456" s="267"/>
      <c r="S456" s="267"/>
      <c r="T456" s="267"/>
      <c r="U456" s="267"/>
      <c r="V456" s="267"/>
      <c r="W456" s="267"/>
      <c r="X456" s="267"/>
      <c r="Y456" s="267"/>
      <c r="Z456" s="267"/>
      <c r="AA456" s="267"/>
      <c r="AB456" s="267"/>
      <c r="AC456" s="267"/>
      <c r="AD456" s="267"/>
      <c r="AE456" s="267"/>
      <c r="AF456" s="267"/>
      <c r="AG456" s="267"/>
      <c r="AH456" s="267"/>
      <c r="AI456" s="267"/>
      <c r="AJ456" s="267"/>
      <c r="AK456" s="267"/>
      <c r="AL456" s="267"/>
      <c r="AM456" s="267"/>
      <c r="AN456" s="267"/>
      <c r="AO456" s="267"/>
      <c r="AP456" s="267"/>
      <c r="AQ456" s="267"/>
      <c r="AR456" s="267"/>
    </row>
    <row r="457" spans="1:44" ht="15.75">
      <c r="A457" s="267"/>
      <c r="B457" s="267"/>
      <c r="C457" s="267"/>
      <c r="D457" s="267"/>
      <c r="E457" s="267"/>
      <c r="F457" s="267"/>
      <c r="G457" s="267"/>
      <c r="H457" s="267"/>
      <c r="I457" s="267"/>
      <c r="J457" s="267"/>
      <c r="K457" s="267"/>
      <c r="L457" s="267"/>
      <c r="M457" s="267"/>
      <c r="N457" s="267"/>
      <c r="O457" s="267"/>
      <c r="P457" s="267"/>
      <c r="Q457" s="267"/>
      <c r="R457" s="267"/>
      <c r="S457" s="267"/>
      <c r="T457" s="267"/>
      <c r="U457" s="267"/>
      <c r="V457" s="267"/>
      <c r="W457" s="267"/>
      <c r="X457" s="267"/>
      <c r="Y457" s="267"/>
      <c r="Z457" s="267"/>
      <c r="AA457" s="267"/>
      <c r="AB457" s="267"/>
      <c r="AC457" s="267"/>
      <c r="AD457" s="267"/>
      <c r="AE457" s="267"/>
      <c r="AF457" s="267"/>
      <c r="AG457" s="267"/>
      <c r="AH457" s="267"/>
      <c r="AI457" s="267"/>
      <c r="AJ457" s="267"/>
      <c r="AK457" s="267"/>
      <c r="AL457" s="267"/>
      <c r="AM457" s="267"/>
      <c r="AN457" s="267"/>
      <c r="AO457" s="267"/>
      <c r="AP457" s="267"/>
      <c r="AQ457" s="267"/>
      <c r="AR457" s="267"/>
    </row>
    <row r="458" spans="1:44" ht="15.75">
      <c r="A458" s="267"/>
      <c r="B458" s="267"/>
      <c r="C458" s="267"/>
      <c r="D458" s="267"/>
      <c r="E458" s="267"/>
      <c r="F458" s="267"/>
      <c r="G458" s="267"/>
      <c r="H458" s="267"/>
      <c r="I458" s="267"/>
      <c r="J458" s="267"/>
      <c r="K458" s="267"/>
      <c r="L458" s="267"/>
      <c r="M458" s="267"/>
      <c r="N458" s="267"/>
      <c r="O458" s="267"/>
      <c r="P458" s="267"/>
      <c r="Q458" s="267"/>
      <c r="R458" s="267"/>
      <c r="S458" s="267"/>
      <c r="T458" s="267"/>
      <c r="U458" s="267"/>
      <c r="V458" s="267"/>
      <c r="W458" s="267"/>
      <c r="X458" s="267"/>
      <c r="Y458" s="267"/>
      <c r="Z458" s="267"/>
      <c r="AA458" s="267"/>
      <c r="AB458" s="267"/>
      <c r="AC458" s="267"/>
      <c r="AD458" s="267"/>
      <c r="AE458" s="267"/>
      <c r="AF458" s="267"/>
      <c r="AG458" s="267"/>
      <c r="AH458" s="267"/>
      <c r="AI458" s="267"/>
      <c r="AJ458" s="267"/>
      <c r="AK458" s="267"/>
      <c r="AL458" s="267"/>
      <c r="AM458" s="267"/>
      <c r="AN458" s="267"/>
      <c r="AO458" s="267"/>
      <c r="AP458" s="267"/>
      <c r="AQ458" s="267"/>
      <c r="AR458" s="267"/>
    </row>
    <row r="459" spans="1:44" ht="15.75">
      <c r="A459" s="267"/>
      <c r="B459" s="267"/>
      <c r="C459" s="267"/>
      <c r="D459" s="267"/>
      <c r="E459" s="267"/>
      <c r="F459" s="267"/>
      <c r="G459" s="267"/>
      <c r="H459" s="267"/>
      <c r="I459" s="267"/>
      <c r="J459" s="267"/>
      <c r="K459" s="267"/>
      <c r="L459" s="267"/>
      <c r="M459" s="267"/>
      <c r="N459" s="267"/>
      <c r="O459" s="267"/>
      <c r="P459" s="267"/>
      <c r="Q459" s="267"/>
      <c r="R459" s="267"/>
      <c r="S459" s="267"/>
      <c r="T459" s="267"/>
      <c r="U459" s="267"/>
      <c r="V459" s="267"/>
      <c r="W459" s="267"/>
      <c r="X459" s="267"/>
      <c r="Y459" s="267"/>
      <c r="Z459" s="267"/>
      <c r="AA459" s="267"/>
      <c r="AB459" s="267"/>
      <c r="AC459" s="267"/>
      <c r="AD459" s="267"/>
      <c r="AE459" s="267"/>
      <c r="AF459" s="267"/>
      <c r="AG459" s="267"/>
      <c r="AH459" s="267"/>
      <c r="AI459" s="267"/>
      <c r="AJ459" s="267"/>
      <c r="AK459" s="267"/>
      <c r="AL459" s="267"/>
      <c r="AM459" s="267"/>
      <c r="AN459" s="267"/>
      <c r="AO459" s="267"/>
      <c r="AP459" s="267"/>
      <c r="AQ459" s="267"/>
      <c r="AR459" s="267"/>
    </row>
    <row r="460" spans="1:44" ht="15.75">
      <c r="A460" s="267"/>
      <c r="B460" s="267"/>
      <c r="C460" s="267"/>
      <c r="D460" s="267"/>
      <c r="E460" s="267"/>
      <c r="F460" s="267"/>
      <c r="G460" s="267"/>
      <c r="H460" s="267"/>
      <c r="I460" s="267"/>
      <c r="J460" s="267"/>
      <c r="K460" s="267"/>
      <c r="L460" s="267"/>
      <c r="M460" s="267"/>
      <c r="N460" s="267"/>
      <c r="O460" s="267"/>
      <c r="P460" s="267"/>
      <c r="Q460" s="267"/>
      <c r="R460" s="267"/>
      <c r="S460" s="267"/>
      <c r="T460" s="267"/>
      <c r="U460" s="267"/>
      <c r="V460" s="267"/>
      <c r="W460" s="267"/>
      <c r="X460" s="267"/>
      <c r="Y460" s="267"/>
      <c r="Z460" s="267"/>
      <c r="AA460" s="267"/>
      <c r="AB460" s="267"/>
      <c r="AC460" s="267"/>
      <c r="AD460" s="267"/>
      <c r="AE460" s="267"/>
      <c r="AF460" s="267"/>
      <c r="AG460" s="267"/>
      <c r="AH460" s="267"/>
      <c r="AI460" s="267"/>
      <c r="AJ460" s="267"/>
      <c r="AK460" s="267"/>
      <c r="AL460" s="267"/>
      <c r="AM460" s="267"/>
      <c r="AN460" s="267"/>
      <c r="AO460" s="267"/>
      <c r="AP460" s="267"/>
      <c r="AQ460" s="267"/>
      <c r="AR460" s="267"/>
    </row>
    <row r="461" spans="1:44" ht="15.75">
      <c r="A461" s="267"/>
      <c r="B461" s="267"/>
      <c r="C461" s="267"/>
      <c r="D461" s="267"/>
      <c r="E461" s="267"/>
      <c r="F461" s="267"/>
      <c r="G461" s="267"/>
      <c r="H461" s="267"/>
      <c r="I461" s="267"/>
      <c r="J461" s="267"/>
      <c r="K461" s="267"/>
      <c r="L461" s="267"/>
      <c r="M461" s="267"/>
      <c r="N461" s="267"/>
      <c r="O461" s="267"/>
      <c r="P461" s="267"/>
      <c r="Q461" s="267"/>
      <c r="R461" s="267"/>
      <c r="S461" s="267"/>
      <c r="T461" s="267"/>
      <c r="U461" s="267"/>
      <c r="V461" s="267"/>
      <c r="W461" s="267"/>
      <c r="X461" s="267"/>
      <c r="Y461" s="267"/>
      <c r="Z461" s="267"/>
      <c r="AA461" s="267"/>
      <c r="AB461" s="267"/>
      <c r="AC461" s="267"/>
      <c r="AD461" s="267"/>
      <c r="AE461" s="267"/>
      <c r="AF461" s="267"/>
      <c r="AG461" s="267"/>
      <c r="AH461" s="267"/>
      <c r="AI461" s="267"/>
      <c r="AJ461" s="267"/>
      <c r="AK461" s="267"/>
      <c r="AL461" s="267"/>
      <c r="AM461" s="267"/>
      <c r="AN461" s="267"/>
      <c r="AO461" s="267"/>
      <c r="AP461" s="267"/>
      <c r="AQ461" s="267"/>
      <c r="AR461" s="267"/>
    </row>
    <row r="462" spans="1:44" ht="15.75">
      <c r="A462" s="267"/>
      <c r="B462" s="267"/>
      <c r="C462" s="267"/>
      <c r="D462" s="267"/>
      <c r="E462" s="267"/>
      <c r="F462" s="267"/>
      <c r="G462" s="267"/>
      <c r="H462" s="267"/>
      <c r="I462" s="267"/>
      <c r="J462" s="267"/>
      <c r="K462" s="267"/>
      <c r="L462" s="267"/>
      <c r="M462" s="267"/>
      <c r="N462" s="267"/>
      <c r="O462" s="267"/>
      <c r="P462" s="267"/>
      <c r="Q462" s="267"/>
      <c r="R462" s="267"/>
      <c r="S462" s="267"/>
      <c r="T462" s="267"/>
      <c r="U462" s="267"/>
      <c r="V462" s="267"/>
      <c r="W462" s="267"/>
      <c r="X462" s="267"/>
      <c r="Y462" s="267"/>
      <c r="Z462" s="267"/>
      <c r="AA462" s="267"/>
      <c r="AB462" s="267"/>
      <c r="AC462" s="267"/>
      <c r="AD462" s="267"/>
      <c r="AE462" s="267"/>
      <c r="AF462" s="267"/>
      <c r="AG462" s="267"/>
      <c r="AH462" s="267"/>
      <c r="AI462" s="267"/>
      <c r="AJ462" s="267"/>
      <c r="AK462" s="267"/>
      <c r="AL462" s="267"/>
      <c r="AM462" s="267"/>
      <c r="AN462" s="267"/>
      <c r="AO462" s="267"/>
      <c r="AP462" s="267"/>
      <c r="AQ462" s="267"/>
      <c r="AR462" s="267"/>
    </row>
    <row r="463" spans="1:44" ht="15.75">
      <c r="A463" s="267"/>
      <c r="B463" s="267"/>
      <c r="C463" s="267"/>
      <c r="D463" s="267"/>
      <c r="E463" s="267"/>
      <c r="F463" s="267"/>
      <c r="G463" s="267"/>
      <c r="H463" s="267"/>
      <c r="I463" s="267"/>
      <c r="J463" s="267"/>
      <c r="K463" s="267"/>
      <c r="L463" s="267"/>
      <c r="M463" s="267"/>
      <c r="N463" s="267"/>
      <c r="O463" s="267"/>
      <c r="P463" s="267"/>
      <c r="Q463" s="267"/>
      <c r="R463" s="267"/>
      <c r="S463" s="267"/>
      <c r="T463" s="267"/>
      <c r="U463" s="267"/>
      <c r="V463" s="267"/>
      <c r="W463" s="267"/>
      <c r="X463" s="267"/>
      <c r="Y463" s="267"/>
      <c r="Z463" s="267"/>
      <c r="AA463" s="267"/>
      <c r="AB463" s="267"/>
      <c r="AC463" s="267"/>
      <c r="AD463" s="267"/>
      <c r="AE463" s="267"/>
      <c r="AF463" s="267"/>
      <c r="AG463" s="267"/>
      <c r="AH463" s="267"/>
      <c r="AI463" s="267"/>
      <c r="AJ463" s="267"/>
      <c r="AK463" s="267"/>
      <c r="AL463" s="267"/>
      <c r="AM463" s="267"/>
      <c r="AN463" s="267"/>
      <c r="AO463" s="267"/>
      <c r="AP463" s="267"/>
      <c r="AQ463" s="267"/>
      <c r="AR463" s="267"/>
    </row>
    <row r="464" spans="1:44" ht="15.75">
      <c r="A464" s="267"/>
      <c r="B464" s="267"/>
      <c r="C464" s="267"/>
      <c r="D464" s="267"/>
      <c r="E464" s="267"/>
      <c r="F464" s="267"/>
      <c r="G464" s="267"/>
      <c r="H464" s="267"/>
      <c r="I464" s="267"/>
      <c r="J464" s="267"/>
      <c r="K464" s="267"/>
      <c r="L464" s="267"/>
      <c r="M464" s="267"/>
      <c r="N464" s="267"/>
      <c r="O464" s="267"/>
      <c r="P464" s="267"/>
      <c r="Q464" s="267"/>
      <c r="R464" s="267"/>
      <c r="S464" s="267"/>
      <c r="T464" s="267"/>
      <c r="U464" s="267"/>
      <c r="V464" s="267"/>
      <c r="W464" s="267"/>
      <c r="X464" s="267"/>
      <c r="Y464" s="267"/>
      <c r="Z464" s="267"/>
      <c r="AA464" s="267"/>
      <c r="AB464" s="267"/>
      <c r="AC464" s="267"/>
      <c r="AD464" s="267"/>
      <c r="AE464" s="267"/>
      <c r="AF464" s="267"/>
      <c r="AG464" s="267"/>
      <c r="AH464" s="267"/>
      <c r="AI464" s="267"/>
      <c r="AJ464" s="267"/>
      <c r="AK464" s="267"/>
      <c r="AL464" s="267"/>
      <c r="AM464" s="267"/>
      <c r="AN464" s="267"/>
      <c r="AO464" s="267"/>
      <c r="AP464" s="267"/>
      <c r="AQ464" s="267"/>
      <c r="AR464" s="267"/>
    </row>
    <row r="465" spans="1:44" ht="15.75">
      <c r="A465" s="267"/>
      <c r="B465" s="267"/>
      <c r="C465" s="267"/>
      <c r="D465" s="267"/>
      <c r="E465" s="267"/>
      <c r="F465" s="267"/>
      <c r="G465" s="267"/>
      <c r="H465" s="267"/>
      <c r="I465" s="267"/>
      <c r="J465" s="267"/>
      <c r="K465" s="267"/>
      <c r="L465" s="267"/>
      <c r="M465" s="267"/>
      <c r="N465" s="267"/>
      <c r="O465" s="267"/>
      <c r="P465" s="267"/>
      <c r="Q465" s="267"/>
      <c r="R465" s="267"/>
      <c r="S465" s="267"/>
      <c r="T465" s="267"/>
      <c r="U465" s="267"/>
      <c r="V465" s="267"/>
      <c r="W465" s="267"/>
      <c r="X465" s="267"/>
      <c r="Y465" s="267"/>
      <c r="Z465" s="267"/>
      <c r="AA465" s="267"/>
      <c r="AB465" s="267"/>
      <c r="AC465" s="267"/>
      <c r="AD465" s="267"/>
      <c r="AE465" s="267"/>
      <c r="AF465" s="267"/>
      <c r="AG465" s="267"/>
      <c r="AH465" s="267"/>
      <c r="AI465" s="267"/>
      <c r="AJ465" s="267"/>
      <c r="AK465" s="267"/>
      <c r="AL465" s="267"/>
      <c r="AM465" s="267"/>
      <c r="AN465" s="267"/>
      <c r="AO465" s="267"/>
      <c r="AP465" s="267"/>
      <c r="AQ465" s="267"/>
      <c r="AR465" s="267"/>
    </row>
    <row r="466" spans="1:44" ht="15.75">
      <c r="A466" s="267"/>
      <c r="B466" s="267"/>
      <c r="C466" s="267"/>
      <c r="D466" s="267"/>
      <c r="E466" s="267"/>
      <c r="F466" s="267"/>
      <c r="G466" s="267"/>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row>
    <row r="467" spans="1:44" ht="15.75">
      <c r="A467" s="267"/>
      <c r="B467" s="267"/>
      <c r="C467" s="267"/>
      <c r="D467" s="267"/>
      <c r="E467" s="267"/>
      <c r="F467" s="267"/>
      <c r="G467" s="267"/>
      <c r="H467" s="267"/>
      <c r="I467" s="267"/>
      <c r="J467" s="267"/>
      <c r="K467" s="267"/>
      <c r="L467" s="267"/>
      <c r="M467" s="267"/>
      <c r="N467" s="267"/>
      <c r="O467" s="267"/>
      <c r="P467" s="267"/>
      <c r="Q467" s="267"/>
      <c r="R467" s="267"/>
      <c r="S467" s="267"/>
      <c r="T467" s="267"/>
      <c r="U467" s="267"/>
      <c r="V467" s="267"/>
      <c r="W467" s="267"/>
      <c r="X467" s="267"/>
      <c r="Y467" s="267"/>
      <c r="Z467" s="267"/>
      <c r="AA467" s="267"/>
      <c r="AB467" s="267"/>
      <c r="AC467" s="267"/>
      <c r="AD467" s="267"/>
      <c r="AE467" s="267"/>
      <c r="AF467" s="267"/>
      <c r="AG467" s="267"/>
      <c r="AH467" s="267"/>
      <c r="AI467" s="267"/>
      <c r="AJ467" s="267"/>
      <c r="AK467" s="267"/>
      <c r="AL467" s="267"/>
      <c r="AM467" s="267"/>
      <c r="AN467" s="267"/>
      <c r="AO467" s="267"/>
      <c r="AP467" s="267"/>
      <c r="AQ467" s="267"/>
      <c r="AR467" s="267"/>
    </row>
    <row r="468" spans="1:44" ht="15.75">
      <c r="A468" s="267"/>
      <c r="B468" s="267"/>
      <c r="C468" s="267"/>
      <c r="D468" s="267"/>
      <c r="E468" s="267"/>
      <c r="F468" s="267"/>
      <c r="G468" s="267"/>
      <c r="H468" s="267"/>
      <c r="I468" s="267"/>
      <c r="J468" s="267"/>
      <c r="K468" s="267"/>
      <c r="L468" s="267"/>
      <c r="M468" s="267"/>
      <c r="N468" s="267"/>
      <c r="O468" s="267"/>
      <c r="P468" s="267"/>
      <c r="Q468" s="267"/>
      <c r="R468" s="267"/>
      <c r="S468" s="267"/>
      <c r="T468" s="267"/>
      <c r="U468" s="267"/>
      <c r="V468" s="267"/>
      <c r="W468" s="267"/>
      <c r="X468" s="267"/>
      <c r="Y468" s="267"/>
      <c r="Z468" s="267"/>
      <c r="AA468" s="267"/>
      <c r="AB468" s="267"/>
      <c r="AC468" s="267"/>
      <c r="AD468" s="267"/>
      <c r="AE468" s="267"/>
      <c r="AF468" s="267"/>
      <c r="AG468" s="267"/>
      <c r="AH468" s="267"/>
      <c r="AI468" s="267"/>
      <c r="AJ468" s="267"/>
      <c r="AK468" s="267"/>
      <c r="AL468" s="267"/>
      <c r="AM468" s="267"/>
      <c r="AN468" s="267"/>
      <c r="AO468" s="267"/>
      <c r="AP468" s="267"/>
      <c r="AQ468" s="267"/>
      <c r="AR468" s="267"/>
    </row>
    <row r="469" spans="1:44" ht="15.75">
      <c r="A469" s="267"/>
      <c r="B469" s="267"/>
      <c r="C469" s="267"/>
      <c r="D469" s="267"/>
      <c r="E469" s="267"/>
      <c r="F469" s="267"/>
      <c r="G469" s="267"/>
      <c r="H469" s="267"/>
      <c r="I469" s="267"/>
      <c r="J469" s="267"/>
      <c r="K469" s="267"/>
      <c r="L469" s="267"/>
      <c r="M469" s="267"/>
      <c r="N469" s="267"/>
      <c r="O469" s="267"/>
      <c r="P469" s="267"/>
      <c r="Q469" s="267"/>
      <c r="R469" s="267"/>
      <c r="S469" s="267"/>
      <c r="T469" s="267"/>
      <c r="U469" s="267"/>
      <c r="V469" s="267"/>
      <c r="W469" s="267"/>
      <c r="X469" s="267"/>
      <c r="Y469" s="267"/>
      <c r="Z469" s="267"/>
      <c r="AA469" s="267"/>
      <c r="AB469" s="267"/>
      <c r="AC469" s="267"/>
      <c r="AD469" s="267"/>
      <c r="AE469" s="267"/>
      <c r="AF469" s="267"/>
      <c r="AG469" s="267"/>
      <c r="AH469" s="267"/>
      <c r="AI469" s="267"/>
      <c r="AJ469" s="267"/>
      <c r="AK469" s="267"/>
      <c r="AL469" s="267"/>
      <c r="AM469" s="267"/>
      <c r="AN469" s="267"/>
      <c r="AO469" s="267"/>
      <c r="AP469" s="267"/>
      <c r="AQ469" s="267"/>
      <c r="AR469" s="267"/>
    </row>
    <row r="470" spans="1:44" ht="15.75">
      <c r="A470" s="267"/>
      <c r="B470" s="267"/>
      <c r="C470" s="267"/>
      <c r="D470" s="267"/>
      <c r="E470" s="267"/>
      <c r="F470" s="267"/>
      <c r="G470" s="267"/>
      <c r="H470" s="267"/>
      <c r="I470" s="267"/>
      <c r="J470" s="267"/>
      <c r="K470" s="267"/>
      <c r="L470" s="267"/>
      <c r="M470" s="267"/>
      <c r="N470" s="267"/>
      <c r="O470" s="267"/>
      <c r="P470" s="267"/>
      <c r="Q470" s="267"/>
      <c r="R470" s="267"/>
      <c r="S470" s="267"/>
      <c r="T470" s="267"/>
      <c r="U470" s="267"/>
      <c r="V470" s="267"/>
      <c r="W470" s="267"/>
      <c r="X470" s="267"/>
      <c r="Y470" s="267"/>
      <c r="Z470" s="267"/>
      <c r="AA470" s="267"/>
      <c r="AB470" s="267"/>
      <c r="AC470" s="267"/>
      <c r="AD470" s="267"/>
      <c r="AE470" s="267"/>
      <c r="AF470" s="267"/>
      <c r="AG470" s="267"/>
      <c r="AH470" s="267"/>
      <c r="AI470" s="267"/>
      <c r="AJ470" s="267"/>
      <c r="AK470" s="267"/>
      <c r="AL470" s="267"/>
      <c r="AM470" s="267"/>
      <c r="AN470" s="267"/>
      <c r="AO470" s="267"/>
      <c r="AP470" s="267"/>
      <c r="AQ470" s="267"/>
      <c r="AR470" s="267"/>
    </row>
    <row r="471" spans="1:44" ht="15.75">
      <c r="A471" s="267"/>
      <c r="B471" s="267"/>
      <c r="C471" s="267"/>
      <c r="D471" s="267"/>
      <c r="E471" s="267"/>
      <c r="F471" s="267"/>
      <c r="G471" s="267"/>
      <c r="H471" s="267"/>
      <c r="I471" s="267"/>
      <c r="J471" s="267"/>
      <c r="K471" s="267"/>
      <c r="L471" s="267"/>
      <c r="M471" s="267"/>
      <c r="N471" s="267"/>
      <c r="O471" s="267"/>
      <c r="P471" s="267"/>
      <c r="Q471" s="267"/>
      <c r="R471" s="267"/>
      <c r="S471" s="267"/>
      <c r="T471" s="267"/>
      <c r="U471" s="267"/>
      <c r="V471" s="267"/>
      <c r="W471" s="267"/>
      <c r="X471" s="267"/>
      <c r="Y471" s="267"/>
      <c r="Z471" s="267"/>
      <c r="AA471" s="267"/>
      <c r="AB471" s="267"/>
      <c r="AC471" s="267"/>
      <c r="AD471" s="267"/>
      <c r="AE471" s="267"/>
      <c r="AF471" s="267"/>
      <c r="AG471" s="267"/>
      <c r="AH471" s="267"/>
      <c r="AI471" s="267"/>
      <c r="AJ471" s="267"/>
      <c r="AK471" s="267"/>
      <c r="AL471" s="267"/>
      <c r="AM471" s="267"/>
      <c r="AN471" s="267"/>
      <c r="AO471" s="267"/>
      <c r="AP471" s="267"/>
      <c r="AQ471" s="267"/>
      <c r="AR471" s="267"/>
    </row>
    <row r="472" spans="1:44" ht="15.75">
      <c r="A472" s="267"/>
      <c r="B472" s="267"/>
      <c r="C472" s="267"/>
      <c r="D472" s="267"/>
      <c r="E472" s="267"/>
      <c r="F472" s="267"/>
      <c r="G472" s="267"/>
      <c r="H472" s="267"/>
      <c r="I472" s="267"/>
      <c r="J472" s="267"/>
      <c r="K472" s="267"/>
      <c r="L472" s="267"/>
      <c r="M472" s="267"/>
      <c r="N472" s="267"/>
      <c r="O472" s="267"/>
      <c r="P472" s="267"/>
      <c r="Q472" s="267"/>
      <c r="R472" s="267"/>
      <c r="S472" s="267"/>
      <c r="T472" s="267"/>
      <c r="U472" s="267"/>
      <c r="V472" s="267"/>
      <c r="W472" s="267"/>
      <c r="X472" s="267"/>
      <c r="Y472" s="267"/>
      <c r="Z472" s="267"/>
      <c r="AA472" s="267"/>
      <c r="AB472" s="267"/>
      <c r="AC472" s="267"/>
      <c r="AD472" s="267"/>
      <c r="AE472" s="267"/>
      <c r="AF472" s="267"/>
      <c r="AG472" s="267"/>
      <c r="AH472" s="267"/>
      <c r="AI472" s="267"/>
      <c r="AJ472" s="267"/>
      <c r="AK472" s="267"/>
      <c r="AL472" s="267"/>
      <c r="AM472" s="267"/>
      <c r="AN472" s="267"/>
      <c r="AO472" s="267"/>
      <c r="AP472" s="267"/>
      <c r="AQ472" s="267"/>
      <c r="AR472" s="267"/>
    </row>
    <row r="473" spans="1:44" ht="15.75">
      <c r="A473" s="267"/>
      <c r="B473" s="267"/>
      <c r="C473" s="267"/>
      <c r="D473" s="267"/>
      <c r="E473" s="267"/>
      <c r="F473" s="267"/>
      <c r="G473" s="267"/>
      <c r="H473" s="267"/>
      <c r="I473" s="267"/>
      <c r="J473" s="267"/>
      <c r="K473" s="267"/>
      <c r="L473" s="267"/>
      <c r="M473" s="267"/>
      <c r="N473" s="267"/>
      <c r="O473" s="267"/>
      <c r="P473" s="267"/>
      <c r="Q473" s="267"/>
      <c r="R473" s="267"/>
      <c r="S473" s="267"/>
      <c r="T473" s="267"/>
      <c r="U473" s="267"/>
      <c r="V473" s="267"/>
      <c r="W473" s="267"/>
      <c r="X473" s="267"/>
      <c r="Y473" s="267"/>
      <c r="Z473" s="267"/>
      <c r="AA473" s="267"/>
      <c r="AB473" s="267"/>
      <c r="AC473" s="267"/>
      <c r="AD473" s="267"/>
      <c r="AE473" s="267"/>
      <c r="AF473" s="267"/>
      <c r="AG473" s="267"/>
      <c r="AH473" s="267"/>
      <c r="AI473" s="267"/>
      <c r="AJ473" s="267"/>
      <c r="AK473" s="267"/>
      <c r="AL473" s="267"/>
      <c r="AM473" s="267"/>
      <c r="AN473" s="267"/>
      <c r="AO473" s="267"/>
      <c r="AP473" s="267"/>
      <c r="AQ473" s="267"/>
      <c r="AR473" s="267"/>
    </row>
    <row r="474" spans="1:44" ht="15.75">
      <c r="A474" s="267"/>
      <c r="B474" s="267"/>
      <c r="C474" s="267"/>
      <c r="D474" s="267"/>
      <c r="E474" s="267"/>
      <c r="F474" s="267"/>
      <c r="G474" s="267"/>
      <c r="H474" s="267"/>
      <c r="I474" s="267"/>
      <c r="J474" s="267"/>
      <c r="K474" s="267"/>
      <c r="L474" s="267"/>
      <c r="M474" s="267"/>
      <c r="N474" s="267"/>
      <c r="O474" s="267"/>
      <c r="P474" s="267"/>
      <c r="Q474" s="267"/>
      <c r="R474" s="267"/>
      <c r="S474" s="267"/>
      <c r="T474" s="267"/>
      <c r="U474" s="267"/>
      <c r="V474" s="267"/>
      <c r="W474" s="267"/>
      <c r="X474" s="267"/>
      <c r="Y474" s="267"/>
      <c r="Z474" s="267"/>
      <c r="AA474" s="267"/>
      <c r="AB474" s="267"/>
      <c r="AC474" s="267"/>
      <c r="AD474" s="267"/>
      <c r="AE474" s="267"/>
      <c r="AF474" s="267"/>
      <c r="AG474" s="267"/>
      <c r="AH474" s="267"/>
      <c r="AI474" s="267"/>
      <c r="AJ474" s="267"/>
      <c r="AK474" s="267"/>
      <c r="AL474" s="267"/>
      <c r="AM474" s="267"/>
      <c r="AN474" s="267"/>
      <c r="AO474" s="267"/>
      <c r="AP474" s="267"/>
      <c r="AQ474" s="267"/>
      <c r="AR474" s="267"/>
    </row>
    <row r="475" spans="1:44" ht="15.75">
      <c r="A475" s="267"/>
      <c r="B475" s="267"/>
      <c r="C475" s="267"/>
      <c r="D475" s="267"/>
      <c r="E475" s="267"/>
      <c r="F475" s="267"/>
      <c r="G475" s="267"/>
      <c r="H475" s="267"/>
      <c r="I475" s="267"/>
      <c r="J475" s="267"/>
      <c r="K475" s="267"/>
      <c r="L475" s="267"/>
      <c r="M475" s="267"/>
      <c r="N475" s="267"/>
      <c r="O475" s="267"/>
      <c r="P475" s="267"/>
      <c r="Q475" s="267"/>
      <c r="R475" s="267"/>
      <c r="S475" s="267"/>
      <c r="T475" s="267"/>
      <c r="U475" s="267"/>
      <c r="V475" s="267"/>
      <c r="W475" s="267"/>
      <c r="X475" s="267"/>
      <c r="Y475" s="267"/>
      <c r="Z475" s="267"/>
      <c r="AA475" s="267"/>
      <c r="AB475" s="267"/>
      <c r="AC475" s="267"/>
      <c r="AD475" s="267"/>
      <c r="AE475" s="267"/>
      <c r="AF475" s="267"/>
      <c r="AG475" s="267"/>
      <c r="AH475" s="267"/>
      <c r="AI475" s="267"/>
      <c r="AJ475" s="267"/>
      <c r="AK475" s="267"/>
      <c r="AL475" s="267"/>
      <c r="AM475" s="267"/>
      <c r="AN475" s="267"/>
      <c r="AO475" s="267"/>
      <c r="AP475" s="267"/>
      <c r="AQ475" s="267"/>
      <c r="AR475" s="267"/>
    </row>
    <row r="476" spans="1:44" ht="15.75">
      <c r="A476" s="267"/>
      <c r="B476" s="267"/>
      <c r="C476" s="267"/>
      <c r="D476" s="267"/>
      <c r="E476" s="267"/>
      <c r="F476" s="267"/>
      <c r="G476" s="267"/>
      <c r="H476" s="267"/>
      <c r="I476" s="267"/>
      <c r="J476" s="267"/>
      <c r="K476" s="267"/>
      <c r="L476" s="267"/>
      <c r="M476" s="267"/>
      <c r="N476" s="267"/>
      <c r="O476" s="267"/>
      <c r="P476" s="267"/>
      <c r="Q476" s="267"/>
      <c r="R476" s="267"/>
      <c r="S476" s="267"/>
      <c r="T476" s="267"/>
      <c r="U476" s="267"/>
      <c r="V476" s="267"/>
      <c r="W476" s="267"/>
      <c r="X476" s="267"/>
      <c r="Y476" s="267"/>
      <c r="Z476" s="267"/>
      <c r="AA476" s="267"/>
      <c r="AB476" s="267"/>
      <c r="AC476" s="267"/>
      <c r="AD476" s="267"/>
      <c r="AE476" s="267"/>
      <c r="AF476" s="267"/>
      <c r="AG476" s="267"/>
      <c r="AH476" s="267"/>
      <c r="AI476" s="267"/>
      <c r="AJ476" s="267"/>
      <c r="AK476" s="267"/>
      <c r="AL476" s="267"/>
      <c r="AM476" s="267"/>
      <c r="AN476" s="267"/>
      <c r="AO476" s="267"/>
      <c r="AP476" s="267"/>
      <c r="AQ476" s="267"/>
      <c r="AR476" s="267"/>
    </row>
    <row r="477" spans="1:44" ht="15.75">
      <c r="A477" s="267"/>
      <c r="B477" s="267"/>
      <c r="C477" s="267"/>
      <c r="D477" s="267"/>
      <c r="E477" s="267"/>
      <c r="F477" s="267"/>
      <c r="G477" s="267"/>
      <c r="H477" s="267"/>
      <c r="I477" s="267"/>
      <c r="J477" s="267"/>
      <c r="K477" s="267"/>
      <c r="L477" s="267"/>
      <c r="M477" s="267"/>
      <c r="N477" s="267"/>
      <c r="O477" s="267"/>
      <c r="P477" s="267"/>
      <c r="Q477" s="267"/>
      <c r="R477" s="267"/>
      <c r="S477" s="267"/>
      <c r="T477" s="267"/>
      <c r="U477" s="267"/>
      <c r="V477" s="267"/>
      <c r="W477" s="267"/>
      <c r="X477" s="267"/>
      <c r="Y477" s="267"/>
      <c r="Z477" s="267"/>
      <c r="AA477" s="267"/>
      <c r="AB477" s="267"/>
      <c r="AC477" s="267"/>
      <c r="AD477" s="267"/>
      <c r="AE477" s="267"/>
      <c r="AF477" s="267"/>
      <c r="AG477" s="267"/>
      <c r="AH477" s="267"/>
      <c r="AI477" s="267"/>
      <c r="AJ477" s="267"/>
      <c r="AK477" s="267"/>
      <c r="AL477" s="267"/>
      <c r="AM477" s="267"/>
      <c r="AN477" s="267"/>
      <c r="AO477" s="267"/>
      <c r="AP477" s="267"/>
      <c r="AQ477" s="267"/>
      <c r="AR477" s="267"/>
    </row>
    <row r="478" spans="1:44" ht="15.75">
      <c r="A478" s="267"/>
      <c r="B478" s="267"/>
      <c r="C478" s="267"/>
      <c r="D478" s="267"/>
      <c r="E478" s="267"/>
      <c r="F478" s="267"/>
      <c r="G478" s="267"/>
      <c r="H478" s="267"/>
      <c r="I478" s="267"/>
      <c r="J478" s="267"/>
      <c r="K478" s="267"/>
      <c r="L478" s="267"/>
      <c r="M478" s="267"/>
      <c r="N478" s="267"/>
      <c r="O478" s="267"/>
      <c r="P478" s="267"/>
      <c r="Q478" s="267"/>
      <c r="R478" s="267"/>
      <c r="S478" s="267"/>
      <c r="T478" s="267"/>
      <c r="U478" s="267"/>
      <c r="V478" s="267"/>
      <c r="W478" s="267"/>
      <c r="X478" s="267"/>
      <c r="Y478" s="267"/>
      <c r="Z478" s="267"/>
      <c r="AA478" s="267"/>
      <c r="AB478" s="267"/>
      <c r="AC478" s="267"/>
      <c r="AD478" s="267"/>
      <c r="AE478" s="267"/>
      <c r="AF478" s="267"/>
      <c r="AG478" s="267"/>
      <c r="AH478" s="267"/>
      <c r="AI478" s="267"/>
      <c r="AJ478" s="267"/>
      <c r="AK478" s="267"/>
      <c r="AL478" s="267"/>
      <c r="AM478" s="267"/>
      <c r="AN478" s="267"/>
      <c r="AO478" s="267"/>
      <c r="AP478" s="267"/>
      <c r="AQ478" s="267"/>
      <c r="AR478" s="267"/>
    </row>
    <row r="479" spans="1:44" ht="15.75">
      <c r="A479" s="267"/>
      <c r="B479" s="267"/>
      <c r="C479" s="267"/>
      <c r="D479" s="267"/>
      <c r="E479" s="267"/>
      <c r="F479" s="267"/>
      <c r="G479" s="267"/>
      <c r="H479" s="267"/>
      <c r="I479" s="267"/>
      <c r="J479" s="267"/>
      <c r="K479" s="267"/>
      <c r="L479" s="267"/>
      <c r="M479" s="267"/>
      <c r="N479" s="267"/>
      <c r="O479" s="267"/>
      <c r="P479" s="267"/>
      <c r="Q479" s="267"/>
      <c r="R479" s="267"/>
      <c r="S479" s="267"/>
      <c r="T479" s="267"/>
      <c r="U479" s="267"/>
      <c r="V479" s="267"/>
      <c r="W479" s="267"/>
      <c r="X479" s="267"/>
      <c r="Y479" s="267"/>
      <c r="Z479" s="267"/>
      <c r="AA479" s="267"/>
      <c r="AB479" s="267"/>
      <c r="AC479" s="267"/>
      <c r="AD479" s="267"/>
      <c r="AE479" s="267"/>
      <c r="AF479" s="267"/>
      <c r="AG479" s="267"/>
      <c r="AH479" s="267"/>
      <c r="AI479" s="267"/>
      <c r="AJ479" s="267"/>
      <c r="AK479" s="267"/>
      <c r="AL479" s="267"/>
      <c r="AM479" s="267"/>
      <c r="AN479" s="267"/>
      <c r="AO479" s="267"/>
      <c r="AP479" s="267"/>
      <c r="AQ479" s="267"/>
      <c r="AR479" s="267"/>
    </row>
    <row r="480" spans="1:44" ht="15.75">
      <c r="A480" s="267"/>
      <c r="B480" s="267"/>
      <c r="C480" s="267"/>
      <c r="D480" s="267"/>
      <c r="E480" s="267"/>
      <c r="F480" s="267"/>
      <c r="G480" s="267"/>
      <c r="H480" s="267"/>
      <c r="I480" s="267"/>
      <c r="J480" s="267"/>
      <c r="K480" s="267"/>
      <c r="L480" s="267"/>
      <c r="M480" s="267"/>
      <c r="N480" s="267"/>
      <c r="O480" s="267"/>
      <c r="P480" s="267"/>
      <c r="Q480" s="267"/>
      <c r="R480" s="267"/>
      <c r="S480" s="267"/>
      <c r="T480" s="267"/>
      <c r="U480" s="267"/>
      <c r="V480" s="267"/>
      <c r="W480" s="267"/>
      <c r="X480" s="267"/>
      <c r="Y480" s="267"/>
      <c r="Z480" s="267"/>
      <c r="AA480" s="267"/>
      <c r="AB480" s="267"/>
      <c r="AC480" s="267"/>
      <c r="AD480" s="267"/>
      <c r="AE480" s="267"/>
      <c r="AF480" s="267"/>
      <c r="AG480" s="267"/>
      <c r="AH480" s="267"/>
      <c r="AI480" s="267"/>
      <c r="AJ480" s="267"/>
      <c r="AK480" s="267"/>
      <c r="AL480" s="267"/>
      <c r="AM480" s="267"/>
      <c r="AN480" s="267"/>
      <c r="AO480" s="267"/>
      <c r="AP480" s="267"/>
      <c r="AQ480" s="267"/>
      <c r="AR480" s="267"/>
    </row>
    <row r="481" spans="1:44" ht="15.75">
      <c r="A481" s="267"/>
      <c r="B481" s="267"/>
      <c r="C481" s="267"/>
      <c r="D481" s="267"/>
      <c r="E481" s="267"/>
      <c r="F481" s="267"/>
      <c r="G481" s="267"/>
      <c r="H481" s="267"/>
      <c r="I481" s="267"/>
      <c r="J481" s="267"/>
      <c r="K481" s="267"/>
      <c r="L481" s="267"/>
      <c r="M481" s="267"/>
      <c r="N481" s="267"/>
      <c r="O481" s="267"/>
      <c r="P481" s="267"/>
      <c r="Q481" s="267"/>
      <c r="R481" s="267"/>
      <c r="S481" s="267"/>
      <c r="T481" s="267"/>
      <c r="U481" s="267"/>
      <c r="V481" s="267"/>
      <c r="W481" s="267"/>
      <c r="X481" s="267"/>
      <c r="Y481" s="267"/>
      <c r="Z481" s="267"/>
      <c r="AA481" s="267"/>
      <c r="AB481" s="267"/>
      <c r="AC481" s="267"/>
      <c r="AD481" s="267"/>
      <c r="AE481" s="267"/>
      <c r="AF481" s="267"/>
      <c r="AG481" s="267"/>
      <c r="AH481" s="267"/>
      <c r="AI481" s="267"/>
      <c r="AJ481" s="267"/>
      <c r="AK481" s="267"/>
      <c r="AL481" s="267"/>
      <c r="AM481" s="267"/>
      <c r="AN481" s="267"/>
      <c r="AO481" s="267"/>
      <c r="AP481" s="267"/>
      <c r="AQ481" s="267"/>
      <c r="AR481" s="267"/>
    </row>
    <row r="482" spans="1:44" ht="15.75">
      <c r="A482" s="267"/>
      <c r="B482" s="267"/>
      <c r="C482" s="267"/>
      <c r="D482" s="267"/>
      <c r="E482" s="267"/>
      <c r="F482" s="267"/>
      <c r="G482" s="267"/>
      <c r="H482" s="267"/>
      <c r="I482" s="267"/>
      <c r="J482" s="267"/>
      <c r="K482" s="267"/>
      <c r="L482" s="267"/>
      <c r="M482" s="267"/>
      <c r="N482" s="267"/>
      <c r="O482" s="267"/>
      <c r="P482" s="267"/>
      <c r="Q482" s="267"/>
      <c r="R482" s="267"/>
      <c r="S482" s="267"/>
      <c r="T482" s="267"/>
      <c r="U482" s="267"/>
      <c r="V482" s="267"/>
      <c r="W482" s="267"/>
      <c r="X482" s="267"/>
      <c r="Y482" s="267"/>
      <c r="Z482" s="267"/>
      <c r="AA482" s="267"/>
      <c r="AB482" s="267"/>
      <c r="AC482" s="267"/>
      <c r="AD482" s="267"/>
      <c r="AE482" s="267"/>
      <c r="AF482" s="267"/>
      <c r="AG482" s="267"/>
      <c r="AH482" s="267"/>
      <c r="AI482" s="267"/>
      <c r="AJ482" s="267"/>
      <c r="AK482" s="267"/>
      <c r="AL482" s="267"/>
      <c r="AM482" s="267"/>
      <c r="AN482" s="267"/>
      <c r="AO482" s="267"/>
      <c r="AP482" s="267"/>
      <c r="AQ482" s="267"/>
      <c r="AR482" s="267"/>
    </row>
    <row r="483" spans="1:44" ht="15.75">
      <c r="A483" s="267"/>
      <c r="B483" s="267"/>
      <c r="C483" s="267"/>
      <c r="D483" s="267"/>
      <c r="E483" s="267"/>
      <c r="F483" s="267"/>
      <c r="G483" s="267"/>
      <c r="H483" s="267"/>
      <c r="I483" s="267"/>
      <c r="J483" s="267"/>
      <c r="K483" s="267"/>
      <c r="L483" s="267"/>
      <c r="M483" s="267"/>
      <c r="N483" s="267"/>
      <c r="O483" s="267"/>
      <c r="P483" s="267"/>
      <c r="Q483" s="267"/>
      <c r="R483" s="267"/>
      <c r="S483" s="267"/>
      <c r="T483" s="267"/>
      <c r="U483" s="267"/>
      <c r="V483" s="267"/>
      <c r="W483" s="267"/>
      <c r="X483" s="267"/>
      <c r="Y483" s="267"/>
      <c r="Z483" s="267"/>
      <c r="AA483" s="267"/>
      <c r="AB483" s="267"/>
      <c r="AC483" s="267"/>
      <c r="AD483" s="267"/>
      <c r="AE483" s="267"/>
      <c r="AF483" s="267"/>
      <c r="AG483" s="267"/>
      <c r="AH483" s="267"/>
      <c r="AI483" s="267"/>
      <c r="AJ483" s="267"/>
      <c r="AK483" s="267"/>
      <c r="AL483" s="267"/>
      <c r="AM483" s="267"/>
      <c r="AN483" s="267"/>
      <c r="AO483" s="267"/>
      <c r="AP483" s="267"/>
      <c r="AQ483" s="267"/>
      <c r="AR483" s="267"/>
    </row>
    <row r="484" spans="1:44" ht="15.75">
      <c r="A484" s="267"/>
      <c r="B484" s="267"/>
      <c r="C484" s="267"/>
      <c r="D484" s="267"/>
      <c r="E484" s="267"/>
      <c r="F484" s="267"/>
      <c r="G484" s="267"/>
      <c r="H484" s="267"/>
      <c r="I484" s="267"/>
      <c r="J484" s="267"/>
      <c r="K484" s="267"/>
      <c r="L484" s="267"/>
      <c r="M484" s="267"/>
      <c r="N484" s="267"/>
      <c r="O484" s="267"/>
      <c r="P484" s="267"/>
      <c r="Q484" s="267"/>
      <c r="R484" s="267"/>
      <c r="S484" s="267"/>
      <c r="T484" s="267"/>
      <c r="U484" s="267"/>
      <c r="V484" s="267"/>
      <c r="W484" s="267"/>
      <c r="X484" s="267"/>
      <c r="Y484" s="267"/>
      <c r="Z484" s="267"/>
      <c r="AA484" s="267"/>
      <c r="AB484" s="267"/>
      <c r="AC484" s="267"/>
      <c r="AD484" s="267"/>
      <c r="AE484" s="267"/>
      <c r="AF484" s="267"/>
      <c r="AG484" s="267"/>
      <c r="AH484" s="267"/>
      <c r="AI484" s="267"/>
      <c r="AJ484" s="267"/>
      <c r="AK484" s="267"/>
      <c r="AL484" s="267"/>
      <c r="AM484" s="267"/>
      <c r="AN484" s="267"/>
      <c r="AO484" s="267"/>
      <c r="AP484" s="267"/>
      <c r="AQ484" s="267"/>
      <c r="AR484" s="267"/>
    </row>
    <row r="485" spans="1:44" ht="15.75">
      <c r="A485" s="267"/>
      <c r="B485" s="267"/>
      <c r="C485" s="267"/>
      <c r="D485" s="267"/>
      <c r="E485" s="267"/>
      <c r="F485" s="267"/>
      <c r="G485" s="267"/>
      <c r="H485" s="267"/>
      <c r="I485" s="267"/>
      <c r="J485" s="267"/>
      <c r="K485" s="267"/>
      <c r="L485" s="267"/>
      <c r="M485" s="267"/>
      <c r="N485" s="267"/>
      <c r="O485" s="267"/>
      <c r="P485" s="267"/>
      <c r="Q485" s="267"/>
      <c r="R485" s="267"/>
      <c r="S485" s="267"/>
      <c r="T485" s="267"/>
      <c r="U485" s="267"/>
      <c r="V485" s="267"/>
      <c r="W485" s="267"/>
      <c r="X485" s="267"/>
      <c r="Y485" s="267"/>
      <c r="Z485" s="267"/>
      <c r="AA485" s="267"/>
      <c r="AB485" s="267"/>
      <c r="AC485" s="267"/>
      <c r="AD485" s="267"/>
      <c r="AE485" s="267"/>
      <c r="AF485" s="267"/>
      <c r="AG485" s="267"/>
      <c r="AH485" s="267"/>
      <c r="AI485" s="267"/>
      <c r="AJ485" s="267"/>
      <c r="AK485" s="267"/>
      <c r="AL485" s="267"/>
      <c r="AM485" s="267"/>
      <c r="AN485" s="267"/>
      <c r="AO485" s="267"/>
      <c r="AP485" s="267"/>
      <c r="AQ485" s="267"/>
      <c r="AR485" s="267"/>
    </row>
    <row r="486" spans="1:44" ht="15.75">
      <c r="A486" s="267"/>
      <c r="B486" s="267"/>
      <c r="C486" s="267"/>
      <c r="D486" s="267"/>
      <c r="E486" s="267"/>
      <c r="F486" s="267"/>
      <c r="G486" s="267"/>
      <c r="H486" s="267"/>
      <c r="I486" s="267"/>
      <c r="J486" s="267"/>
      <c r="K486" s="267"/>
      <c r="L486" s="267"/>
      <c r="M486" s="267"/>
      <c r="N486" s="267"/>
      <c r="O486" s="267"/>
      <c r="P486" s="267"/>
      <c r="Q486" s="267"/>
      <c r="R486" s="267"/>
      <c r="S486" s="267"/>
      <c r="T486" s="267"/>
      <c r="U486" s="267"/>
      <c r="V486" s="267"/>
      <c r="W486" s="267"/>
      <c r="X486" s="267"/>
      <c r="Y486" s="267"/>
      <c r="Z486" s="267"/>
      <c r="AA486" s="267"/>
      <c r="AB486" s="267"/>
      <c r="AC486" s="267"/>
      <c r="AD486" s="267"/>
      <c r="AE486" s="267"/>
      <c r="AF486" s="267"/>
      <c r="AG486" s="267"/>
      <c r="AH486" s="267"/>
      <c r="AI486" s="267"/>
      <c r="AJ486" s="267"/>
      <c r="AK486" s="267"/>
      <c r="AL486" s="267"/>
      <c r="AM486" s="267"/>
      <c r="AN486" s="267"/>
      <c r="AO486" s="267"/>
      <c r="AP486" s="267"/>
      <c r="AQ486" s="267"/>
      <c r="AR486" s="267"/>
    </row>
    <row r="487" spans="1:44" ht="15.75">
      <c r="A487" s="267"/>
      <c r="B487" s="267"/>
      <c r="C487" s="267"/>
      <c r="D487" s="267"/>
      <c r="E487" s="267"/>
      <c r="F487" s="267"/>
      <c r="G487" s="267"/>
      <c r="H487" s="267"/>
      <c r="I487" s="267"/>
      <c r="J487" s="267"/>
      <c r="K487" s="267"/>
      <c r="L487" s="267"/>
      <c r="M487" s="267"/>
      <c r="N487" s="267"/>
      <c r="O487" s="267"/>
      <c r="P487" s="267"/>
      <c r="Q487" s="267"/>
      <c r="R487" s="267"/>
      <c r="S487" s="267"/>
      <c r="T487" s="267"/>
      <c r="U487" s="267"/>
      <c r="V487" s="267"/>
      <c r="W487" s="267"/>
      <c r="X487" s="267"/>
      <c r="Y487" s="267"/>
      <c r="Z487" s="267"/>
      <c r="AA487" s="267"/>
      <c r="AB487" s="267"/>
      <c r="AC487" s="267"/>
      <c r="AD487" s="267"/>
      <c r="AE487" s="267"/>
      <c r="AF487" s="267"/>
      <c r="AG487" s="267"/>
      <c r="AH487" s="267"/>
      <c r="AI487" s="267"/>
      <c r="AJ487" s="267"/>
      <c r="AK487" s="267"/>
      <c r="AL487" s="267"/>
      <c r="AM487" s="267"/>
      <c r="AN487" s="267"/>
      <c r="AO487" s="267"/>
      <c r="AP487" s="267"/>
      <c r="AQ487" s="267"/>
      <c r="AR487" s="267"/>
    </row>
    <row r="488" spans="1:44" ht="15.75">
      <c r="A488" s="267"/>
      <c r="B488" s="267"/>
      <c r="C488" s="267"/>
      <c r="D488" s="267"/>
      <c r="E488" s="267"/>
      <c r="F488" s="267"/>
      <c r="G488" s="267"/>
      <c r="H488" s="267"/>
      <c r="I488" s="267"/>
      <c r="J488" s="267"/>
      <c r="K488" s="267"/>
      <c r="L488" s="267"/>
      <c r="M488" s="267"/>
      <c r="N488" s="267"/>
      <c r="O488" s="267"/>
      <c r="P488" s="267"/>
      <c r="Q488" s="267"/>
      <c r="R488" s="267"/>
      <c r="S488" s="267"/>
      <c r="T488" s="267"/>
      <c r="U488" s="267"/>
      <c r="V488" s="267"/>
      <c r="W488" s="267"/>
      <c r="X488" s="267"/>
      <c r="Y488" s="267"/>
      <c r="Z488" s="267"/>
      <c r="AA488" s="267"/>
      <c r="AB488" s="267"/>
      <c r="AC488" s="267"/>
      <c r="AD488" s="267"/>
      <c r="AE488" s="267"/>
      <c r="AF488" s="267"/>
      <c r="AG488" s="267"/>
      <c r="AH488" s="267"/>
      <c r="AI488" s="267"/>
      <c r="AJ488" s="267"/>
      <c r="AK488" s="267"/>
      <c r="AL488" s="267"/>
      <c r="AM488" s="267"/>
      <c r="AN488" s="267"/>
      <c r="AO488" s="267"/>
      <c r="AP488" s="267"/>
      <c r="AQ488" s="267"/>
      <c r="AR488" s="267"/>
    </row>
    <row r="489" spans="1:44" ht="15.75">
      <c r="A489" s="267"/>
      <c r="B489" s="267"/>
      <c r="C489" s="267"/>
      <c r="D489" s="267"/>
      <c r="E489" s="267"/>
      <c r="F489" s="267"/>
      <c r="G489" s="267"/>
      <c r="H489" s="267"/>
      <c r="I489" s="267"/>
      <c r="J489" s="267"/>
      <c r="K489" s="267"/>
      <c r="L489" s="267"/>
      <c r="M489" s="267"/>
      <c r="N489" s="267"/>
      <c r="O489" s="267"/>
      <c r="P489" s="267"/>
      <c r="Q489" s="267"/>
      <c r="R489" s="267"/>
      <c r="S489" s="267"/>
      <c r="T489" s="267"/>
      <c r="U489" s="267"/>
      <c r="V489" s="267"/>
      <c r="W489" s="267"/>
      <c r="X489" s="267"/>
      <c r="Y489" s="267"/>
      <c r="Z489" s="267"/>
      <c r="AA489" s="267"/>
      <c r="AB489" s="267"/>
      <c r="AC489" s="267"/>
      <c r="AD489" s="267"/>
      <c r="AE489" s="267"/>
      <c r="AF489" s="267"/>
      <c r="AG489" s="267"/>
      <c r="AH489" s="267"/>
      <c r="AI489" s="267"/>
      <c r="AJ489" s="267"/>
      <c r="AK489" s="267"/>
      <c r="AL489" s="267"/>
      <c r="AM489" s="267"/>
      <c r="AN489" s="267"/>
      <c r="AO489" s="267"/>
      <c r="AP489" s="267"/>
      <c r="AQ489" s="267"/>
      <c r="AR489" s="267"/>
    </row>
    <row r="490" spans="1:44" ht="15.75">
      <c r="A490" s="267"/>
      <c r="B490" s="267"/>
      <c r="C490" s="267"/>
      <c r="D490" s="267"/>
      <c r="E490" s="267"/>
      <c r="F490" s="267"/>
      <c r="G490" s="267"/>
      <c r="H490" s="267"/>
      <c r="I490" s="267"/>
      <c r="J490" s="267"/>
      <c r="K490" s="267"/>
      <c r="L490" s="267"/>
      <c r="M490" s="267"/>
      <c r="N490" s="267"/>
      <c r="O490" s="267"/>
      <c r="P490" s="267"/>
      <c r="Q490" s="267"/>
      <c r="R490" s="267"/>
      <c r="S490" s="267"/>
      <c r="T490" s="267"/>
      <c r="U490" s="267"/>
      <c r="V490" s="267"/>
      <c r="W490" s="267"/>
      <c r="X490" s="267"/>
      <c r="Y490" s="267"/>
      <c r="Z490" s="267"/>
      <c r="AA490" s="267"/>
      <c r="AB490" s="267"/>
      <c r="AC490" s="267"/>
      <c r="AD490" s="267"/>
      <c r="AE490" s="267"/>
      <c r="AF490" s="267"/>
      <c r="AG490" s="267"/>
      <c r="AH490" s="267"/>
      <c r="AI490" s="267"/>
      <c r="AJ490" s="267"/>
      <c r="AK490" s="267"/>
      <c r="AL490" s="267"/>
      <c r="AM490" s="267"/>
      <c r="AN490" s="267"/>
      <c r="AO490" s="267"/>
      <c r="AP490" s="267"/>
      <c r="AQ490" s="267"/>
      <c r="AR490" s="267"/>
    </row>
    <row r="491" spans="1:44" ht="15.75">
      <c r="A491" s="267"/>
      <c r="B491" s="267"/>
      <c r="C491" s="267"/>
      <c r="D491" s="267"/>
      <c r="E491" s="267"/>
      <c r="F491" s="267"/>
      <c r="G491" s="267"/>
      <c r="H491" s="267"/>
      <c r="I491" s="267"/>
      <c r="J491" s="267"/>
      <c r="K491" s="267"/>
      <c r="L491" s="267"/>
      <c r="M491" s="267"/>
      <c r="N491" s="267"/>
      <c r="O491" s="267"/>
      <c r="P491" s="267"/>
      <c r="Q491" s="267"/>
      <c r="R491" s="267"/>
      <c r="S491" s="267"/>
      <c r="T491" s="267"/>
      <c r="U491" s="267"/>
      <c r="V491" s="267"/>
      <c r="W491" s="267"/>
      <c r="X491" s="267"/>
      <c r="Y491" s="267"/>
      <c r="Z491" s="267"/>
      <c r="AA491" s="267"/>
      <c r="AB491" s="267"/>
      <c r="AC491" s="267"/>
      <c r="AD491" s="267"/>
      <c r="AE491" s="267"/>
      <c r="AF491" s="267"/>
      <c r="AG491" s="267"/>
      <c r="AH491" s="267"/>
      <c r="AI491" s="267"/>
      <c r="AJ491" s="267"/>
      <c r="AK491" s="267"/>
      <c r="AL491" s="267"/>
      <c r="AM491" s="267"/>
      <c r="AN491" s="267"/>
      <c r="AO491" s="267"/>
      <c r="AP491" s="267"/>
      <c r="AQ491" s="267"/>
      <c r="AR491" s="267"/>
    </row>
    <row r="492" spans="1:44" ht="15.75">
      <c r="A492" s="267"/>
      <c r="B492" s="267"/>
      <c r="C492" s="267"/>
      <c r="D492" s="267"/>
      <c r="E492" s="267"/>
      <c r="F492" s="267"/>
      <c r="G492" s="267"/>
      <c r="H492" s="267"/>
      <c r="I492" s="267"/>
      <c r="J492" s="267"/>
      <c r="K492" s="267"/>
      <c r="L492" s="267"/>
      <c r="M492" s="267"/>
      <c r="N492" s="267"/>
      <c r="O492" s="267"/>
      <c r="P492" s="267"/>
      <c r="Q492" s="267"/>
      <c r="R492" s="267"/>
      <c r="S492" s="267"/>
      <c r="T492" s="267"/>
      <c r="U492" s="267"/>
      <c r="V492" s="267"/>
      <c r="W492" s="267"/>
      <c r="X492" s="267"/>
      <c r="Y492" s="267"/>
      <c r="Z492" s="267"/>
      <c r="AA492" s="267"/>
      <c r="AB492" s="267"/>
      <c r="AC492" s="267"/>
      <c r="AD492" s="267"/>
      <c r="AE492" s="267"/>
      <c r="AF492" s="267"/>
      <c r="AG492" s="267"/>
      <c r="AH492" s="267"/>
      <c r="AI492" s="267"/>
      <c r="AJ492" s="267"/>
      <c r="AK492" s="267"/>
      <c r="AL492" s="267"/>
      <c r="AM492" s="267"/>
      <c r="AN492" s="267"/>
      <c r="AO492" s="267"/>
      <c r="AP492" s="267"/>
      <c r="AQ492" s="267"/>
      <c r="AR492" s="267"/>
    </row>
    <row r="493" spans="1:44" ht="15.75">
      <c r="A493" s="267"/>
      <c r="B493" s="267"/>
      <c r="C493" s="267"/>
      <c r="D493" s="267"/>
      <c r="E493" s="267"/>
      <c r="F493" s="267"/>
      <c r="G493" s="267"/>
      <c r="H493" s="267"/>
      <c r="I493" s="267"/>
      <c r="J493" s="267"/>
      <c r="K493" s="267"/>
      <c r="L493" s="267"/>
      <c r="M493" s="267"/>
      <c r="N493" s="267"/>
      <c r="O493" s="267"/>
      <c r="P493" s="267"/>
      <c r="Q493" s="267"/>
      <c r="R493" s="267"/>
      <c r="S493" s="267"/>
      <c r="T493" s="267"/>
      <c r="U493" s="267"/>
      <c r="V493" s="267"/>
      <c r="W493" s="267"/>
      <c r="X493" s="267"/>
      <c r="Y493" s="267"/>
      <c r="Z493" s="267"/>
      <c r="AA493" s="267"/>
      <c r="AB493" s="267"/>
      <c r="AC493" s="267"/>
      <c r="AD493" s="267"/>
      <c r="AE493" s="267"/>
      <c r="AF493" s="267"/>
      <c r="AG493" s="267"/>
      <c r="AH493" s="267"/>
      <c r="AI493" s="267"/>
      <c r="AJ493" s="267"/>
      <c r="AK493" s="267"/>
      <c r="AL493" s="267"/>
      <c r="AM493" s="267"/>
      <c r="AN493" s="267"/>
      <c r="AO493" s="267"/>
      <c r="AP493" s="267"/>
      <c r="AQ493" s="267"/>
      <c r="AR493" s="267"/>
    </row>
    <row r="494" spans="1:44" ht="15.75">
      <c r="A494" s="267"/>
      <c r="B494" s="267"/>
      <c r="C494" s="267"/>
      <c r="D494" s="267"/>
      <c r="E494" s="267"/>
      <c r="F494" s="267"/>
      <c r="G494" s="267"/>
      <c r="H494" s="267"/>
      <c r="I494" s="267"/>
      <c r="J494" s="267"/>
      <c r="K494" s="267"/>
      <c r="L494" s="267"/>
      <c r="M494" s="267"/>
      <c r="N494" s="267"/>
      <c r="O494" s="267"/>
      <c r="P494" s="267"/>
      <c r="Q494" s="267"/>
      <c r="R494" s="267"/>
      <c r="S494" s="267"/>
      <c r="T494" s="267"/>
      <c r="U494" s="267"/>
      <c r="V494" s="267"/>
      <c r="W494" s="267"/>
      <c r="X494" s="267"/>
      <c r="Y494" s="267"/>
      <c r="Z494" s="267"/>
      <c r="AA494" s="267"/>
      <c r="AB494" s="267"/>
      <c r="AC494" s="267"/>
      <c r="AD494" s="267"/>
      <c r="AE494" s="267"/>
      <c r="AF494" s="267"/>
      <c r="AG494" s="267"/>
      <c r="AH494" s="267"/>
      <c r="AI494" s="267"/>
      <c r="AJ494" s="267"/>
      <c r="AK494" s="267"/>
      <c r="AL494" s="267"/>
      <c r="AM494" s="267"/>
      <c r="AN494" s="267"/>
      <c r="AO494" s="267"/>
      <c r="AP494" s="267"/>
      <c r="AQ494" s="267"/>
      <c r="AR494" s="267"/>
    </row>
  </sheetData>
  <pageMargins left="0.70866141732283472" right="0.70866141732283472" top="0.74803149606299213" bottom="0.74803149606299213" header="0.31496062992125984" footer="0.31496062992125984"/>
  <pageSetup paperSize="9" scale="14"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153"/>
  <sheetViews>
    <sheetView zoomScale="72" zoomScaleNormal="72" workbookViewId="0">
      <pane xSplit="2" ySplit="2" topLeftCell="F3" activePane="bottomRight" state="frozen"/>
      <selection pane="topRight" activeCell="C1" sqref="C1"/>
      <selection pane="bottomLeft" activeCell="A3" sqref="A3"/>
      <selection pane="bottomRight" activeCell="U30" sqref="U30"/>
    </sheetView>
  </sheetViews>
  <sheetFormatPr defaultColWidth="9.28515625" defaultRowHeight="15"/>
  <cols>
    <col min="1" max="1" width="3.7109375" style="161" customWidth="1"/>
    <col min="2" max="2" width="47.28515625" style="161" customWidth="1"/>
    <col min="3" max="30" width="10.7109375" style="161" customWidth="1"/>
    <col min="31" max="16384" width="9.28515625" style="161"/>
  </cols>
  <sheetData>
    <row r="1" spans="2:32">
      <c r="B1" s="825"/>
      <c r="C1" s="825"/>
      <c r="D1" s="825"/>
      <c r="E1" s="825"/>
      <c r="F1" s="825"/>
      <c r="G1" s="825"/>
      <c r="H1" s="826"/>
      <c r="I1" s="825"/>
      <c r="J1" s="825"/>
      <c r="K1" s="825"/>
      <c r="L1" s="825"/>
      <c r="M1" s="825"/>
      <c r="N1" s="825"/>
      <c r="O1" s="825"/>
      <c r="P1" s="825"/>
      <c r="Q1" s="825"/>
      <c r="R1" s="825"/>
      <c r="S1" s="825"/>
      <c r="T1" s="825"/>
      <c r="U1" s="665"/>
      <c r="V1" s="665"/>
      <c r="W1" s="665"/>
      <c r="X1" s="665"/>
      <c r="Y1" s="665"/>
      <c r="Z1" s="665"/>
      <c r="AA1" s="665"/>
      <c r="AB1" s="665"/>
      <c r="AC1" s="665"/>
      <c r="AD1" s="665"/>
      <c r="AE1" s="266">
        <f>Valuation!C100</f>
        <v>73.482881382263784</v>
      </c>
      <c r="AF1" s="263"/>
    </row>
    <row r="2" spans="2:32">
      <c r="B2" s="864" t="s">
        <v>11</v>
      </c>
      <c r="C2" s="864"/>
      <c r="D2" s="864">
        <v>2009</v>
      </c>
      <c r="E2" s="864">
        <f>D2+1</f>
        <v>2010</v>
      </c>
      <c r="F2" s="864">
        <f t="shared" ref="F2:O2" si="0">E2+1</f>
        <v>2011</v>
      </c>
      <c r="G2" s="864">
        <f t="shared" si="0"/>
        <v>2012</v>
      </c>
      <c r="H2" s="864">
        <f t="shared" si="0"/>
        <v>2013</v>
      </c>
      <c r="I2" s="864">
        <f t="shared" si="0"/>
        <v>2014</v>
      </c>
      <c r="J2" s="864">
        <f t="shared" si="0"/>
        <v>2015</v>
      </c>
      <c r="K2" s="864">
        <f t="shared" si="0"/>
        <v>2016</v>
      </c>
      <c r="L2" s="864">
        <f t="shared" si="0"/>
        <v>2017</v>
      </c>
      <c r="M2" s="864">
        <f t="shared" si="0"/>
        <v>2018</v>
      </c>
      <c r="N2" s="864">
        <f t="shared" si="0"/>
        <v>2019</v>
      </c>
      <c r="O2" s="864">
        <f t="shared" si="0"/>
        <v>2020</v>
      </c>
      <c r="P2" s="864">
        <f t="shared" ref="P2:X2" si="1">O2+1</f>
        <v>2021</v>
      </c>
      <c r="Q2" s="864">
        <f t="shared" si="1"/>
        <v>2022</v>
      </c>
      <c r="R2" s="864">
        <f t="shared" si="1"/>
        <v>2023</v>
      </c>
      <c r="S2" s="864">
        <f t="shared" si="1"/>
        <v>2024</v>
      </c>
      <c r="T2" s="864">
        <f t="shared" si="1"/>
        <v>2025</v>
      </c>
      <c r="U2" s="865">
        <f t="shared" si="1"/>
        <v>2026</v>
      </c>
      <c r="V2" s="865">
        <f t="shared" si="1"/>
        <v>2027</v>
      </c>
      <c r="W2" s="865">
        <f t="shared" si="1"/>
        <v>2028</v>
      </c>
      <c r="X2" s="865">
        <f t="shared" si="1"/>
        <v>2029</v>
      </c>
      <c r="Y2" s="865">
        <f t="shared" ref="Y2:AD2" si="2">X2+1</f>
        <v>2030</v>
      </c>
      <c r="Z2" s="865">
        <f t="shared" si="2"/>
        <v>2031</v>
      </c>
      <c r="AA2" s="865">
        <f t="shared" si="2"/>
        <v>2032</v>
      </c>
      <c r="AB2" s="865">
        <f t="shared" si="2"/>
        <v>2033</v>
      </c>
      <c r="AC2" s="865">
        <f t="shared" si="2"/>
        <v>2034</v>
      </c>
      <c r="AD2" s="865">
        <f t="shared" si="2"/>
        <v>2035</v>
      </c>
    </row>
    <row r="3" spans="2:32">
      <c r="B3" s="972"/>
      <c r="C3" s="972"/>
      <c r="D3" s="972"/>
      <c r="E3" s="972"/>
      <c r="F3" s="972"/>
      <c r="G3" s="972"/>
      <c r="H3" s="972"/>
      <c r="I3" s="972"/>
      <c r="J3" s="972"/>
      <c r="K3" s="972"/>
      <c r="L3" s="972"/>
      <c r="M3" s="972"/>
      <c r="N3" s="972"/>
      <c r="O3" s="972"/>
      <c r="P3" s="972"/>
      <c r="Q3" s="972"/>
      <c r="R3" s="972"/>
      <c r="S3" s="972"/>
      <c r="T3" s="163"/>
      <c r="U3" s="163"/>
      <c r="V3" s="163"/>
      <c r="W3" s="163"/>
      <c r="X3" s="163"/>
      <c r="Y3" s="163"/>
      <c r="Z3" s="163"/>
      <c r="AA3" s="163"/>
      <c r="AB3" s="163"/>
      <c r="AC3" s="163"/>
      <c r="AD3" s="163"/>
    </row>
    <row r="4" spans="2:32">
      <c r="B4" s="972"/>
      <c r="C4" s="972"/>
      <c r="D4" s="972"/>
      <c r="E4" s="972"/>
      <c r="F4" s="972"/>
      <c r="G4" s="972"/>
      <c r="H4" s="972"/>
      <c r="I4" s="972"/>
      <c r="J4" s="972"/>
      <c r="K4" s="972"/>
      <c r="L4" s="972"/>
      <c r="M4" s="972"/>
      <c r="N4" s="972"/>
      <c r="O4" s="972"/>
      <c r="P4" s="972"/>
      <c r="Q4" s="972"/>
      <c r="R4" s="972"/>
      <c r="S4" s="972"/>
      <c r="T4" s="163"/>
      <c r="U4" s="163"/>
      <c r="V4" s="163"/>
      <c r="W4" s="163"/>
      <c r="X4" s="163"/>
      <c r="Y4" s="163"/>
      <c r="Z4" s="163"/>
      <c r="AA4" s="163"/>
      <c r="AB4" s="163"/>
      <c r="AC4" s="163"/>
      <c r="AD4" s="163"/>
    </row>
    <row r="5" spans="2:32">
      <c r="B5" s="163" t="s">
        <v>320</v>
      </c>
      <c r="D5" s="775">
        <v>4599</v>
      </c>
      <c r="E5" s="775">
        <v>5214</v>
      </c>
      <c r="F5" s="775">
        <v>5720</v>
      </c>
      <c r="G5" s="775">
        <v>6210</v>
      </c>
      <c r="H5" s="775">
        <v>6573</v>
      </c>
      <c r="I5" s="775">
        <v>7174</v>
      </c>
      <c r="J5" s="775">
        <v>7487</v>
      </c>
      <c r="K5" s="775">
        <v>7868</v>
      </c>
      <c r="L5" s="775">
        <v>8135</v>
      </c>
      <c r="M5" s="775">
        <v>8428</v>
      </c>
      <c r="N5" s="775">
        <f>Quarts!AU8</f>
        <v>8836.6749999999993</v>
      </c>
      <c r="O5" s="775">
        <v>8955</v>
      </c>
      <c r="P5" s="775">
        <v>9568.6</v>
      </c>
      <c r="Q5" s="775">
        <v>11560.218000000001</v>
      </c>
      <c r="R5" s="775">
        <v>15437.906999999999</v>
      </c>
      <c r="S5" s="775">
        <f>Quarts!BO8</f>
        <v>17429.384999999998</v>
      </c>
      <c r="T5" s="775">
        <f>Quarts!BS8</f>
        <v>19246.286</v>
      </c>
      <c r="U5" s="307">
        <f>(T5+U7)</f>
        <v>20351.286</v>
      </c>
      <c r="V5" s="307">
        <f>(U5+V7)</f>
        <v>20751.286</v>
      </c>
      <c r="W5" s="307">
        <f>(V5+W7)</f>
        <v>21101.286</v>
      </c>
      <c r="X5" s="307">
        <f>(W5+X7)</f>
        <v>21401.286</v>
      </c>
      <c r="Y5" s="307">
        <f t="shared" ref="Y5:AD5" si="3">(X5+Y7)</f>
        <v>21651.286</v>
      </c>
      <c r="Z5" s="307">
        <f t="shared" si="3"/>
        <v>21851.286</v>
      </c>
      <c r="AA5" s="307">
        <f t="shared" si="3"/>
        <v>22051.286</v>
      </c>
      <c r="AB5" s="307">
        <f t="shared" si="3"/>
        <v>22251.286</v>
      </c>
      <c r="AC5" s="307">
        <f t="shared" si="3"/>
        <v>22451.286</v>
      </c>
      <c r="AD5" s="307">
        <f t="shared" si="3"/>
        <v>22651.286</v>
      </c>
    </row>
    <row r="6" spans="2:32">
      <c r="B6" s="161" t="s">
        <v>131</v>
      </c>
      <c r="D6" s="307"/>
      <c r="E6" s="307"/>
      <c r="F6" s="307"/>
      <c r="G6" s="264">
        <f>G5/F5-1</f>
        <v>8.5664335664335622E-2</v>
      </c>
      <c r="H6" s="264">
        <f t="shared" ref="H6:O6" si="4">H5/G5-1</f>
        <v>5.8454106280193319E-2</v>
      </c>
      <c r="I6" s="264">
        <f t="shared" si="4"/>
        <v>9.1434656929864522E-2</v>
      </c>
      <c r="J6" s="264">
        <f t="shared" si="4"/>
        <v>4.362977418455527E-2</v>
      </c>
      <c r="K6" s="264">
        <f t="shared" si="4"/>
        <v>5.0888206224121824E-2</v>
      </c>
      <c r="L6" s="264">
        <f t="shared" si="4"/>
        <v>3.3934926283680777E-2</v>
      </c>
      <c r="M6" s="264">
        <f t="shared" si="4"/>
        <v>3.6017209588199206E-2</v>
      </c>
      <c r="N6" s="264">
        <f t="shared" si="4"/>
        <v>4.849015187470318E-2</v>
      </c>
      <c r="O6" s="264">
        <f t="shared" si="4"/>
        <v>1.3390217474332999E-2</v>
      </c>
      <c r="P6" s="264">
        <f t="shared" ref="P6:X6" si="5">P5/O5-1</f>
        <v>6.8520379676158649E-2</v>
      </c>
      <c r="Q6" s="264">
        <f t="shared" si="5"/>
        <v>0.20814100286353288</v>
      </c>
      <c r="R6" s="264">
        <f t="shared" si="5"/>
        <v>0.33543389925691702</v>
      </c>
      <c r="S6" s="264">
        <f t="shared" si="5"/>
        <v>0.12899922249823104</v>
      </c>
      <c r="T6" s="264">
        <f t="shared" si="5"/>
        <v>0.10424355190960566</v>
      </c>
      <c r="U6" s="264">
        <f t="shared" si="5"/>
        <v>5.7413674513617785E-2</v>
      </c>
      <c r="V6" s="264">
        <f t="shared" si="5"/>
        <v>1.9654777589976469E-2</v>
      </c>
      <c r="W6" s="264">
        <f t="shared" si="5"/>
        <v>1.6866424567614668E-2</v>
      </c>
      <c r="X6" s="264">
        <f t="shared" si="5"/>
        <v>1.4217142974129571E-2</v>
      </c>
      <c r="Y6" s="264">
        <f t="shared" ref="Y6:AD6" si="6">Y5/X5-1</f>
        <v>1.1681541006461016E-2</v>
      </c>
      <c r="Z6" s="264">
        <f t="shared" si="6"/>
        <v>9.2373265957503836E-3</v>
      </c>
      <c r="AA6" s="264">
        <f t="shared" si="6"/>
        <v>9.1527793833279247E-3</v>
      </c>
      <c r="AB6" s="264">
        <f t="shared" si="6"/>
        <v>9.0697658177396612E-3</v>
      </c>
      <c r="AC6" s="264">
        <f t="shared" si="6"/>
        <v>8.9882445446074488E-3</v>
      </c>
      <c r="AD6" s="264">
        <f t="shared" si="6"/>
        <v>8.9081756831212999E-3</v>
      </c>
    </row>
    <row r="7" spans="2:32">
      <c r="B7" s="161" t="s">
        <v>321</v>
      </c>
      <c r="D7" s="307"/>
      <c r="E7" s="307">
        <f>E5-D5</f>
        <v>615</v>
      </c>
      <c r="F7" s="307">
        <f t="shared" ref="F7:T7" si="7">F5-E5</f>
        <v>506</v>
      </c>
      <c r="G7" s="307">
        <f t="shared" si="7"/>
        <v>490</v>
      </c>
      <c r="H7" s="307">
        <f t="shared" si="7"/>
        <v>363</v>
      </c>
      <c r="I7" s="307">
        <f t="shared" si="7"/>
        <v>601</v>
      </c>
      <c r="J7" s="307">
        <f t="shared" si="7"/>
        <v>313</v>
      </c>
      <c r="K7" s="307">
        <f t="shared" si="7"/>
        <v>381</v>
      </c>
      <c r="L7" s="307">
        <f t="shared" si="7"/>
        <v>267</v>
      </c>
      <c r="M7" s="307">
        <f t="shared" si="7"/>
        <v>293</v>
      </c>
      <c r="N7" s="307">
        <f t="shared" si="7"/>
        <v>408.67499999999927</v>
      </c>
      <c r="O7" s="307">
        <f t="shared" si="7"/>
        <v>118.32500000000073</v>
      </c>
      <c r="P7" s="307">
        <f t="shared" si="7"/>
        <v>613.60000000000036</v>
      </c>
      <c r="Q7" s="307">
        <f t="shared" si="7"/>
        <v>1991.6180000000004</v>
      </c>
      <c r="R7" s="307">
        <f t="shared" si="7"/>
        <v>3877.6889999999985</v>
      </c>
      <c r="S7" s="307">
        <f t="shared" si="7"/>
        <v>1991.4779999999992</v>
      </c>
      <c r="T7" s="307">
        <f t="shared" si="7"/>
        <v>1816.9010000000017</v>
      </c>
      <c r="U7" s="349">
        <v>1105</v>
      </c>
      <c r="V7" s="349">
        <v>400</v>
      </c>
      <c r="W7" s="349">
        <v>350</v>
      </c>
      <c r="X7" s="349">
        <v>300</v>
      </c>
      <c r="Y7" s="349">
        <v>250</v>
      </c>
      <c r="Z7" s="349">
        <v>200</v>
      </c>
      <c r="AA7" s="349">
        <v>200</v>
      </c>
      <c r="AB7" s="349">
        <v>200</v>
      </c>
      <c r="AC7" s="349">
        <v>200</v>
      </c>
      <c r="AD7" s="349">
        <v>200</v>
      </c>
    </row>
    <row r="8" spans="2:32">
      <c r="B8" s="161" t="s">
        <v>322</v>
      </c>
      <c r="D8" s="349">
        <v>27925</v>
      </c>
      <c r="E8" s="349">
        <v>28625</v>
      </c>
      <c r="F8" s="349">
        <v>29325</v>
      </c>
      <c r="G8" s="349">
        <v>29475</v>
      </c>
      <c r="H8" s="349">
        <v>29625</v>
      </c>
      <c r="I8" s="349">
        <v>30000</v>
      </c>
      <c r="J8" s="349">
        <f t="shared" ref="J8:T8" si="8">I8+125</f>
        <v>30125</v>
      </c>
      <c r="K8" s="349">
        <f t="shared" si="8"/>
        <v>30250</v>
      </c>
      <c r="L8" s="349">
        <f t="shared" si="8"/>
        <v>30375</v>
      </c>
      <c r="M8" s="349">
        <f t="shared" si="8"/>
        <v>30500</v>
      </c>
      <c r="N8" s="349">
        <f t="shared" si="8"/>
        <v>30625</v>
      </c>
      <c r="O8" s="349">
        <f t="shared" si="8"/>
        <v>30750</v>
      </c>
      <c r="P8" s="349">
        <f t="shared" si="8"/>
        <v>30875</v>
      </c>
      <c r="Q8" s="349">
        <f t="shared" si="8"/>
        <v>31000</v>
      </c>
      <c r="R8" s="349">
        <f t="shared" si="8"/>
        <v>31125</v>
      </c>
      <c r="S8" s="349">
        <f t="shared" si="8"/>
        <v>31250</v>
      </c>
      <c r="T8" s="349">
        <f t="shared" si="8"/>
        <v>31375</v>
      </c>
      <c r="U8" s="350">
        <f>T8*1.015</f>
        <v>31845.624999999996</v>
      </c>
      <c r="V8" s="350">
        <f>U8*1.015</f>
        <v>32323.309374999993</v>
      </c>
      <c r="W8" s="350">
        <f>V8*1.015</f>
        <v>32808.159015624988</v>
      </c>
      <c r="X8" s="350">
        <f>W8*1.015</f>
        <v>33300.281400859356</v>
      </c>
      <c r="Y8" s="350">
        <f t="shared" ref="Y8:AD8" si="9">X8*1.015</f>
        <v>33799.785621872245</v>
      </c>
      <c r="Z8" s="350">
        <f t="shared" si="9"/>
        <v>34306.782406200327</v>
      </c>
      <c r="AA8" s="350">
        <f t="shared" si="9"/>
        <v>34821.384142293326</v>
      </c>
      <c r="AB8" s="350">
        <f t="shared" si="9"/>
        <v>35343.704904427723</v>
      </c>
      <c r="AC8" s="350">
        <f t="shared" si="9"/>
        <v>35873.860477994138</v>
      </c>
      <c r="AD8" s="350">
        <f t="shared" si="9"/>
        <v>36411.968385164044</v>
      </c>
      <c r="AE8" s="1031"/>
    </row>
    <row r="9" spans="2:32">
      <c r="B9" s="161" t="s">
        <v>323</v>
      </c>
      <c r="D9" s="264">
        <f t="shared" ref="D9:AD9" si="10">D5/D8</f>
        <v>0.16469113697403759</v>
      </c>
      <c r="E9" s="264">
        <f t="shared" si="10"/>
        <v>0.18214847161572054</v>
      </c>
      <c r="F9" s="264">
        <f t="shared" si="10"/>
        <v>0.19505541346973573</v>
      </c>
      <c r="G9" s="264">
        <f t="shared" si="10"/>
        <v>0.21068702290076335</v>
      </c>
      <c r="H9" s="264">
        <f t="shared" si="10"/>
        <v>0.221873417721519</v>
      </c>
      <c r="I9" s="264">
        <f t="shared" si="10"/>
        <v>0.23913333333333334</v>
      </c>
      <c r="J9" s="264">
        <f t="shared" si="10"/>
        <v>0.24853112033195021</v>
      </c>
      <c r="K9" s="264">
        <f t="shared" si="10"/>
        <v>0.26009917355371903</v>
      </c>
      <c r="L9" s="264">
        <f t="shared" si="10"/>
        <v>0.26781893004115226</v>
      </c>
      <c r="M9" s="264">
        <f t="shared" si="10"/>
        <v>0.27632786885245902</v>
      </c>
      <c r="N9" s="264">
        <f t="shared" si="10"/>
        <v>0.28854448979591835</v>
      </c>
      <c r="O9" s="264">
        <f t="shared" si="10"/>
        <v>0.29121951219512193</v>
      </c>
      <c r="P9" s="264">
        <f t="shared" si="10"/>
        <v>0.30991417004048583</v>
      </c>
      <c r="Q9" s="264">
        <f t="shared" si="10"/>
        <v>0.37291025806451616</v>
      </c>
      <c r="R9" s="264">
        <f t="shared" si="10"/>
        <v>0.49599701204819274</v>
      </c>
      <c r="S9" s="264">
        <f t="shared" si="10"/>
        <v>0.55774031999999996</v>
      </c>
      <c r="T9" s="264">
        <f t="shared" si="10"/>
        <v>0.6134274422310757</v>
      </c>
      <c r="U9" s="264">
        <f t="shared" si="10"/>
        <v>0.6390606558985733</v>
      </c>
      <c r="V9" s="264">
        <f t="shared" si="10"/>
        <v>0.64199138025296965</v>
      </c>
      <c r="W9" s="264">
        <f t="shared" si="10"/>
        <v>0.64317190092715804</v>
      </c>
      <c r="X9" s="264">
        <f t="shared" si="10"/>
        <v>0.642675830344416</v>
      </c>
      <c r="Y9" s="264">
        <f t="shared" si="10"/>
        <v>0.64057465459157215</v>
      </c>
      <c r="Z9" s="264">
        <f t="shared" si="10"/>
        <v>0.63693778510836907</v>
      </c>
      <c r="AA9" s="264">
        <f t="shared" si="10"/>
        <v>0.63326850850874039</v>
      </c>
      <c r="AB9" s="264">
        <f t="shared" si="10"/>
        <v>0.6295685769267626</v>
      </c>
      <c r="AC9" s="264">
        <f t="shared" si="10"/>
        <v>0.62583969778697612</v>
      </c>
      <c r="AD9" s="264">
        <f t="shared" si="10"/>
        <v>0.62208353474318634</v>
      </c>
    </row>
    <row r="10" spans="2:32">
      <c r="D10" s="264"/>
      <c r="E10" s="264"/>
      <c r="F10" s="264"/>
      <c r="G10" s="264"/>
      <c r="H10" s="264"/>
    </row>
    <row r="11" spans="2:32">
      <c r="B11" s="161" t="s">
        <v>324</v>
      </c>
      <c r="D11" s="307"/>
      <c r="E11" s="307"/>
      <c r="F11" s="349">
        <v>17550.526167973338</v>
      </c>
      <c r="G11" s="349">
        <v>18570.771940864415</v>
      </c>
      <c r="H11" s="349">
        <v>19884.072664359861</v>
      </c>
      <c r="I11" s="349">
        <v>21184.072664359861</v>
      </c>
      <c r="J11" s="349">
        <v>22484.072664359861</v>
      </c>
      <c r="K11" s="349">
        <v>23784.072664359861</v>
      </c>
      <c r="L11" s="349">
        <v>24134.072664359861</v>
      </c>
      <c r="M11" s="349">
        <v>24384.072664359861</v>
      </c>
      <c r="N11" s="349">
        <v>24634.072664359861</v>
      </c>
      <c r="O11" s="349">
        <v>24884.072664359861</v>
      </c>
      <c r="P11" s="349">
        <f t="shared" ref="P11:X11" si="11">O11*1.005</f>
        <v>25008.493027681656</v>
      </c>
      <c r="Q11" s="349">
        <f t="shared" si="11"/>
        <v>25133.535492820061</v>
      </c>
      <c r="R11" s="349">
        <f t="shared" si="11"/>
        <v>25259.20317028416</v>
      </c>
      <c r="S11" s="349">
        <f t="shared" si="11"/>
        <v>25385.499186135577</v>
      </c>
      <c r="T11" s="349">
        <f t="shared" si="11"/>
        <v>25512.426682066252</v>
      </c>
      <c r="U11" s="349">
        <f t="shared" si="11"/>
        <v>25639.988815476579</v>
      </c>
      <c r="V11" s="349">
        <f t="shared" si="11"/>
        <v>25768.188759553959</v>
      </c>
      <c r="W11" s="349">
        <f t="shared" si="11"/>
        <v>25897.029703351727</v>
      </c>
      <c r="X11" s="349">
        <f t="shared" si="11"/>
        <v>26026.514851868484</v>
      </c>
      <c r="Y11" s="349">
        <f t="shared" ref="Y11:AD11" si="12">X11*1.005</f>
        <v>26156.647426127824</v>
      </c>
      <c r="Z11" s="349">
        <f t="shared" si="12"/>
        <v>26287.430663258459</v>
      </c>
      <c r="AA11" s="349">
        <f t="shared" si="12"/>
        <v>26418.867816574748</v>
      </c>
      <c r="AB11" s="349">
        <f t="shared" si="12"/>
        <v>26550.96215565762</v>
      </c>
      <c r="AC11" s="349">
        <f t="shared" si="12"/>
        <v>26683.716966435906</v>
      </c>
      <c r="AD11" s="349">
        <f t="shared" si="12"/>
        <v>26817.135551268082</v>
      </c>
    </row>
    <row r="12" spans="2:32">
      <c r="B12" s="161" t="s">
        <v>325</v>
      </c>
      <c r="D12" s="264"/>
      <c r="E12" s="264"/>
      <c r="F12" s="265">
        <f>F5/F11</f>
        <v>0.32591615460726225</v>
      </c>
      <c r="G12" s="265">
        <f>G5/G11</f>
        <v>0.3343964386496549</v>
      </c>
      <c r="H12" s="265">
        <f>H5/H11</f>
        <v>0.33056608225846112</v>
      </c>
      <c r="I12" s="265">
        <f t="shared" ref="I12:O12" si="13">I5/I11</f>
        <v>0.33865065106529568</v>
      </c>
      <c r="J12" s="265">
        <f t="shared" si="13"/>
        <v>0.33299127394601669</v>
      </c>
      <c r="K12" s="265">
        <f t="shared" si="13"/>
        <v>0.33080961831192607</v>
      </c>
      <c r="L12" s="265">
        <f t="shared" si="13"/>
        <v>0.33707530896819626</v>
      </c>
      <c r="M12" s="265">
        <f t="shared" si="13"/>
        <v>0.34563545294541775</v>
      </c>
      <c r="N12" s="265">
        <f t="shared" si="13"/>
        <v>0.3587175827724477</v>
      </c>
      <c r="O12" s="265">
        <f t="shared" si="13"/>
        <v>0.35986874499148092</v>
      </c>
      <c r="P12" s="265">
        <f t="shared" ref="P12:AD12" si="14">P5/P11</f>
        <v>0.38261401794216909</v>
      </c>
      <c r="Q12" s="265">
        <f t="shared" si="14"/>
        <v>0.4599519237276597</v>
      </c>
      <c r="R12" s="265">
        <f t="shared" si="14"/>
        <v>0.61117949350681466</v>
      </c>
      <c r="S12" s="265">
        <f t="shared" si="14"/>
        <v>0.68658823181697159</v>
      </c>
      <c r="T12" s="265">
        <f t="shared" si="14"/>
        <v>0.75438868437901352</v>
      </c>
      <c r="U12" s="265">
        <f t="shared" si="14"/>
        <v>0.79373224951314092</v>
      </c>
      <c r="V12" s="265">
        <f t="shared" si="14"/>
        <v>0.80530634860031192</v>
      </c>
      <c r="W12" s="265">
        <f t="shared" si="14"/>
        <v>0.81481491281870688</v>
      </c>
      <c r="X12" s="265">
        <f t="shared" si="14"/>
        <v>0.82228781386239147</v>
      </c>
      <c r="Y12" s="265">
        <f t="shared" si="14"/>
        <v>0.82775462953148093</v>
      </c>
      <c r="Z12" s="265">
        <f t="shared" si="14"/>
        <v>0.83124464615483362</v>
      </c>
      <c r="AA12" s="265">
        <f t="shared" si="14"/>
        <v>0.8346794477757824</v>
      </c>
      <c r="AB12" s="265">
        <f t="shared" si="14"/>
        <v>0.8380594974129244</v>
      </c>
      <c r="AC12" s="265">
        <f t="shared" si="14"/>
        <v>0.84138525484438065</v>
      </c>
      <c r="AD12" s="265">
        <f t="shared" si="14"/>
        <v>0.84465717662857942</v>
      </c>
    </row>
    <row r="15" spans="2:32">
      <c r="B15" s="163" t="s">
        <v>326</v>
      </c>
      <c r="D15" s="775">
        <v>1593</v>
      </c>
      <c r="E15" s="775">
        <v>1757</v>
      </c>
      <c r="F15" s="775">
        <v>1944</v>
      </c>
      <c r="G15" s="775">
        <v>2100</v>
      </c>
      <c r="H15" s="775">
        <v>2143</v>
      </c>
      <c r="I15" s="775">
        <v>2406</v>
      </c>
      <c r="J15" s="775">
        <v>2834</v>
      </c>
      <c r="K15" s="775">
        <v>2971</v>
      </c>
      <c r="L15" s="775">
        <v>3040</v>
      </c>
      <c r="M15" s="775">
        <v>3202</v>
      </c>
      <c r="N15" s="775">
        <f>Quarts!AU12</f>
        <v>3224.7979999999998</v>
      </c>
      <c r="O15" s="775">
        <v>3413</v>
      </c>
      <c r="P15" s="775">
        <v>3539.82</v>
      </c>
      <c r="Q15" s="775">
        <v>3675.6149999999998</v>
      </c>
      <c r="R15" s="775">
        <v>3914.09</v>
      </c>
      <c r="S15" s="775">
        <f>Quarts!BO12</f>
        <v>3849.1570000000002</v>
      </c>
      <c r="T15" s="775">
        <f>Quarts!BS12</f>
        <v>4029.6190000000001</v>
      </c>
      <c r="U15" s="307">
        <f>T15+U16</f>
        <v>4181.6190000000006</v>
      </c>
      <c r="V15" s="307">
        <f>U15+V16</f>
        <v>4311.6190000000006</v>
      </c>
      <c r="W15" s="307">
        <f>V15+W16</f>
        <v>4451.6190000000006</v>
      </c>
      <c r="X15" s="307">
        <f>W15+X16</f>
        <v>4551.6190000000006</v>
      </c>
      <c r="Y15" s="307">
        <f t="shared" ref="Y15:AD15" si="15">X15+Y16</f>
        <v>4631.6190000000006</v>
      </c>
      <c r="Z15" s="307">
        <f t="shared" si="15"/>
        <v>4681.6190000000006</v>
      </c>
      <c r="AA15" s="307">
        <f t="shared" si="15"/>
        <v>4706.6190000000006</v>
      </c>
      <c r="AB15" s="307">
        <f t="shared" si="15"/>
        <v>4716.6190000000006</v>
      </c>
      <c r="AC15" s="307">
        <f t="shared" si="15"/>
        <v>4716.6190000000006</v>
      </c>
      <c r="AD15" s="307">
        <f t="shared" si="15"/>
        <v>4716.6190000000006</v>
      </c>
    </row>
    <row r="16" spans="2:32">
      <c r="B16" s="161" t="s">
        <v>42</v>
      </c>
      <c r="D16" s="307"/>
      <c r="E16" s="307">
        <f>E15-D15</f>
        <v>164</v>
      </c>
      <c r="F16" s="307">
        <f t="shared" ref="F16:T16" si="16">F15-E15</f>
        <v>187</v>
      </c>
      <c r="G16" s="307">
        <f t="shared" si="16"/>
        <v>156</v>
      </c>
      <c r="H16" s="307">
        <f t="shared" si="16"/>
        <v>43</v>
      </c>
      <c r="I16" s="307">
        <f t="shared" si="16"/>
        <v>263</v>
      </c>
      <c r="J16" s="307">
        <f t="shared" si="16"/>
        <v>428</v>
      </c>
      <c r="K16" s="307">
        <f t="shared" si="16"/>
        <v>137</v>
      </c>
      <c r="L16" s="307">
        <f>L15-K15</f>
        <v>69</v>
      </c>
      <c r="M16" s="307">
        <f>M15-L15</f>
        <v>162</v>
      </c>
      <c r="N16" s="307">
        <f>N15-M15</f>
        <v>22.797999999999774</v>
      </c>
      <c r="O16" s="307">
        <f t="shared" si="16"/>
        <v>188.20200000000023</v>
      </c>
      <c r="P16" s="307">
        <f t="shared" si="16"/>
        <v>126.82000000000016</v>
      </c>
      <c r="Q16" s="307">
        <f t="shared" si="16"/>
        <v>135.79499999999962</v>
      </c>
      <c r="R16" s="307">
        <f t="shared" si="16"/>
        <v>238.47500000000036</v>
      </c>
      <c r="S16" s="307">
        <f t="shared" si="16"/>
        <v>-64.932999999999993</v>
      </c>
      <c r="T16" s="307">
        <f t="shared" si="16"/>
        <v>180.46199999999999</v>
      </c>
      <c r="U16" s="970">
        <f>47+40+30+35</f>
        <v>152</v>
      </c>
      <c r="V16" s="970">
        <v>130</v>
      </c>
      <c r="W16" s="970">
        <f t="shared" ref="V16:AD16" si="17">V16+10</f>
        <v>140</v>
      </c>
      <c r="X16" s="970">
        <v>100</v>
      </c>
      <c r="Y16" s="970">
        <v>80</v>
      </c>
      <c r="Z16" s="970">
        <v>50</v>
      </c>
      <c r="AA16" s="970">
        <v>25</v>
      </c>
      <c r="AB16" s="970">
        <v>10</v>
      </c>
      <c r="AC16" s="970">
        <v>0</v>
      </c>
      <c r="AD16" s="970">
        <v>0</v>
      </c>
    </row>
    <row r="17" spans="2:30">
      <c r="B17" s="161" t="s">
        <v>328</v>
      </c>
      <c r="D17" s="307"/>
      <c r="E17" s="265">
        <f>E15/D15-1</f>
        <v>0.10295040803515376</v>
      </c>
      <c r="F17" s="265">
        <f>F15/E15-1</f>
        <v>0.10643141718838933</v>
      </c>
      <c r="G17" s="265">
        <f>G15/F15-1</f>
        <v>8.0246913580246826E-2</v>
      </c>
      <c r="H17" s="265">
        <f t="shared" ref="H17:T17" si="18">H15/G15-1</f>
        <v>2.0476190476190537E-2</v>
      </c>
      <c r="I17" s="265">
        <f t="shared" si="18"/>
        <v>0.12272515165655618</v>
      </c>
      <c r="J17" s="265">
        <f t="shared" si="18"/>
        <v>0.17788861180382387</v>
      </c>
      <c r="K17" s="265">
        <f t="shared" si="18"/>
        <v>4.8341566690190518E-2</v>
      </c>
      <c r="L17" s="265">
        <f t="shared" si="18"/>
        <v>2.322450353416361E-2</v>
      </c>
      <c r="M17" s="265">
        <f t="shared" si="18"/>
        <v>5.3289473684210442E-2</v>
      </c>
      <c r="N17" s="265">
        <f t="shared" si="18"/>
        <v>7.1199250468456654E-3</v>
      </c>
      <c r="O17" s="265">
        <f t="shared" si="18"/>
        <v>5.8360864773545629E-2</v>
      </c>
      <c r="P17" s="265">
        <f t="shared" si="18"/>
        <v>3.7157925578669815E-2</v>
      </c>
      <c r="Q17" s="265">
        <f t="shared" si="18"/>
        <v>3.8362120107801934E-2</v>
      </c>
      <c r="R17" s="265">
        <f t="shared" si="18"/>
        <v>6.4880298943170267E-2</v>
      </c>
      <c r="S17" s="265">
        <f t="shared" si="18"/>
        <v>-1.658955210534252E-2</v>
      </c>
      <c r="T17" s="265">
        <f t="shared" si="18"/>
        <v>4.6883512415835549E-2</v>
      </c>
      <c r="U17" s="265">
        <f>U15/T15-1</f>
        <v>3.7720687737476055E-2</v>
      </c>
      <c r="V17" s="265">
        <f>V15/U15-1</f>
        <v>3.1088437277523306E-2</v>
      </c>
      <c r="W17" s="265">
        <f>W15/V15-1</f>
        <v>3.2470401489556489E-2</v>
      </c>
      <c r="X17" s="265">
        <f>X15/W15-1</f>
        <v>2.2463737350388646E-2</v>
      </c>
      <c r="Y17" s="265">
        <f t="shared" ref="Y17:AD17" si="19">Y15/X15-1</f>
        <v>1.757616355850522E-2</v>
      </c>
      <c r="Z17" s="265">
        <f t="shared" si="19"/>
        <v>1.079536119011526E-2</v>
      </c>
      <c r="AA17" s="265">
        <f t="shared" si="19"/>
        <v>5.3400330099480087E-3</v>
      </c>
      <c r="AB17" s="265">
        <f t="shared" si="19"/>
        <v>2.1246674098753804E-3</v>
      </c>
      <c r="AC17" s="265">
        <f t="shared" si="19"/>
        <v>0</v>
      </c>
      <c r="AD17" s="265">
        <f t="shared" si="19"/>
        <v>0</v>
      </c>
    </row>
    <row r="18" spans="2:30">
      <c r="B18" s="288" t="s">
        <v>329</v>
      </c>
      <c r="D18" s="307"/>
      <c r="E18" s="307"/>
      <c r="F18" s="775">
        <v>976</v>
      </c>
      <c r="G18" s="775">
        <v>1171</v>
      </c>
      <c r="H18" s="775">
        <v>1324</v>
      </c>
      <c r="I18" s="307"/>
      <c r="J18" s="307"/>
      <c r="K18" s="307"/>
      <c r="L18" s="307"/>
      <c r="M18" s="307"/>
      <c r="N18" s="307"/>
      <c r="O18" s="307"/>
      <c r="P18" s="307"/>
      <c r="Q18" s="307"/>
      <c r="R18" s="307"/>
      <c r="S18" s="307"/>
      <c r="T18" s="307"/>
      <c r="U18" s="307"/>
      <c r="V18" s="307"/>
      <c r="W18" s="307"/>
      <c r="X18" s="307"/>
      <c r="Y18" s="307"/>
      <c r="Z18" s="307"/>
      <c r="AA18" s="307"/>
      <c r="AB18" s="307"/>
      <c r="AC18" s="307"/>
      <c r="AD18" s="307"/>
    </row>
    <row r="19" spans="2:30">
      <c r="B19" s="288"/>
      <c r="D19" s="307"/>
      <c r="E19" s="307"/>
      <c r="F19" s="775"/>
      <c r="G19" s="775"/>
      <c r="H19" s="775"/>
      <c r="I19" s="307"/>
      <c r="J19" s="307"/>
      <c r="K19" s="307"/>
      <c r="L19" s="307"/>
      <c r="M19" s="307"/>
      <c r="N19" s="307"/>
      <c r="O19" s="307"/>
      <c r="P19" s="307"/>
      <c r="Q19" s="307"/>
      <c r="R19" s="307"/>
      <c r="S19" s="307"/>
      <c r="T19" s="307"/>
      <c r="U19" s="307"/>
      <c r="V19" s="307"/>
      <c r="W19" s="307"/>
      <c r="X19" s="307"/>
      <c r="Y19" s="307"/>
      <c r="Z19" s="307"/>
      <c r="AA19" s="307"/>
      <c r="AB19" s="307"/>
      <c r="AC19" s="307"/>
      <c r="AD19" s="307"/>
    </row>
    <row r="20" spans="2:30">
      <c r="B20" s="161" t="s">
        <v>330</v>
      </c>
      <c r="D20" s="775">
        <v>8050</v>
      </c>
      <c r="E20" s="775">
        <v>10073</v>
      </c>
      <c r="F20" s="775">
        <v>11498</v>
      </c>
      <c r="G20" s="775">
        <v>13019</v>
      </c>
      <c r="H20" s="775">
        <v>14733</v>
      </c>
      <c r="I20" s="775">
        <v>15998.597468354432</v>
      </c>
      <c r="J20" s="775">
        <v>16976.944936708864</v>
      </c>
      <c r="K20" s="775">
        <v>17964.292405063294</v>
      </c>
      <c r="L20" s="775">
        <v>18658.389873417724</v>
      </c>
      <c r="M20" s="775">
        <v>19054.737341772154</v>
      </c>
      <c r="N20" s="775">
        <v>19454.084810126587</v>
      </c>
      <c r="O20" s="349">
        <f>N20</f>
        <v>19454.084810126587</v>
      </c>
      <c r="P20" s="349">
        <f t="shared" ref="P20:X20" si="20">O20*0.99</f>
        <v>19259.54396202532</v>
      </c>
      <c r="Q20" s="349">
        <f t="shared" si="20"/>
        <v>19066.948522405066</v>
      </c>
      <c r="R20" s="349">
        <f t="shared" si="20"/>
        <v>18876.279037181015</v>
      </c>
      <c r="S20" s="349">
        <f t="shared" si="20"/>
        <v>18687.516246809206</v>
      </c>
      <c r="T20" s="349">
        <f t="shared" si="20"/>
        <v>18500.641084341114</v>
      </c>
      <c r="U20" s="349">
        <f t="shared" si="20"/>
        <v>18315.634673497701</v>
      </c>
      <c r="V20" s="349">
        <f t="shared" si="20"/>
        <v>18132.478326762724</v>
      </c>
      <c r="W20" s="349">
        <f t="shared" si="20"/>
        <v>17951.153543495097</v>
      </c>
      <c r="X20" s="349">
        <f t="shared" si="20"/>
        <v>17771.642008060146</v>
      </c>
      <c r="Y20" s="349">
        <f t="shared" ref="Y20:AD20" si="21">X20*0.99</f>
        <v>17593.925587979546</v>
      </c>
      <c r="Z20" s="349">
        <f t="shared" si="21"/>
        <v>17417.98633209975</v>
      </c>
      <c r="AA20" s="349">
        <f t="shared" si="21"/>
        <v>17243.806468778752</v>
      </c>
      <c r="AB20" s="349">
        <f t="shared" si="21"/>
        <v>17071.368404090965</v>
      </c>
      <c r="AC20" s="349">
        <f t="shared" si="21"/>
        <v>16900.654720050054</v>
      </c>
      <c r="AD20" s="349">
        <f t="shared" si="21"/>
        <v>16731.648172849553</v>
      </c>
    </row>
    <row r="21" spans="2:30">
      <c r="B21" s="161" t="s">
        <v>331</v>
      </c>
      <c r="D21" s="265">
        <f t="shared" ref="D21:AD21" si="22">D15/D20</f>
        <v>0.19788819875776398</v>
      </c>
      <c r="E21" s="265">
        <f t="shared" si="22"/>
        <v>0.17442668519805421</v>
      </c>
      <c r="F21" s="265">
        <f t="shared" si="22"/>
        <v>0.16907288224038963</v>
      </c>
      <c r="G21" s="265">
        <f t="shared" si="22"/>
        <v>0.16130271142176819</v>
      </c>
      <c r="H21" s="265">
        <f t="shared" si="22"/>
        <v>0.14545577954252359</v>
      </c>
      <c r="I21" s="265">
        <f t="shared" si="22"/>
        <v>0.15038818276159016</v>
      </c>
      <c r="J21" s="265">
        <f t="shared" si="22"/>
        <v>0.16693227259470614</v>
      </c>
      <c r="K21" s="265">
        <f t="shared" si="22"/>
        <v>0.16538363621617594</v>
      </c>
      <c r="L21" s="265">
        <f t="shared" si="22"/>
        <v>0.16292938568783119</v>
      </c>
      <c r="M21" s="265">
        <f t="shared" si="22"/>
        <v>0.16804220087466204</v>
      </c>
      <c r="N21" s="265">
        <f t="shared" si="22"/>
        <v>0.16576456983066973</v>
      </c>
      <c r="O21" s="265">
        <f t="shared" si="22"/>
        <v>0.17543873347480238</v>
      </c>
      <c r="P21" s="265">
        <f t="shared" si="22"/>
        <v>0.18379562916856082</v>
      </c>
      <c r="Q21" s="265">
        <f t="shared" si="22"/>
        <v>0.19277416077779211</v>
      </c>
      <c r="R21" s="265">
        <f t="shared" si="22"/>
        <v>0.20735495551270103</v>
      </c>
      <c r="S21" s="265">
        <f t="shared" si="22"/>
        <v>0.20597477744840614</v>
      </c>
      <c r="T21" s="265">
        <f t="shared" si="22"/>
        <v>0.21780969543864387</v>
      </c>
      <c r="U21" s="265">
        <f t="shared" si="22"/>
        <v>0.22830871408735326</v>
      </c>
      <c r="V21" s="265">
        <f t="shared" si="22"/>
        <v>0.23778431840926259</v>
      </c>
      <c r="W21" s="265">
        <f t="shared" si="22"/>
        <v>0.24798512191508271</v>
      </c>
      <c r="X21" s="265">
        <f t="shared" si="22"/>
        <v>0.25611696420261337</v>
      </c>
      <c r="Y21" s="265">
        <f t="shared" si="22"/>
        <v>0.26325102813691548</v>
      </c>
      <c r="Z21" s="265">
        <f t="shared" si="22"/>
        <v>0.26878072532254815</v>
      </c>
      <c r="AA21" s="265">
        <f t="shared" si="22"/>
        <v>0.27294547804869529</v>
      </c>
      <c r="AB21" s="265">
        <f t="shared" si="22"/>
        <v>0.27628827920260424</v>
      </c>
      <c r="AC21" s="265">
        <f t="shared" si="22"/>
        <v>0.27907906990162046</v>
      </c>
      <c r="AD21" s="265">
        <f t="shared" si="22"/>
        <v>0.28189805040567723</v>
      </c>
    </row>
    <row r="22" spans="2:30">
      <c r="B22" s="161" t="s">
        <v>131</v>
      </c>
      <c r="D22" s="265"/>
      <c r="E22" s="265">
        <f>E21-D21</f>
        <v>-2.3461513559709768E-2</v>
      </c>
      <c r="F22" s="265">
        <f>F21-E21</f>
        <v>-5.3538029576645774E-3</v>
      </c>
      <c r="G22" s="265">
        <f>G21-F21</f>
        <v>-7.7701708186214413E-3</v>
      </c>
      <c r="H22" s="265">
        <f t="shared" ref="H22:P22" si="23">H21-G21</f>
        <v>-1.5846931879244602E-2</v>
      </c>
      <c r="I22" s="265">
        <f t="shared" si="23"/>
        <v>4.9324032190665723E-3</v>
      </c>
      <c r="J22" s="265">
        <f t="shared" si="23"/>
        <v>1.6544089833115977E-2</v>
      </c>
      <c r="K22" s="265">
        <f t="shared" si="23"/>
        <v>-1.5486363785301993E-3</v>
      </c>
      <c r="L22" s="265">
        <f t="shared" si="23"/>
        <v>-2.454250528344748E-3</v>
      </c>
      <c r="M22" s="265">
        <f t="shared" si="23"/>
        <v>5.1128151868308491E-3</v>
      </c>
      <c r="N22" s="265">
        <f t="shared" si="23"/>
        <v>-2.277631043992312E-3</v>
      </c>
      <c r="O22" s="265">
        <f t="shared" si="23"/>
        <v>9.6741636441326495E-3</v>
      </c>
      <c r="P22" s="265">
        <f t="shared" si="23"/>
        <v>8.3568956937584427E-3</v>
      </c>
      <c r="Q22" s="265">
        <f t="shared" ref="Q22:X22" si="24">Q21-P21</f>
        <v>8.9785316092312883E-3</v>
      </c>
      <c r="R22" s="265">
        <f t="shared" si="24"/>
        <v>1.458079473490892E-2</v>
      </c>
      <c r="S22" s="265">
        <f t="shared" si="24"/>
        <v>-1.3801780642948847E-3</v>
      </c>
      <c r="T22" s="265">
        <f t="shared" si="24"/>
        <v>1.1834917990237726E-2</v>
      </c>
      <c r="U22" s="265">
        <f t="shared" si="24"/>
        <v>1.0499018648709391E-2</v>
      </c>
      <c r="V22" s="265">
        <f t="shared" si="24"/>
        <v>9.4756043219093311E-3</v>
      </c>
      <c r="W22" s="265">
        <f t="shared" si="24"/>
        <v>1.0200803505820116E-2</v>
      </c>
      <c r="X22" s="265">
        <f t="shared" si="24"/>
        <v>8.1318422875306662E-3</v>
      </c>
      <c r="Y22" s="265">
        <f t="shared" ref="Y22:AD22" si="25">Y21-X21</f>
        <v>7.1340639343021039E-3</v>
      </c>
      <c r="Z22" s="265">
        <f t="shared" si="25"/>
        <v>5.529697185632676E-3</v>
      </c>
      <c r="AA22" s="265">
        <f t="shared" si="25"/>
        <v>4.1647527261471362E-3</v>
      </c>
      <c r="AB22" s="265">
        <f t="shared" si="25"/>
        <v>3.3428011539089475E-3</v>
      </c>
      <c r="AC22" s="265">
        <f t="shared" si="25"/>
        <v>2.7907906990162212E-3</v>
      </c>
      <c r="AD22" s="265">
        <f t="shared" si="25"/>
        <v>2.8189805040567673E-3</v>
      </c>
    </row>
    <row r="25" spans="2:30">
      <c r="B25" s="163" t="s">
        <v>332</v>
      </c>
      <c r="D25" s="775">
        <v>516</v>
      </c>
      <c r="E25" s="775">
        <v>594</v>
      </c>
      <c r="F25" s="775">
        <v>683</v>
      </c>
      <c r="G25" s="775">
        <v>835</v>
      </c>
      <c r="H25" s="775">
        <v>951</v>
      </c>
      <c r="I25" s="775">
        <v>1331</v>
      </c>
      <c r="J25" s="775">
        <v>1831</v>
      </c>
      <c r="K25" s="775">
        <v>2228</v>
      </c>
      <c r="L25" s="775">
        <v>2625</v>
      </c>
      <c r="M25" s="775">
        <v>2942</v>
      </c>
      <c r="N25" s="775">
        <f>Quarts!AU19</f>
        <v>3097.6280000000002</v>
      </c>
      <c r="O25" s="775">
        <v>3510</v>
      </c>
      <c r="P25" s="775">
        <v>3833.893</v>
      </c>
      <c r="Q25" s="775">
        <v>4137.8599999999997</v>
      </c>
      <c r="R25" s="775">
        <v>4721.5519999999997</v>
      </c>
      <c r="S25" s="775">
        <f>Quarts!BO19</f>
        <v>5311.95</v>
      </c>
      <c r="T25" s="775">
        <f>Quarts!BS19</f>
        <v>5805.7190000000001</v>
      </c>
      <c r="U25" s="307">
        <f>T25+U26</f>
        <v>6205.7190000000001</v>
      </c>
      <c r="V25" s="307">
        <f>U25+V26</f>
        <v>6405.7190000000001</v>
      </c>
      <c r="W25" s="307">
        <f>V25+W26</f>
        <v>6580.7190000000001</v>
      </c>
      <c r="X25" s="307">
        <f>W25+X26</f>
        <v>6730.7190000000001</v>
      </c>
      <c r="Y25" s="307">
        <f t="shared" ref="Y25:AD25" si="26">X25+Y26</f>
        <v>6855.7190000000001</v>
      </c>
      <c r="Z25" s="307">
        <f t="shared" si="26"/>
        <v>6905.7190000000001</v>
      </c>
      <c r="AA25" s="307">
        <f t="shared" si="26"/>
        <v>6930.7190000000001</v>
      </c>
      <c r="AB25" s="307">
        <f t="shared" si="26"/>
        <v>6940.7190000000001</v>
      </c>
      <c r="AC25" s="307">
        <f t="shared" si="26"/>
        <v>6940.7190000000001</v>
      </c>
      <c r="AD25" s="307">
        <f t="shared" si="26"/>
        <v>6940.7190000000001</v>
      </c>
    </row>
    <row r="26" spans="2:30">
      <c r="B26" s="161" t="s">
        <v>42</v>
      </c>
      <c r="D26" s="307"/>
      <c r="E26" s="307">
        <f t="shared" ref="E26:T26" si="27">E25-D25</f>
        <v>78</v>
      </c>
      <c r="F26" s="307">
        <f t="shared" si="27"/>
        <v>89</v>
      </c>
      <c r="G26" s="307">
        <f t="shared" si="27"/>
        <v>152</v>
      </c>
      <c r="H26" s="307">
        <f t="shared" si="27"/>
        <v>116</v>
      </c>
      <c r="I26" s="307">
        <f t="shared" si="27"/>
        <v>380</v>
      </c>
      <c r="J26" s="307">
        <f t="shared" si="27"/>
        <v>500</v>
      </c>
      <c r="K26" s="307">
        <f t="shared" si="27"/>
        <v>397</v>
      </c>
      <c r="L26" s="307">
        <f t="shared" si="27"/>
        <v>397</v>
      </c>
      <c r="M26" s="307">
        <f t="shared" si="27"/>
        <v>317</v>
      </c>
      <c r="N26" s="307">
        <f t="shared" si="27"/>
        <v>155.62800000000016</v>
      </c>
      <c r="O26" s="307">
        <f t="shared" si="27"/>
        <v>412.37199999999984</v>
      </c>
      <c r="P26" s="307">
        <f t="shared" si="27"/>
        <v>323.89300000000003</v>
      </c>
      <c r="Q26" s="307">
        <f t="shared" si="27"/>
        <v>303.96699999999964</v>
      </c>
      <c r="R26" s="307">
        <f t="shared" si="27"/>
        <v>583.69200000000001</v>
      </c>
      <c r="S26" s="307">
        <f t="shared" si="27"/>
        <v>590.39800000000014</v>
      </c>
      <c r="T26" s="307">
        <f t="shared" si="27"/>
        <v>493.76900000000023</v>
      </c>
      <c r="U26" s="970">
        <v>400</v>
      </c>
      <c r="V26" s="970">
        <v>200</v>
      </c>
      <c r="W26" s="970">
        <v>175</v>
      </c>
      <c r="X26" s="970">
        <v>150</v>
      </c>
      <c r="Y26" s="970">
        <v>125</v>
      </c>
      <c r="Z26" s="970">
        <v>50</v>
      </c>
      <c r="AA26" s="970">
        <v>25</v>
      </c>
      <c r="AB26" s="970">
        <v>10</v>
      </c>
      <c r="AC26" s="970">
        <v>0</v>
      </c>
      <c r="AD26" s="970">
        <v>0</v>
      </c>
    </row>
    <row r="27" spans="2:30">
      <c r="B27" s="161" t="s">
        <v>328</v>
      </c>
      <c r="D27" s="307"/>
      <c r="E27" s="265">
        <f>E25/D25-1</f>
        <v>0.15116279069767447</v>
      </c>
      <c r="F27" s="265">
        <f>F25/E25-1</f>
        <v>0.14983164983164987</v>
      </c>
      <c r="G27" s="265">
        <f>G25/F25-1</f>
        <v>0.2225475841874085</v>
      </c>
      <c r="H27" s="265">
        <f t="shared" ref="H27:T27" si="28">H25/G25-1</f>
        <v>0.13892215568862265</v>
      </c>
      <c r="I27" s="265">
        <f t="shared" si="28"/>
        <v>0.39957939011566768</v>
      </c>
      <c r="J27" s="265">
        <f t="shared" si="28"/>
        <v>0.37565740045078888</v>
      </c>
      <c r="K27" s="265">
        <f t="shared" si="28"/>
        <v>0.21682140906608405</v>
      </c>
      <c r="L27" s="265">
        <f t="shared" si="28"/>
        <v>0.17818671454219026</v>
      </c>
      <c r="M27" s="265">
        <f t="shared" si="28"/>
        <v>0.12076190476190485</v>
      </c>
      <c r="N27" s="265">
        <f t="shared" si="28"/>
        <v>5.2898708361658775E-2</v>
      </c>
      <c r="O27" s="265">
        <f t="shared" si="28"/>
        <v>0.13312508797053746</v>
      </c>
      <c r="P27" s="265">
        <f t="shared" si="28"/>
        <v>9.2277207977208064E-2</v>
      </c>
      <c r="Q27" s="265">
        <f t="shared" si="28"/>
        <v>7.9284163642542982E-2</v>
      </c>
      <c r="R27" s="265">
        <f t="shared" si="28"/>
        <v>0.14106132155268658</v>
      </c>
      <c r="S27" s="265">
        <f t="shared" si="28"/>
        <v>0.12504320613222086</v>
      </c>
      <c r="T27" s="265">
        <f t="shared" si="28"/>
        <v>9.2954376453091569E-2</v>
      </c>
      <c r="U27" s="265">
        <f>U25/T25-1</f>
        <v>6.8897581849896694E-2</v>
      </c>
      <c r="V27" s="265">
        <f>V25/U25-1</f>
        <v>3.2228336474790398E-2</v>
      </c>
      <c r="W27" s="265">
        <f>W25/V25-1</f>
        <v>2.731933761065708E-2</v>
      </c>
      <c r="X27" s="265">
        <f>X25/W25-1</f>
        <v>2.2793861886520217E-2</v>
      </c>
      <c r="Y27" s="265">
        <f t="shared" ref="Y27:AD27" si="29">Y25/X25-1</f>
        <v>1.8571567168381264E-2</v>
      </c>
      <c r="Z27" s="265">
        <f t="shared" si="29"/>
        <v>7.2931810653267259E-3</v>
      </c>
      <c r="AA27" s="265">
        <f t="shared" si="29"/>
        <v>3.6201878472030824E-3</v>
      </c>
      <c r="AB27" s="265">
        <f t="shared" si="29"/>
        <v>1.4428517445304045E-3</v>
      </c>
      <c r="AC27" s="265">
        <f t="shared" si="29"/>
        <v>0</v>
      </c>
      <c r="AD27" s="265">
        <f t="shared" si="29"/>
        <v>0</v>
      </c>
    </row>
    <row r="28" spans="2:30">
      <c r="D28" s="307"/>
      <c r="E28" s="307"/>
      <c r="F28" s="307"/>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row>
    <row r="29" spans="2:30">
      <c r="B29" s="161" t="s">
        <v>333</v>
      </c>
      <c r="D29" s="349">
        <v>9713</v>
      </c>
      <c r="E29" s="349">
        <v>11570</v>
      </c>
      <c r="F29" s="349">
        <v>12586</v>
      </c>
      <c r="G29" s="349">
        <v>13303.556999999999</v>
      </c>
      <c r="H29" s="349">
        <v>14304</v>
      </c>
      <c r="I29" s="349">
        <v>14104</v>
      </c>
      <c r="J29" s="349">
        <v>14354</v>
      </c>
      <c r="K29" s="349">
        <v>15699</v>
      </c>
      <c r="L29" s="349">
        <v>16738</v>
      </c>
      <c r="M29" s="349">
        <v>18360</v>
      </c>
      <c r="N29" s="349">
        <v>19403.324640287767</v>
      </c>
      <c r="O29" s="349">
        <v>20379.149280575537</v>
      </c>
      <c r="P29" s="349">
        <v>21438.317023381296</v>
      </c>
      <c r="Q29" s="349">
        <v>22515.900106115107</v>
      </c>
      <c r="R29" s="349">
        <v>23612.16591880126</v>
      </c>
      <c r="S29" s="349">
        <v>24727.385357730524</v>
      </c>
      <c r="T29" s="349">
        <v>25861.832868846494</v>
      </c>
      <c r="U29" s="349">
        <v>25861.832868846494</v>
      </c>
      <c r="V29" s="349">
        <v>25861.832868846494</v>
      </c>
      <c r="W29" s="349">
        <v>25861.832868846494</v>
      </c>
      <c r="X29" s="349">
        <v>25861.832868846494</v>
      </c>
      <c r="Y29" s="349">
        <v>25861.832868846494</v>
      </c>
      <c r="Z29" s="349">
        <v>25861.832868846494</v>
      </c>
      <c r="AA29" s="349">
        <v>25861.832868846494</v>
      </c>
      <c r="AB29" s="349">
        <v>25861.832868846494</v>
      </c>
      <c r="AC29" s="349">
        <v>25861.832868846494</v>
      </c>
      <c r="AD29" s="349">
        <v>25861.832868846494</v>
      </c>
    </row>
    <row r="30" spans="2:30">
      <c r="B30" s="161" t="s">
        <v>325</v>
      </c>
      <c r="D30" s="265">
        <f t="shared" ref="D30:AD30" si="30">D25/D29</f>
        <v>5.3124678266241121E-2</v>
      </c>
      <c r="E30" s="265">
        <f t="shared" si="30"/>
        <v>5.1339671564390663E-2</v>
      </c>
      <c r="F30" s="265">
        <f t="shared" si="30"/>
        <v>5.4266645479103766E-2</v>
      </c>
      <c r="G30" s="265">
        <f t="shared" si="30"/>
        <v>6.2765168743968258E-2</v>
      </c>
      <c r="H30" s="265">
        <f t="shared" si="30"/>
        <v>6.6484899328859065E-2</v>
      </c>
      <c r="I30" s="265">
        <f t="shared" si="30"/>
        <v>9.4370391378332391E-2</v>
      </c>
      <c r="J30" s="265">
        <f t="shared" si="30"/>
        <v>0.12756026194788908</v>
      </c>
      <c r="K30" s="265">
        <f t="shared" si="30"/>
        <v>0.14191986750748456</v>
      </c>
      <c r="L30" s="265">
        <f t="shared" si="30"/>
        <v>0.15682877285219263</v>
      </c>
      <c r="M30" s="265">
        <f t="shared" si="30"/>
        <v>0.16023965141612201</v>
      </c>
      <c r="N30" s="265">
        <f t="shared" si="30"/>
        <v>0.15964418765474306</v>
      </c>
      <c r="O30" s="265">
        <f t="shared" si="30"/>
        <v>0.17223486376566119</v>
      </c>
      <c r="P30" s="265">
        <f t="shared" si="30"/>
        <v>0.17883367410877621</v>
      </c>
      <c r="Q30" s="265">
        <f t="shared" si="30"/>
        <v>0.18377502034112311</v>
      </c>
      <c r="R30" s="265">
        <f t="shared" si="30"/>
        <v>0.19996268094323569</v>
      </c>
      <c r="S30" s="265">
        <f t="shared" si="30"/>
        <v>0.21482052886514849</v>
      </c>
      <c r="T30" s="265">
        <f t="shared" si="30"/>
        <v>0.22448985071717967</v>
      </c>
      <c r="U30" s="265">
        <f t="shared" si="30"/>
        <v>0.23995665858143764</v>
      </c>
      <c r="V30" s="265">
        <f t="shared" si="30"/>
        <v>0.24769006251356662</v>
      </c>
      <c r="W30" s="265">
        <f t="shared" si="30"/>
        <v>0.2544567909541795</v>
      </c>
      <c r="X30" s="265">
        <f t="shared" si="30"/>
        <v>0.26025684390327619</v>
      </c>
      <c r="Y30" s="265">
        <f t="shared" si="30"/>
        <v>0.26509022136085686</v>
      </c>
      <c r="Z30" s="265">
        <f t="shared" si="30"/>
        <v>0.26702357234388907</v>
      </c>
      <c r="AA30" s="265">
        <f t="shared" si="30"/>
        <v>0.2679902478354052</v>
      </c>
      <c r="AB30" s="265">
        <f t="shared" si="30"/>
        <v>0.26837691803201164</v>
      </c>
      <c r="AC30" s="265">
        <f t="shared" si="30"/>
        <v>0.26837691803201164</v>
      </c>
      <c r="AD30" s="265">
        <f t="shared" si="30"/>
        <v>0.26837691803201164</v>
      </c>
    </row>
    <row r="31" spans="2:30">
      <c r="B31" s="161" t="s">
        <v>131</v>
      </c>
      <c r="D31" s="265"/>
      <c r="E31" s="265">
        <f>E30-D30</f>
        <v>-1.7850067018504584E-3</v>
      </c>
      <c r="F31" s="265">
        <f>F30-E30</f>
        <v>2.9269739147131033E-3</v>
      </c>
      <c r="G31" s="265">
        <f>G30-F30</f>
        <v>8.4985232648644923E-3</v>
      </c>
      <c r="H31" s="265">
        <f t="shared" ref="H31:P31" si="31">H30-G30</f>
        <v>3.7197305848908069E-3</v>
      </c>
      <c r="I31" s="265">
        <f t="shared" si="31"/>
        <v>2.7885492049473326E-2</v>
      </c>
      <c r="J31" s="265">
        <f t="shared" si="31"/>
        <v>3.318987056955669E-2</v>
      </c>
      <c r="K31" s="265">
        <f t="shared" si="31"/>
        <v>1.4359605559595479E-2</v>
      </c>
      <c r="L31" s="265">
        <f t="shared" si="31"/>
        <v>1.4908905344708068E-2</v>
      </c>
      <c r="M31" s="265">
        <f t="shared" si="31"/>
        <v>3.4108785639293815E-3</v>
      </c>
      <c r="N31" s="265">
        <f t="shared" si="31"/>
        <v>-5.9546376137895041E-4</v>
      </c>
      <c r="O31" s="265">
        <f t="shared" si="31"/>
        <v>1.2590676110918131E-2</v>
      </c>
      <c r="P31" s="265">
        <f t="shared" si="31"/>
        <v>6.5988103431150191E-3</v>
      </c>
      <c r="Q31" s="265">
        <f t="shared" ref="Q31:X31" si="32">Q30-P30</f>
        <v>4.9413462323469048E-3</v>
      </c>
      <c r="R31" s="265">
        <f t="shared" si="32"/>
        <v>1.6187660602112575E-2</v>
      </c>
      <c r="S31" s="265">
        <f t="shared" si="32"/>
        <v>1.4857847921912803E-2</v>
      </c>
      <c r="T31" s="265">
        <f t="shared" si="32"/>
        <v>9.6693218520311763E-3</v>
      </c>
      <c r="U31" s="265">
        <f t="shared" si="32"/>
        <v>1.546680786425797E-2</v>
      </c>
      <c r="V31" s="265">
        <f t="shared" si="32"/>
        <v>7.7334039321289849E-3</v>
      </c>
      <c r="W31" s="265">
        <f t="shared" si="32"/>
        <v>6.7667284406128791E-3</v>
      </c>
      <c r="X31" s="265">
        <f t="shared" si="32"/>
        <v>5.8000529490966901E-3</v>
      </c>
      <c r="Y31" s="265">
        <f t="shared" ref="Y31:AD31" si="33">Y30-X30</f>
        <v>4.8333774575806676E-3</v>
      </c>
      <c r="Z31" s="265">
        <f t="shared" si="33"/>
        <v>1.9333509830322115E-3</v>
      </c>
      <c r="AA31" s="265">
        <f t="shared" si="33"/>
        <v>9.6667549151613352E-4</v>
      </c>
      <c r="AB31" s="265">
        <f t="shared" si="33"/>
        <v>3.866701966064312E-4</v>
      </c>
      <c r="AC31" s="265">
        <f t="shared" si="33"/>
        <v>0</v>
      </c>
      <c r="AD31" s="265">
        <f t="shared" si="33"/>
        <v>0</v>
      </c>
    </row>
    <row r="34" spans="2:30">
      <c r="B34" s="163" t="s">
        <v>334</v>
      </c>
      <c r="D34" s="775">
        <v>415</v>
      </c>
      <c r="E34" s="775">
        <v>463</v>
      </c>
      <c r="F34" s="775">
        <v>495</v>
      </c>
      <c r="G34" s="775">
        <v>556</v>
      </c>
      <c r="H34" s="775">
        <v>578</v>
      </c>
      <c r="I34" s="775">
        <v>721</v>
      </c>
      <c r="J34" s="775">
        <v>896</v>
      </c>
      <c r="K34" s="775">
        <v>1176</v>
      </c>
      <c r="L34" s="775">
        <v>1467</v>
      </c>
      <c r="M34" s="775">
        <v>1813</v>
      </c>
      <c r="N34" s="775">
        <f>Quarts!AU24</f>
        <v>2130.538</v>
      </c>
      <c r="O34" s="775">
        <v>2627</v>
      </c>
      <c r="P34" s="775">
        <v>3031.1190000000001</v>
      </c>
      <c r="Q34" s="775">
        <v>3404.125</v>
      </c>
      <c r="R34" s="775">
        <v>4082.0549999999998</v>
      </c>
      <c r="S34" s="775">
        <f>Quarts!BO24</f>
        <v>4766.9560000000001</v>
      </c>
      <c r="T34" s="775">
        <f>Quarts!BS24</f>
        <v>5138.7510000000002</v>
      </c>
      <c r="U34" s="307">
        <f t="shared" ref="U34:AD34" si="34">T34+U35</f>
        <v>5333.7510000000002</v>
      </c>
      <c r="V34" s="307">
        <f t="shared" si="34"/>
        <v>5483.7510000000002</v>
      </c>
      <c r="W34" s="307">
        <f t="shared" si="34"/>
        <v>5583.7510000000002</v>
      </c>
      <c r="X34" s="307">
        <f t="shared" si="34"/>
        <v>5658.7510000000002</v>
      </c>
      <c r="Y34" s="307">
        <f t="shared" si="34"/>
        <v>5708.7510000000002</v>
      </c>
      <c r="Z34" s="307">
        <f t="shared" si="34"/>
        <v>5738.7510000000002</v>
      </c>
      <c r="AA34" s="307">
        <f t="shared" si="34"/>
        <v>5753.7510000000002</v>
      </c>
      <c r="AB34" s="307">
        <f t="shared" si="34"/>
        <v>5763.7510000000002</v>
      </c>
      <c r="AC34" s="307">
        <f t="shared" si="34"/>
        <v>5763.7510000000002</v>
      </c>
      <c r="AD34" s="307">
        <f t="shared" si="34"/>
        <v>5763.7510000000002</v>
      </c>
    </row>
    <row r="35" spans="2:30">
      <c r="B35" s="161" t="s">
        <v>42</v>
      </c>
      <c r="D35" s="307"/>
      <c r="E35" s="307">
        <f>E34-D34</f>
        <v>48</v>
      </c>
      <c r="F35" s="307">
        <f t="shared" ref="F35:T35" si="35">F34-E34</f>
        <v>32</v>
      </c>
      <c r="G35" s="307">
        <f t="shared" si="35"/>
        <v>61</v>
      </c>
      <c r="H35" s="307">
        <f t="shared" si="35"/>
        <v>22</v>
      </c>
      <c r="I35" s="307">
        <f t="shared" si="35"/>
        <v>143</v>
      </c>
      <c r="J35" s="307">
        <f t="shared" si="35"/>
        <v>175</v>
      </c>
      <c r="K35" s="307">
        <f t="shared" si="35"/>
        <v>280</v>
      </c>
      <c r="L35" s="307">
        <f t="shared" si="35"/>
        <v>291</v>
      </c>
      <c r="M35" s="307">
        <f>M34-L34</f>
        <v>346</v>
      </c>
      <c r="N35" s="307">
        <f>N34-M34</f>
        <v>317.53800000000001</v>
      </c>
      <c r="O35" s="307">
        <f t="shared" si="35"/>
        <v>496.46199999999999</v>
      </c>
      <c r="P35" s="307">
        <f t="shared" si="35"/>
        <v>404.11900000000014</v>
      </c>
      <c r="Q35" s="307">
        <f t="shared" si="35"/>
        <v>373.00599999999986</v>
      </c>
      <c r="R35" s="307">
        <f t="shared" si="35"/>
        <v>677.92999999999984</v>
      </c>
      <c r="S35" s="307">
        <f t="shared" si="35"/>
        <v>684.90100000000029</v>
      </c>
      <c r="T35" s="307">
        <f t="shared" si="35"/>
        <v>371.79500000000007</v>
      </c>
      <c r="U35" s="970">
        <v>195</v>
      </c>
      <c r="V35" s="970">
        <v>150</v>
      </c>
      <c r="W35" s="970">
        <v>100</v>
      </c>
      <c r="X35" s="970">
        <v>75</v>
      </c>
      <c r="Y35" s="970">
        <v>50</v>
      </c>
      <c r="Z35" s="970">
        <v>30</v>
      </c>
      <c r="AA35" s="970">
        <v>15</v>
      </c>
      <c r="AB35" s="970">
        <v>10</v>
      </c>
      <c r="AC35" s="970">
        <v>0</v>
      </c>
      <c r="AD35" s="970">
        <v>0</v>
      </c>
    </row>
    <row r="36" spans="2:30">
      <c r="B36" s="161" t="s">
        <v>328</v>
      </c>
      <c r="D36" s="307"/>
      <c r="E36" s="307"/>
      <c r="F36" s="307"/>
      <c r="G36" s="265">
        <f>G34/F34-1</f>
        <v>0.12323232323232314</v>
      </c>
      <c r="H36" s="265">
        <f t="shared" ref="H36:T36" si="36">H34/G34-1</f>
        <v>3.9568345323740983E-2</v>
      </c>
      <c r="I36" s="265">
        <f t="shared" si="36"/>
        <v>0.24740484429065734</v>
      </c>
      <c r="J36" s="265">
        <f t="shared" si="36"/>
        <v>0.24271844660194164</v>
      </c>
      <c r="K36" s="265">
        <f t="shared" si="36"/>
        <v>0.3125</v>
      </c>
      <c r="L36" s="265">
        <f t="shared" si="36"/>
        <v>0.24744897959183665</v>
      </c>
      <c r="M36" s="265">
        <f t="shared" si="36"/>
        <v>0.23585548738922979</v>
      </c>
      <c r="N36" s="265">
        <f t="shared" si="36"/>
        <v>0.17514506343077763</v>
      </c>
      <c r="O36" s="265">
        <f t="shared" si="36"/>
        <v>0.23302189400048245</v>
      </c>
      <c r="P36" s="265">
        <f t="shared" si="36"/>
        <v>0.15383288922725558</v>
      </c>
      <c r="Q36" s="265">
        <f t="shared" si="36"/>
        <v>0.12305884394509081</v>
      </c>
      <c r="R36" s="265">
        <f t="shared" si="36"/>
        <v>0.1991495611941394</v>
      </c>
      <c r="S36" s="265">
        <f t="shared" si="36"/>
        <v>0.1677833836143805</v>
      </c>
      <c r="T36" s="265">
        <f t="shared" si="36"/>
        <v>7.7994216854529341E-2</v>
      </c>
      <c r="U36" s="265">
        <f>U34/T34-1</f>
        <v>3.7946964155297636E-2</v>
      </c>
      <c r="V36" s="265">
        <f>V34/U34-1</f>
        <v>2.8122797633410412E-2</v>
      </c>
      <c r="W36" s="265">
        <f>W34/V34-1</f>
        <v>1.8235693050249635E-2</v>
      </c>
      <c r="X36" s="265">
        <f>X34/W34-1</f>
        <v>1.3431831039743658E-2</v>
      </c>
      <c r="Y36" s="265">
        <f t="shared" ref="Y36:AD36" si="37">Y34/X34-1</f>
        <v>8.8358720855539197E-3</v>
      </c>
      <c r="Z36" s="265">
        <f t="shared" si="37"/>
        <v>5.255089948747127E-3</v>
      </c>
      <c r="AA36" s="265">
        <f t="shared" si="37"/>
        <v>2.613809172065551E-3</v>
      </c>
      <c r="AB36" s="265">
        <f t="shared" si="37"/>
        <v>1.7379966564421423E-3</v>
      </c>
      <c r="AC36" s="265">
        <f t="shared" si="37"/>
        <v>0</v>
      </c>
      <c r="AD36" s="265">
        <f t="shared" si="37"/>
        <v>0</v>
      </c>
    </row>
    <row r="37" spans="2:30">
      <c r="D37" s="307"/>
      <c r="E37" s="307"/>
      <c r="F37" s="307"/>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row>
    <row r="38" spans="2:30">
      <c r="B38" s="161" t="s">
        <v>335</v>
      </c>
      <c r="D38" s="349">
        <v>19504</v>
      </c>
      <c r="E38" s="349">
        <v>19891</v>
      </c>
      <c r="F38" s="349">
        <v>19683</v>
      </c>
      <c r="G38" s="349">
        <v>20589</v>
      </c>
      <c r="H38" s="349">
        <v>20590</v>
      </c>
      <c r="I38" s="349">
        <v>20487.05</v>
      </c>
      <c r="J38" s="349">
        <v>20384.614750000001</v>
      </c>
      <c r="K38" s="349">
        <v>20282.69167625</v>
      </c>
      <c r="L38" s="349">
        <v>20181.278217868752</v>
      </c>
      <c r="M38" s="349">
        <v>20080.371826779407</v>
      </c>
      <c r="N38" s="349">
        <v>19979.969967645509</v>
      </c>
      <c r="O38" s="349">
        <v>19880.070117807281</v>
      </c>
      <c r="P38" s="349">
        <f t="shared" ref="P38:X38" si="38">O38*0.99</f>
        <v>19681.269416629209</v>
      </c>
      <c r="Q38" s="349">
        <f t="shared" si="38"/>
        <v>19484.456722462917</v>
      </c>
      <c r="R38" s="349">
        <f t="shared" si="38"/>
        <v>19289.612155238287</v>
      </c>
      <c r="S38" s="349">
        <f t="shared" si="38"/>
        <v>19096.716033685905</v>
      </c>
      <c r="T38" s="349">
        <f t="shared" si="38"/>
        <v>18905.748873349046</v>
      </c>
      <c r="U38" s="349">
        <f t="shared" si="38"/>
        <v>18716.691384615555</v>
      </c>
      <c r="V38" s="349">
        <f t="shared" si="38"/>
        <v>18529.5244707694</v>
      </c>
      <c r="W38" s="349">
        <f t="shared" si="38"/>
        <v>18344.229226061707</v>
      </c>
      <c r="X38" s="349">
        <f t="shared" si="38"/>
        <v>18160.78693380109</v>
      </c>
      <c r="Y38" s="349">
        <f t="shared" ref="Y38:AD38" si="39">X38*0.99</f>
        <v>17979.179064463078</v>
      </c>
      <c r="Z38" s="349">
        <f t="shared" si="39"/>
        <v>17799.387273818447</v>
      </c>
      <c r="AA38" s="349">
        <f t="shared" si="39"/>
        <v>17621.393401080262</v>
      </c>
      <c r="AB38" s="349">
        <f t="shared" si="39"/>
        <v>17445.179467069458</v>
      </c>
      <c r="AC38" s="349">
        <f t="shared" si="39"/>
        <v>17270.727672398763</v>
      </c>
      <c r="AD38" s="349">
        <f t="shared" si="39"/>
        <v>17098.020395674776</v>
      </c>
    </row>
    <row r="39" spans="2:30">
      <c r="B39" s="161" t="s">
        <v>325</v>
      </c>
      <c r="D39" s="265">
        <f t="shared" ref="D39:AD39" si="40">D34/D38</f>
        <v>2.1277686628383922E-2</v>
      </c>
      <c r="E39" s="265">
        <f t="shared" si="40"/>
        <v>2.3276858880900909E-2</v>
      </c>
      <c r="F39" s="265">
        <f t="shared" si="40"/>
        <v>2.5148605395518976E-2</v>
      </c>
      <c r="G39" s="265">
        <f t="shared" si="40"/>
        <v>2.700471125358201E-2</v>
      </c>
      <c r="H39" s="265">
        <f t="shared" si="40"/>
        <v>2.8071879553181155E-2</v>
      </c>
      <c r="I39" s="265">
        <f t="shared" si="40"/>
        <v>3.5192963359780935E-2</v>
      </c>
      <c r="J39" s="265">
        <f t="shared" si="40"/>
        <v>4.3954718349533684E-2</v>
      </c>
      <c r="K39" s="265">
        <f t="shared" si="40"/>
        <v>5.798047018468639E-2</v>
      </c>
      <c r="L39" s="265">
        <f t="shared" si="40"/>
        <v>7.2691134038333619E-2</v>
      </c>
      <c r="M39" s="265">
        <f t="shared" si="40"/>
        <v>9.0287172749568462E-2</v>
      </c>
      <c r="N39" s="265">
        <f t="shared" si="40"/>
        <v>0.10663369381686152</v>
      </c>
      <c r="O39" s="265">
        <f t="shared" si="40"/>
        <v>0.13214239106968256</v>
      </c>
      <c r="P39" s="265">
        <f t="shared" si="40"/>
        <v>0.15401034028013103</v>
      </c>
      <c r="Q39" s="265">
        <f t="shared" si="40"/>
        <v>0.17470977243494343</v>
      </c>
      <c r="R39" s="265">
        <f t="shared" si="40"/>
        <v>0.21161934035524282</v>
      </c>
      <c r="S39" s="265">
        <f t="shared" si="40"/>
        <v>0.24962176698817037</v>
      </c>
      <c r="T39" s="265">
        <f t="shared" si="40"/>
        <v>0.27180891031743087</v>
      </c>
      <c r="U39" s="265">
        <f t="shared" si="40"/>
        <v>0.28497296292357266</v>
      </c>
      <c r="V39" s="265">
        <f t="shared" si="40"/>
        <v>0.29594666655642993</v>
      </c>
      <c r="W39" s="265">
        <f t="shared" si="40"/>
        <v>0.30438733245151267</v>
      </c>
      <c r="X39" s="265">
        <f t="shared" si="40"/>
        <v>0.31159172896125226</v>
      </c>
      <c r="Y39" s="265">
        <f t="shared" si="40"/>
        <v>0.31752011476896003</v>
      </c>
      <c r="Z39" s="265">
        <f t="shared" si="40"/>
        <v>0.32241283993192671</v>
      </c>
      <c r="AA39" s="265">
        <f t="shared" si="40"/>
        <v>0.32652077330316409</v>
      </c>
      <c r="AB39" s="265">
        <f t="shared" si="40"/>
        <v>0.33039218718729685</v>
      </c>
      <c r="AC39" s="265">
        <f t="shared" si="40"/>
        <v>0.33372948200737057</v>
      </c>
      <c r="AD39" s="265">
        <f t="shared" si="40"/>
        <v>0.33710048687613192</v>
      </c>
    </row>
    <row r="40" spans="2:30">
      <c r="B40" s="161" t="s">
        <v>131</v>
      </c>
      <c r="D40" s="265"/>
      <c r="E40" s="265">
        <f>E39-D39</f>
        <v>1.9991722525169869E-3</v>
      </c>
      <c r="F40" s="265">
        <f>F39-E39</f>
        <v>1.8717465146180674E-3</v>
      </c>
      <c r="G40" s="265">
        <f>G39-F39</f>
        <v>1.8561058580630341E-3</v>
      </c>
      <c r="H40" s="265">
        <f t="shared" ref="H40:P40" si="41">H39-G39</f>
        <v>1.0671682995991444E-3</v>
      </c>
      <c r="I40" s="265">
        <f t="shared" si="41"/>
        <v>7.1210838065997803E-3</v>
      </c>
      <c r="J40" s="265">
        <f t="shared" si="41"/>
        <v>8.7617549897527486E-3</v>
      </c>
      <c r="K40" s="265">
        <f t="shared" si="41"/>
        <v>1.4025751835152707E-2</v>
      </c>
      <c r="L40" s="265">
        <f t="shared" si="41"/>
        <v>1.4710663853647228E-2</v>
      </c>
      <c r="M40" s="265">
        <f t="shared" si="41"/>
        <v>1.7596038711234843E-2</v>
      </c>
      <c r="N40" s="265">
        <f t="shared" si="41"/>
        <v>1.6346521067293063E-2</v>
      </c>
      <c r="O40" s="265">
        <f t="shared" si="41"/>
        <v>2.5508697252821039E-2</v>
      </c>
      <c r="P40" s="265">
        <f t="shared" si="41"/>
        <v>2.1867949210448462E-2</v>
      </c>
      <c r="Q40" s="265">
        <f t="shared" ref="Q40:X40" si="42">Q39-P39</f>
        <v>2.0699432154812403E-2</v>
      </c>
      <c r="R40" s="265">
        <f t="shared" si="42"/>
        <v>3.6909567920299396E-2</v>
      </c>
      <c r="S40" s="265">
        <f t="shared" si="42"/>
        <v>3.800242663292755E-2</v>
      </c>
      <c r="T40" s="265">
        <f t="shared" si="42"/>
        <v>2.21871433292605E-2</v>
      </c>
      <c r="U40" s="265">
        <f t="shared" si="42"/>
        <v>1.3164052606141785E-2</v>
      </c>
      <c r="V40" s="265">
        <f t="shared" si="42"/>
        <v>1.0973703632857268E-2</v>
      </c>
      <c r="W40" s="265">
        <f t="shared" si="42"/>
        <v>8.440665895082744E-3</v>
      </c>
      <c r="X40" s="265">
        <f t="shared" si="42"/>
        <v>7.2043965097395857E-3</v>
      </c>
      <c r="Y40" s="265">
        <f t="shared" ref="Y40:AD40" si="43">Y39-X39</f>
        <v>5.92838580770777E-3</v>
      </c>
      <c r="Z40" s="265">
        <f t="shared" si="43"/>
        <v>4.8927251629666824E-3</v>
      </c>
      <c r="AA40" s="265">
        <f t="shared" si="43"/>
        <v>4.1079333712373822E-3</v>
      </c>
      <c r="AB40" s="265">
        <f t="shared" si="43"/>
        <v>3.8714138841327572E-3</v>
      </c>
      <c r="AC40" s="265">
        <f t="shared" si="43"/>
        <v>3.3372948200737218E-3</v>
      </c>
      <c r="AD40" s="265">
        <f t="shared" si="43"/>
        <v>3.3710048687613514E-3</v>
      </c>
    </row>
    <row r="43" spans="2:30">
      <c r="B43" s="703" t="s">
        <v>336</v>
      </c>
      <c r="C43" s="324"/>
      <c r="D43" s="971">
        <f t="shared" ref="D43:AD43" si="44">D15+D25+D34</f>
        <v>2524</v>
      </c>
      <c r="E43" s="971">
        <f t="shared" si="44"/>
        <v>2814</v>
      </c>
      <c r="F43" s="971">
        <f t="shared" si="44"/>
        <v>3122</v>
      </c>
      <c r="G43" s="971">
        <f t="shared" si="44"/>
        <v>3491</v>
      </c>
      <c r="H43" s="971">
        <f t="shared" si="44"/>
        <v>3672</v>
      </c>
      <c r="I43" s="971">
        <f t="shared" si="44"/>
        <v>4458</v>
      </c>
      <c r="J43" s="971">
        <f t="shared" si="44"/>
        <v>5561</v>
      </c>
      <c r="K43" s="971">
        <f t="shared" si="44"/>
        <v>6375</v>
      </c>
      <c r="L43" s="971">
        <f t="shared" si="44"/>
        <v>7132</v>
      </c>
      <c r="M43" s="971">
        <f t="shared" si="44"/>
        <v>7957</v>
      </c>
      <c r="N43" s="971">
        <f t="shared" si="44"/>
        <v>8452.9639999999999</v>
      </c>
      <c r="O43" s="971">
        <f t="shared" si="44"/>
        <v>9550</v>
      </c>
      <c r="P43" s="971">
        <f t="shared" si="44"/>
        <v>10404.832</v>
      </c>
      <c r="Q43" s="971">
        <f t="shared" si="44"/>
        <v>11217.599999999999</v>
      </c>
      <c r="R43" s="971">
        <f t="shared" si="44"/>
        <v>12717.697</v>
      </c>
      <c r="S43" s="971">
        <f t="shared" si="44"/>
        <v>13928.063</v>
      </c>
      <c r="T43" s="971">
        <f t="shared" si="44"/>
        <v>14974.089</v>
      </c>
      <c r="U43" s="971">
        <f t="shared" si="44"/>
        <v>15721.089</v>
      </c>
      <c r="V43" s="971">
        <f t="shared" si="44"/>
        <v>16201.089</v>
      </c>
      <c r="W43" s="971">
        <f t="shared" si="44"/>
        <v>16616.089</v>
      </c>
      <c r="X43" s="971">
        <f t="shared" si="44"/>
        <v>16941.089</v>
      </c>
      <c r="Y43" s="971">
        <f t="shared" si="44"/>
        <v>17196.089</v>
      </c>
      <c r="Z43" s="971">
        <f t="shared" si="44"/>
        <v>17326.089</v>
      </c>
      <c r="AA43" s="971">
        <f t="shared" si="44"/>
        <v>17391.089</v>
      </c>
      <c r="AB43" s="971">
        <f t="shared" si="44"/>
        <v>17421.089</v>
      </c>
      <c r="AC43" s="971">
        <f t="shared" si="44"/>
        <v>17421.089</v>
      </c>
      <c r="AD43" s="971">
        <f t="shared" si="44"/>
        <v>17421.089</v>
      </c>
    </row>
    <row r="44" spans="2:30">
      <c r="B44" s="161" t="s">
        <v>337</v>
      </c>
      <c r="D44" s="307"/>
      <c r="E44" s="307">
        <f>E43-D43</f>
        <v>290</v>
      </c>
      <c r="F44" s="307">
        <f t="shared" ref="F44:T44" si="45">F43-E43</f>
        <v>308</v>
      </c>
      <c r="G44" s="307">
        <f t="shared" si="45"/>
        <v>369</v>
      </c>
      <c r="H44" s="307">
        <f t="shared" si="45"/>
        <v>181</v>
      </c>
      <c r="I44" s="307">
        <f t="shared" si="45"/>
        <v>786</v>
      </c>
      <c r="J44" s="307">
        <f t="shared" si="45"/>
        <v>1103</v>
      </c>
      <c r="K44" s="307">
        <f t="shared" si="45"/>
        <v>814</v>
      </c>
      <c r="L44" s="307">
        <f t="shared" si="45"/>
        <v>757</v>
      </c>
      <c r="M44" s="307">
        <f t="shared" si="45"/>
        <v>825</v>
      </c>
      <c r="N44" s="307">
        <f t="shared" si="45"/>
        <v>495.96399999999994</v>
      </c>
      <c r="O44" s="307">
        <f t="shared" si="45"/>
        <v>1097.0360000000001</v>
      </c>
      <c r="P44" s="307">
        <f t="shared" si="45"/>
        <v>854.83200000000033</v>
      </c>
      <c r="Q44" s="307">
        <f t="shared" si="45"/>
        <v>812.76799999999821</v>
      </c>
      <c r="R44" s="307">
        <f t="shared" si="45"/>
        <v>1500.0970000000016</v>
      </c>
      <c r="S44" s="307">
        <f t="shared" si="45"/>
        <v>1210.366</v>
      </c>
      <c r="T44" s="307">
        <f t="shared" si="45"/>
        <v>1046.0259999999998</v>
      </c>
      <c r="U44" s="307">
        <f>U43-T43</f>
        <v>747</v>
      </c>
      <c r="V44" s="307">
        <f>V43-U43</f>
        <v>480</v>
      </c>
      <c r="W44" s="307">
        <f>W43-V43</f>
        <v>415</v>
      </c>
      <c r="X44" s="307">
        <f>X43-W43</f>
        <v>325</v>
      </c>
      <c r="Y44" s="307">
        <f t="shared" ref="Y44:AD44" si="46">Y43-X43</f>
        <v>255</v>
      </c>
      <c r="Z44" s="307">
        <f t="shared" si="46"/>
        <v>130</v>
      </c>
      <c r="AA44" s="307">
        <f t="shared" si="46"/>
        <v>65</v>
      </c>
      <c r="AB44" s="307">
        <f t="shared" si="46"/>
        <v>30</v>
      </c>
      <c r="AC44" s="307">
        <f t="shared" si="46"/>
        <v>0</v>
      </c>
      <c r="AD44" s="307">
        <f t="shared" si="46"/>
        <v>0</v>
      </c>
    </row>
    <row r="45" spans="2:30">
      <c r="I45" s="161" t="s">
        <v>65</v>
      </c>
    </row>
    <row r="46" spans="2:30">
      <c r="B46" s="163" t="s">
        <v>338</v>
      </c>
      <c r="F46" s="775">
        <v>2000</v>
      </c>
      <c r="G46" s="775">
        <v>2193</v>
      </c>
      <c r="H46" s="775">
        <v>2250</v>
      </c>
      <c r="I46" s="775">
        <v>2560</v>
      </c>
      <c r="J46" s="775">
        <v>3050</v>
      </c>
      <c r="K46" s="775">
        <v>3303</v>
      </c>
      <c r="L46" s="775">
        <v>3405</v>
      </c>
      <c r="M46" s="775">
        <v>3593</v>
      </c>
      <c r="N46" s="775">
        <f>Quarts!AU32</f>
        <v>3628</v>
      </c>
      <c r="O46" s="775">
        <v>3933</v>
      </c>
      <c r="P46" s="775">
        <v>4153.0469999999996</v>
      </c>
      <c r="Q46" s="775">
        <v>4397.9939999999997</v>
      </c>
      <c r="R46" s="775">
        <v>4945.826</v>
      </c>
      <c r="S46" s="775">
        <f>Quarts!BO32</f>
        <v>5520.1790000000001</v>
      </c>
      <c r="T46" s="263">
        <f t="shared" ref="T46:AD46" si="47">(T34+T25+T15)/T51</f>
        <v>5953.912127236581</v>
      </c>
      <c r="U46" s="263">
        <f t="shared" si="47"/>
        <v>6250.9300198807159</v>
      </c>
      <c r="V46" s="263">
        <f t="shared" si="47"/>
        <v>6441.7848906560639</v>
      </c>
      <c r="W46" s="263">
        <f t="shared" si="47"/>
        <v>6606.7948310139163</v>
      </c>
      <c r="X46" s="263">
        <f t="shared" si="47"/>
        <v>6736.0194831013914</v>
      </c>
      <c r="Y46" s="263">
        <f t="shared" si="47"/>
        <v>6837.4111332007951</v>
      </c>
      <c r="Z46" s="263">
        <f t="shared" si="47"/>
        <v>6889.1009940357853</v>
      </c>
      <c r="AA46" s="263">
        <f t="shared" si="47"/>
        <v>6914.94592445328</v>
      </c>
      <c r="AB46" s="263">
        <f t="shared" si="47"/>
        <v>6926.8743538767394</v>
      </c>
      <c r="AC46" s="263">
        <f t="shared" si="47"/>
        <v>6926.8743538767394</v>
      </c>
      <c r="AD46" s="263">
        <f t="shared" si="47"/>
        <v>6926.8743538767394</v>
      </c>
    </row>
    <row r="47" spans="2:30">
      <c r="B47" s="161" t="s">
        <v>339</v>
      </c>
      <c r="F47" s="264">
        <f t="shared" ref="F47:AD47" si="48">F46/F5</f>
        <v>0.34965034965034963</v>
      </c>
      <c r="G47" s="264">
        <f t="shared" si="48"/>
        <v>0.35314009661835749</v>
      </c>
      <c r="H47" s="264">
        <f t="shared" si="48"/>
        <v>0.34230944774075767</v>
      </c>
      <c r="I47" s="264">
        <f t="shared" si="48"/>
        <v>0.35684415946473375</v>
      </c>
      <c r="J47" s="264">
        <f t="shared" si="48"/>
        <v>0.40737277948443967</v>
      </c>
      <c r="K47" s="264">
        <f t="shared" si="48"/>
        <v>0.41980172852058972</v>
      </c>
      <c r="L47" s="264">
        <f t="shared" si="48"/>
        <v>0.41856177012907192</v>
      </c>
      <c r="M47" s="264">
        <f t="shared" si="48"/>
        <v>0.42631703844328428</v>
      </c>
      <c r="N47" s="264">
        <f t="shared" si="48"/>
        <v>0.41056166487960688</v>
      </c>
      <c r="O47" s="264">
        <f t="shared" si="48"/>
        <v>0.43919597989949749</v>
      </c>
      <c r="P47" s="264">
        <f t="shared" si="48"/>
        <v>0.43402869803315003</v>
      </c>
      <c r="Q47" s="264">
        <f t="shared" si="48"/>
        <v>0.38044213353069978</v>
      </c>
      <c r="R47" s="264">
        <f t="shared" si="48"/>
        <v>0.32036894638632041</v>
      </c>
      <c r="S47" s="264">
        <f t="shared" si="48"/>
        <v>0.3167167975232632</v>
      </c>
      <c r="T47" s="264">
        <f t="shared" si="48"/>
        <v>0.30935382167949604</v>
      </c>
      <c r="U47" s="264">
        <f t="shared" si="48"/>
        <v>0.30715159817815524</v>
      </c>
      <c r="V47" s="264">
        <f t="shared" si="48"/>
        <v>0.31042822554014549</v>
      </c>
      <c r="W47" s="264">
        <f t="shared" si="48"/>
        <v>0.31309915571088492</v>
      </c>
      <c r="X47" s="264">
        <f t="shared" si="48"/>
        <v>0.31474835124867689</v>
      </c>
      <c r="Y47" s="264">
        <f t="shared" si="48"/>
        <v>0.31579699853398063</v>
      </c>
      <c r="Z47" s="264">
        <f t="shared" si="48"/>
        <v>0.31527210773936992</v>
      </c>
      <c r="AA47" s="264">
        <f t="shared" si="48"/>
        <v>0.3135847008856209</v>
      </c>
      <c r="AB47" s="264">
        <f t="shared" si="48"/>
        <v>0.31130220311206908</v>
      </c>
      <c r="AC47" s="264">
        <f t="shared" si="48"/>
        <v>0.30852906839620409</v>
      </c>
      <c r="AD47" s="264">
        <f t="shared" si="48"/>
        <v>0.30580490458143256</v>
      </c>
    </row>
    <row r="48" spans="2:30">
      <c r="B48" s="161" t="s">
        <v>340</v>
      </c>
      <c r="G48" s="161">
        <f>G46-F46</f>
        <v>193</v>
      </c>
      <c r="H48" s="161">
        <f t="shared" ref="H48:P48" si="49">H46-G46</f>
        <v>57</v>
      </c>
      <c r="I48" s="161">
        <f t="shared" si="49"/>
        <v>310</v>
      </c>
      <c r="J48" s="161">
        <f t="shared" si="49"/>
        <v>490</v>
      </c>
      <c r="K48" s="161">
        <f t="shared" si="49"/>
        <v>253</v>
      </c>
      <c r="L48" s="161">
        <f t="shared" si="49"/>
        <v>102</v>
      </c>
      <c r="M48" s="161">
        <f t="shared" si="49"/>
        <v>188</v>
      </c>
      <c r="N48" s="161">
        <f t="shared" si="49"/>
        <v>35</v>
      </c>
      <c r="O48" s="161">
        <f t="shared" si="49"/>
        <v>305</v>
      </c>
      <c r="P48" s="263">
        <f t="shared" si="49"/>
        <v>220.04699999999957</v>
      </c>
      <c r="Q48" s="263">
        <f t="shared" ref="Q48:X48" si="50">Q46-P46</f>
        <v>244.94700000000012</v>
      </c>
      <c r="R48" s="263">
        <f t="shared" si="50"/>
        <v>547.83200000000033</v>
      </c>
      <c r="S48" s="263">
        <f t="shared" si="50"/>
        <v>574.35300000000007</v>
      </c>
      <c r="T48" s="263">
        <f t="shared" si="50"/>
        <v>433.73312723658091</v>
      </c>
      <c r="U48" s="263">
        <f t="shared" si="50"/>
        <v>297.01789264413492</v>
      </c>
      <c r="V48" s="263">
        <f t="shared" si="50"/>
        <v>190.85487077534799</v>
      </c>
      <c r="W48" s="263">
        <f t="shared" si="50"/>
        <v>165.00994035785243</v>
      </c>
      <c r="X48" s="263">
        <f t="shared" si="50"/>
        <v>129.22465208747508</v>
      </c>
      <c r="Y48" s="263">
        <f t="shared" ref="Y48:AD48" si="51">Y46-X46</f>
        <v>101.39165009940371</v>
      </c>
      <c r="Z48" s="263">
        <f t="shared" si="51"/>
        <v>51.689860834990213</v>
      </c>
      <c r="AA48" s="263">
        <f t="shared" si="51"/>
        <v>25.844930417494652</v>
      </c>
      <c r="AB48" s="263">
        <f t="shared" si="51"/>
        <v>11.92842942345942</v>
      </c>
      <c r="AC48" s="263">
        <f t="shared" si="51"/>
        <v>0</v>
      </c>
      <c r="AD48" s="263">
        <f t="shared" si="51"/>
        <v>0</v>
      </c>
    </row>
    <row r="49" spans="2:32">
      <c r="B49" s="161" t="s">
        <v>341</v>
      </c>
      <c r="P49" s="263"/>
      <c r="Q49" s="263"/>
      <c r="R49" s="263"/>
      <c r="S49" s="263"/>
      <c r="T49" s="263"/>
      <c r="U49" s="263"/>
      <c r="V49" s="263"/>
      <c r="W49" s="263"/>
      <c r="X49" s="263"/>
      <c r="Y49" s="973">
        <f>SUM(R48:Y48)/SUM(R7:Y7)</f>
        <v>0.24174023336289038</v>
      </c>
      <c r="Z49" s="263"/>
      <c r="AA49" s="263"/>
      <c r="AB49" s="263"/>
      <c r="AC49" s="263"/>
      <c r="AD49" s="263"/>
    </row>
    <row r="50" spans="2:32">
      <c r="P50" s="263"/>
      <c r="Q50" s="263"/>
      <c r="R50" s="263"/>
      <c r="S50" s="263"/>
      <c r="T50" s="263"/>
      <c r="U50" s="263"/>
      <c r="V50" s="263"/>
      <c r="W50" s="263"/>
      <c r="X50" s="263"/>
      <c r="Y50" s="263"/>
      <c r="Z50" s="263"/>
      <c r="AA50" s="263"/>
      <c r="AB50" s="263"/>
      <c r="AC50" s="263"/>
      <c r="AD50" s="263"/>
    </row>
    <row r="51" spans="2:32">
      <c r="B51" s="161" t="s">
        <v>55</v>
      </c>
      <c r="F51" s="275">
        <f t="shared" ref="F51:S51" si="52">(F15+F25+F34)/F46</f>
        <v>1.5609999999999999</v>
      </c>
      <c r="G51" s="275">
        <f t="shared" si="52"/>
        <v>1.5918832649338805</v>
      </c>
      <c r="H51" s="275">
        <f t="shared" si="52"/>
        <v>1.6319999999999999</v>
      </c>
      <c r="I51" s="275">
        <f t="shared" si="52"/>
        <v>1.74140625</v>
      </c>
      <c r="J51" s="275">
        <f t="shared" si="52"/>
        <v>1.8232786885245902</v>
      </c>
      <c r="K51" s="275">
        <f t="shared" si="52"/>
        <v>1.9300635785649409</v>
      </c>
      <c r="L51" s="275">
        <f t="shared" si="52"/>
        <v>2.094566813509545</v>
      </c>
      <c r="M51" s="275">
        <f t="shared" si="52"/>
        <v>2.2145839131644864</v>
      </c>
      <c r="N51" s="275">
        <f t="shared" si="52"/>
        <v>2.3299239250275634</v>
      </c>
      <c r="O51" s="275">
        <f t="shared" si="52"/>
        <v>2.4281718789727944</v>
      </c>
      <c r="P51" s="275">
        <f t="shared" si="52"/>
        <v>2.5053489642664775</v>
      </c>
      <c r="Q51" s="275">
        <f t="shared" si="52"/>
        <v>2.550617395112408</v>
      </c>
      <c r="R51" s="275">
        <f t="shared" si="52"/>
        <v>2.5714000047717005</v>
      </c>
      <c r="S51" s="275">
        <f t="shared" si="52"/>
        <v>2.5231180003402063</v>
      </c>
      <c r="T51" s="351">
        <v>2.5150000000000001</v>
      </c>
      <c r="U51" s="351">
        <f t="shared" ref="U51:AD51" si="53">T51</f>
        <v>2.5150000000000001</v>
      </c>
      <c r="V51" s="351">
        <f t="shared" si="53"/>
        <v>2.5150000000000001</v>
      </c>
      <c r="W51" s="351">
        <f t="shared" si="53"/>
        <v>2.5150000000000001</v>
      </c>
      <c r="X51" s="351">
        <f t="shared" si="53"/>
        <v>2.5150000000000001</v>
      </c>
      <c r="Y51" s="351">
        <f t="shared" si="53"/>
        <v>2.5150000000000001</v>
      </c>
      <c r="Z51" s="351">
        <f t="shared" si="53"/>
        <v>2.5150000000000001</v>
      </c>
      <c r="AA51" s="351">
        <f t="shared" si="53"/>
        <v>2.5150000000000001</v>
      </c>
      <c r="AB51" s="351">
        <f t="shared" si="53"/>
        <v>2.5150000000000001</v>
      </c>
      <c r="AC51" s="351">
        <f t="shared" si="53"/>
        <v>2.5150000000000001</v>
      </c>
      <c r="AD51" s="351">
        <f t="shared" si="53"/>
        <v>2.5150000000000001</v>
      </c>
    </row>
    <row r="52" spans="2:32">
      <c r="B52" s="161" t="s">
        <v>1127</v>
      </c>
      <c r="G52" s="275">
        <f t="shared" ref="G52:R52" si="54">G51-F51</f>
        <v>3.0883264933880605E-2</v>
      </c>
      <c r="H52" s="275">
        <f t="shared" si="54"/>
        <v>4.0116735066119347E-2</v>
      </c>
      <c r="I52" s="275">
        <f t="shared" si="54"/>
        <v>0.10940625000000015</v>
      </c>
      <c r="J52" s="275">
        <f t="shared" si="54"/>
        <v>8.1872438524590141E-2</v>
      </c>
      <c r="K52" s="275">
        <f t="shared" si="54"/>
        <v>0.10678489004035074</v>
      </c>
      <c r="L52" s="275">
        <f t="shared" si="54"/>
        <v>0.16450323494460406</v>
      </c>
      <c r="M52" s="275">
        <f t="shared" si="54"/>
        <v>0.12001709965494145</v>
      </c>
      <c r="N52" s="275">
        <f t="shared" si="54"/>
        <v>0.11534001186307696</v>
      </c>
      <c r="O52" s="275">
        <f t="shared" si="54"/>
        <v>9.8247953945231004E-2</v>
      </c>
      <c r="P52" s="275">
        <f t="shared" si="54"/>
        <v>7.7177085293683056E-2</v>
      </c>
      <c r="Q52" s="275">
        <f t="shared" si="54"/>
        <v>4.5268430845930574E-2</v>
      </c>
      <c r="R52" s="275">
        <f t="shared" si="54"/>
        <v>2.0782609659292461E-2</v>
      </c>
      <c r="S52" s="275">
        <f>S51-R51</f>
        <v>-4.8282004431494219E-2</v>
      </c>
      <c r="T52" s="275">
        <f t="shared" ref="T52:AD52" si="55">T51-S51</f>
        <v>-8.1180003402061551E-3</v>
      </c>
      <c r="U52" s="275">
        <f t="shared" si="55"/>
        <v>0</v>
      </c>
      <c r="V52" s="275">
        <f t="shared" si="55"/>
        <v>0</v>
      </c>
      <c r="W52" s="275">
        <f t="shared" si="55"/>
        <v>0</v>
      </c>
      <c r="X52" s="275">
        <f t="shared" si="55"/>
        <v>0</v>
      </c>
      <c r="Y52" s="275">
        <f t="shared" si="55"/>
        <v>0</v>
      </c>
      <c r="Z52" s="275">
        <f t="shared" si="55"/>
        <v>0</v>
      </c>
      <c r="AA52" s="275">
        <f t="shared" si="55"/>
        <v>0</v>
      </c>
      <c r="AB52" s="275">
        <f t="shared" si="55"/>
        <v>0</v>
      </c>
      <c r="AC52" s="275">
        <f t="shared" si="55"/>
        <v>0</v>
      </c>
      <c r="AD52" s="275">
        <f t="shared" si="55"/>
        <v>0</v>
      </c>
    </row>
    <row r="58" spans="2:32">
      <c r="B58" s="163" t="s">
        <v>342</v>
      </c>
    </row>
    <row r="59" spans="2:32">
      <c r="B59" s="161" t="s">
        <v>343</v>
      </c>
      <c r="F59" s="775">
        <f>SUM(Quarts!L67:O67)</f>
        <v>5011.26966705</v>
      </c>
      <c r="G59" s="775">
        <f>SUM(Quarts!P67:S67)</f>
        <v>5501.5720500000007</v>
      </c>
      <c r="H59" s="775">
        <f>SUM(Quarts!T67:W67)</f>
        <v>5947.2344999999996</v>
      </c>
      <c r="I59" s="775">
        <f>SUM(Quarts!X67:AA67)</f>
        <v>6239.0855217000008</v>
      </c>
      <c r="J59" s="775">
        <f>SUM(Quarts!AB67:AE67)</f>
        <v>6880.2556255</v>
      </c>
      <c r="K59" s="775">
        <f>SUM(Quarts!AF67:AI67)</f>
        <v>7775.6624948499993</v>
      </c>
      <c r="L59" s="775">
        <f>SUM(Quarts!AJ67:AM67)</f>
        <v>7490.3016378000002</v>
      </c>
      <c r="M59" s="775">
        <f>SUM(Quarts!AN67:AQ67)</f>
        <v>8128.7349387000004</v>
      </c>
      <c r="N59" s="775">
        <f>SUM(Quarts!AR67:AU67)</f>
        <v>8966.2410969499997</v>
      </c>
      <c r="O59" s="775">
        <f>SUM(Quarts!AV67:AY67)</f>
        <v>9245.9353932000013</v>
      </c>
      <c r="P59" s="775">
        <f>SUM(Quarts!AZ67:BC67)</f>
        <v>9480.2566471499995</v>
      </c>
      <c r="Q59" s="775">
        <f>SUM(Quarts!BD67:BG67)</f>
        <v>9876.7625811000016</v>
      </c>
      <c r="R59" s="775">
        <f>SUM(Quarts!BH67:BK67)</f>
        <v>10778.534942549999</v>
      </c>
      <c r="S59" s="775">
        <v>11093.579</v>
      </c>
      <c r="T59" s="1043">
        <f t="shared" ref="T59:AD59" si="56">T105*AVERAGE(S15,T15)*12/1000</f>
        <v>11583.474063991656</v>
      </c>
      <c r="U59" s="1043">
        <f t="shared" si="56"/>
        <v>12162.805792969582</v>
      </c>
      <c r="V59" s="1043">
        <f t="shared" si="56"/>
        <v>12643.417761025406</v>
      </c>
      <c r="W59" s="1043">
        <f t="shared" si="56"/>
        <v>13110.578717817538</v>
      </c>
      <c r="X59" s="1043">
        <f t="shared" si="56"/>
        <v>13536.988133475021</v>
      </c>
      <c r="Y59" s="1043">
        <f t="shared" si="56"/>
        <v>13876.668677651443</v>
      </c>
      <c r="Z59" s="1043">
        <f t="shared" si="56"/>
        <v>14143.475496586689</v>
      </c>
      <c r="AA59" s="1043">
        <f t="shared" si="56"/>
        <v>14328.660523833883</v>
      </c>
      <c r="AB59" s="1043">
        <f t="shared" si="56"/>
        <v>14453.989154192488</v>
      </c>
      <c r="AC59" s="1043">
        <f t="shared" si="56"/>
        <v>14541.674458357204</v>
      </c>
      <c r="AD59" s="1043">
        <f t="shared" si="56"/>
        <v>14614.382830648985</v>
      </c>
    </row>
    <row r="60" spans="2:32">
      <c r="B60" s="161" t="s">
        <v>38</v>
      </c>
      <c r="F60" s="775">
        <f>SUM(Quarts!L68:O68)</f>
        <v>1615.8040283999999</v>
      </c>
      <c r="G60" s="775">
        <f>SUM(Quarts!P68:S68)</f>
        <v>1796.5300499999998</v>
      </c>
      <c r="H60" s="775">
        <f>SUM(Quarts!T68:W68)</f>
        <v>2132.1165000000001</v>
      </c>
      <c r="I60" s="775">
        <f>SUM(Quarts!X68:AA68)</f>
        <v>2512.566965</v>
      </c>
      <c r="J60" s="775">
        <f>SUM(Quarts!AB68:AE68)</f>
        <v>3490.0319199999999</v>
      </c>
      <c r="K60" s="775">
        <f>SUM(Quarts!AF68:AI68)</f>
        <v>4457.5604041000006</v>
      </c>
      <c r="L60" s="775">
        <f>SUM(Quarts!AJ68:AM68)</f>
        <v>5137.1891435999996</v>
      </c>
      <c r="M60" s="775">
        <f>SUM(Quarts!AN68:AQ68)</f>
        <v>6056.1526047000007</v>
      </c>
      <c r="N60" s="775">
        <f>SUM(Quarts!AR68:AU68)</f>
        <v>6617.4883136999997</v>
      </c>
      <c r="O60" s="775">
        <f>SUM(Quarts!AV68:AY68)</f>
        <v>7178.6430369</v>
      </c>
      <c r="P60" s="775">
        <f>SUM(Quarts!AZ68:BC68)</f>
        <v>8202.1739376000005</v>
      </c>
      <c r="Q60" s="775">
        <f>SUM(Quarts!BD68:BG68)</f>
        <v>8988.8520795000004</v>
      </c>
      <c r="R60" s="775">
        <f>SUM(Quarts!BH68:BK68)</f>
        <v>10278.634920150002</v>
      </c>
      <c r="S60" s="775">
        <v>12350.602000000001</v>
      </c>
      <c r="T60" s="1043">
        <f t="shared" ref="T60:AD60" si="57">T107*AVERAGE(S25,T25)*12/1000</f>
        <v>13814.454901958286</v>
      </c>
      <c r="U60" s="1043">
        <f t="shared" si="57"/>
        <v>15074.273505017527</v>
      </c>
      <c r="V60" s="1043">
        <f t="shared" si="57"/>
        <v>15985.542144130201</v>
      </c>
      <c r="W60" s="1043">
        <f t="shared" si="57"/>
        <v>16625.479542510951</v>
      </c>
      <c r="X60" s="1043">
        <f t="shared" si="57"/>
        <v>17211.966095083728</v>
      </c>
      <c r="Y60" s="1043">
        <f t="shared" si="57"/>
        <v>17743.222280796919</v>
      </c>
      <c r="Z60" s="1043">
        <f t="shared" si="57"/>
        <v>18151.481342702144</v>
      </c>
      <c r="AA60" s="1043">
        <f t="shared" si="57"/>
        <v>18432.911202195552</v>
      </c>
      <c r="AB60" s="1043">
        <f t="shared" si="57"/>
        <v>18664.333605930125</v>
      </c>
      <c r="AC60" s="1043">
        <f t="shared" si="57"/>
        <v>18864.566720455074</v>
      </c>
      <c r="AD60" s="1043">
        <f t="shared" si="57"/>
        <v>19053.212387659623</v>
      </c>
    </row>
    <row r="61" spans="2:32">
      <c r="B61" s="161" t="s">
        <v>40</v>
      </c>
      <c r="F61" s="775">
        <f>SUM(Quarts!L69:O69)</f>
        <v>1132.9679225999998</v>
      </c>
      <c r="G61" s="775">
        <f>SUM(Quarts!P69:S69)</f>
        <v>1131.9396000000002</v>
      </c>
      <c r="H61" s="775">
        <f>SUM(Quarts!T69:W69)</f>
        <v>1228.62165</v>
      </c>
      <c r="I61" s="775">
        <f>SUM(Quarts!X69:AA69)</f>
        <v>1265.7480292</v>
      </c>
      <c r="J61" s="775">
        <f>SUM(Quarts!AB69:AE69)</f>
        <v>1357.288</v>
      </c>
      <c r="K61" s="775">
        <f>SUM(Quarts!AJ69:AM69)</f>
        <v>1641.2073165000002</v>
      </c>
      <c r="L61" s="775">
        <f>SUM(Quarts!AJ69:AM69)</f>
        <v>1641.2073165000002</v>
      </c>
      <c r="M61" s="775">
        <f>SUM(Quarts!AN69:AQ69)</f>
        <v>1656.3104122499999</v>
      </c>
      <c r="N61" s="775">
        <f>SUM(Quarts!AR69:AU69)</f>
        <v>1595.4044411499999</v>
      </c>
      <c r="O61" s="775">
        <f>SUM(Quarts!AV69:AY69)</f>
        <v>1832.6767752000001</v>
      </c>
      <c r="P61" s="775">
        <f>SUM(Quarts!AZ69:BC69)</f>
        <v>2337.3784965</v>
      </c>
      <c r="Q61" s="775">
        <f>SUM(Quarts!BD69:BG69)</f>
        <v>2459.61045375</v>
      </c>
      <c r="R61" s="775">
        <f>SUM(Quarts!BH69:BK69)</f>
        <v>2556.1935830999996</v>
      </c>
      <c r="S61" s="775">
        <v>2893.0630000000001</v>
      </c>
      <c r="T61" s="1043">
        <f t="shared" ref="T61:AD61" si="58">T109*AVERAGE(S34,T34)*12/1000</f>
        <v>3157.2575684415278</v>
      </c>
      <c r="U61" s="1043">
        <f t="shared" si="58"/>
        <v>3337.9128011780522</v>
      </c>
      <c r="V61" s="1043">
        <f t="shared" si="58"/>
        <v>3447.8750543632441</v>
      </c>
      <c r="W61" s="1043">
        <f t="shared" si="58"/>
        <v>3527.5578465264271</v>
      </c>
      <c r="X61" s="1043">
        <f t="shared" si="58"/>
        <v>3583.335801040655</v>
      </c>
      <c r="Y61" s="1043">
        <f t="shared" si="58"/>
        <v>3623.1771971222461</v>
      </c>
      <c r="Z61" s="1043">
        <f t="shared" si="58"/>
        <v>3648.6756906144637</v>
      </c>
      <c r="AA61" s="1043">
        <f t="shared" si="58"/>
        <v>3663.0185932038376</v>
      </c>
      <c r="AB61" s="1043">
        <f t="shared" si="58"/>
        <v>3670.9868724201556</v>
      </c>
      <c r="AC61" s="1043">
        <f t="shared" si="58"/>
        <v>3674.1741841066823</v>
      </c>
      <c r="AD61" s="1043">
        <f t="shared" si="58"/>
        <v>3674.1741841066823</v>
      </c>
    </row>
    <row r="62" spans="2:32">
      <c r="B62" s="855" t="s">
        <v>344</v>
      </c>
      <c r="C62" s="855"/>
      <c r="D62" s="855"/>
      <c r="E62" s="855"/>
      <c r="F62" s="866"/>
      <c r="G62" s="866"/>
      <c r="H62" s="866">
        <f>SUM(Quarts!T70:W70)</f>
        <v>77.46534999999966</v>
      </c>
      <c r="I62" s="866">
        <f>SUM(Quarts!X70:AA70)</f>
        <v>124.88148409999991</v>
      </c>
      <c r="J62" s="866">
        <f>SUM(Quarts!AB70:AE70)</f>
        <v>159.77445450000118</v>
      </c>
      <c r="K62" s="866">
        <f>SUM(Quarts!AJ70:AM70)</f>
        <v>129.44090209999996</v>
      </c>
      <c r="L62" s="866">
        <f>SUM(Quarts!AJ70:AM70)</f>
        <v>129.44090209999996</v>
      </c>
      <c r="M62" s="866">
        <f>SUM(Quarts!AN70:AQ70)</f>
        <v>147.36704434999899</v>
      </c>
      <c r="N62" s="866">
        <f>SUM(Quarts!AR70:AU70)</f>
        <v>166.5431482000007</v>
      </c>
      <c r="O62" s="866">
        <f>SUM(Quarts!AV70:AY70)</f>
        <v>228.67379469999901</v>
      </c>
      <c r="P62" s="866">
        <f>SUM(Quarts!AZ70:BC70)</f>
        <v>416.70491875000016</v>
      </c>
      <c r="Q62" s="866">
        <f>SUM(Quarts!BD70:BG70)</f>
        <v>650.33588564999866</v>
      </c>
      <c r="R62" s="866">
        <f>SUM(Quarts!BH70:BK70)</f>
        <v>854.19255420000229</v>
      </c>
      <c r="S62" s="866">
        <v>844.298</v>
      </c>
      <c r="T62" s="1044">
        <f t="shared" ref="T62:AD62" si="59">T125</f>
        <v>1106.7020799999998</v>
      </c>
      <c r="U62" s="1044">
        <f t="shared" si="59"/>
        <v>1351.3488340543952</v>
      </c>
      <c r="V62" s="1044">
        <f t="shared" si="59"/>
        <v>1542.7388411233428</v>
      </c>
      <c r="W62" s="1044">
        <f t="shared" si="59"/>
        <v>1662.8765594231186</v>
      </c>
      <c r="X62" s="1044">
        <f t="shared" si="59"/>
        <v>1787.9144470079252</v>
      </c>
      <c r="Y62" s="1044">
        <f t="shared" si="59"/>
        <v>1917.8826159090129</v>
      </c>
      <c r="Z62" s="1044">
        <f t="shared" si="59"/>
        <v>1994.1459575497724</v>
      </c>
      <c r="AA62" s="1044">
        <f t="shared" si="59"/>
        <v>2071.1064679940482</v>
      </c>
      <c r="AB62" s="1044">
        <f t="shared" si="59"/>
        <v>2148.7990056820145</v>
      </c>
      <c r="AC62" s="1044">
        <f t="shared" si="59"/>
        <v>2227.2601719758577</v>
      </c>
      <c r="AD62" s="1044">
        <f t="shared" si="59"/>
        <v>2306.5283983058703</v>
      </c>
    </row>
    <row r="63" spans="2:32">
      <c r="B63" s="163" t="s">
        <v>345</v>
      </c>
      <c r="C63" s="163"/>
      <c r="D63" s="163"/>
      <c r="E63" s="163"/>
      <c r="F63" s="308"/>
      <c r="G63" s="308"/>
      <c r="H63" s="308">
        <f>SUM(H59:H62)</f>
        <v>9385.4380000000001</v>
      </c>
      <c r="I63" s="308">
        <f t="shared" ref="I63:R63" si="60">SUM(I59:I62)</f>
        <v>10142.282000000001</v>
      </c>
      <c r="J63" s="308">
        <f t="shared" si="60"/>
        <v>11887.35</v>
      </c>
      <c r="K63" s="308">
        <f t="shared" si="60"/>
        <v>14003.871117549999</v>
      </c>
      <c r="L63" s="308">
        <f t="shared" si="60"/>
        <v>14398.138999999999</v>
      </c>
      <c r="M63" s="308">
        <f t="shared" si="60"/>
        <v>15988.565000000001</v>
      </c>
      <c r="N63" s="308">
        <f t="shared" si="60"/>
        <v>17345.677</v>
      </c>
      <c r="O63" s="308">
        <f t="shared" si="60"/>
        <v>18485.929000000004</v>
      </c>
      <c r="P63" s="308">
        <f t="shared" si="60"/>
        <v>20436.514000000003</v>
      </c>
      <c r="Q63" s="308">
        <f t="shared" si="60"/>
        <v>21975.561000000002</v>
      </c>
      <c r="R63" s="308">
        <f t="shared" si="60"/>
        <v>24467.556000000004</v>
      </c>
      <c r="S63" s="778">
        <v>27181.541000000001</v>
      </c>
      <c r="T63" s="778">
        <v>30003.593000000001</v>
      </c>
      <c r="U63" s="308">
        <f t="shared" ref="U63:AD63" si="61">T63*(1+U64)</f>
        <v>33003.952300000004</v>
      </c>
      <c r="V63" s="308">
        <f t="shared" si="61"/>
        <v>35314.228961000008</v>
      </c>
      <c r="W63" s="308">
        <f t="shared" si="61"/>
        <v>37433.082698660008</v>
      </c>
      <c r="X63" s="308">
        <f t="shared" si="61"/>
        <v>39304.736833593008</v>
      </c>
      <c r="Y63" s="308">
        <f t="shared" si="61"/>
        <v>40778.664464852751</v>
      </c>
      <c r="Z63" s="308">
        <f t="shared" si="61"/>
        <v>41390.344431825535</v>
      </c>
      <c r="AA63" s="308">
        <f t="shared" si="61"/>
        <v>42011.199598302912</v>
      </c>
      <c r="AB63" s="308">
        <f t="shared" si="61"/>
        <v>42641.367592277449</v>
      </c>
      <c r="AC63" s="308">
        <f t="shared" si="61"/>
        <v>43280.988106161603</v>
      </c>
      <c r="AD63" s="308">
        <f t="shared" si="61"/>
        <v>43930.20292775402</v>
      </c>
      <c r="AE63" s="969"/>
      <c r="AF63" s="265">
        <f>Quarts!ED87</f>
        <v>8.1073720710792108E-2</v>
      </c>
    </row>
    <row r="64" spans="2:32">
      <c r="B64" s="163" t="s">
        <v>439</v>
      </c>
      <c r="C64" s="163"/>
      <c r="D64" s="163"/>
      <c r="E64" s="163"/>
      <c r="F64" s="294"/>
      <c r="G64" s="294"/>
      <c r="H64" s="294"/>
      <c r="I64" s="284">
        <f t="shared" ref="I64:T64" si="62">I63/H63-1</f>
        <v>8.0640242895430259E-2</v>
      </c>
      <c r="J64" s="284">
        <f t="shared" si="62"/>
        <v>0.17205871420258267</v>
      </c>
      <c r="K64" s="284">
        <f t="shared" si="62"/>
        <v>0.17804818715272952</v>
      </c>
      <c r="L64" s="284">
        <f t="shared" si="62"/>
        <v>2.815420672901614E-2</v>
      </c>
      <c r="M64" s="284">
        <f t="shared" si="62"/>
        <v>0.11046052548874563</v>
      </c>
      <c r="N64" s="284">
        <f t="shared" si="62"/>
        <v>8.4880162791344915E-2</v>
      </c>
      <c r="O64" s="284">
        <f t="shared" si="62"/>
        <v>6.5736955669127406E-2</v>
      </c>
      <c r="P64" s="284">
        <f t="shared" si="62"/>
        <v>0.10551728290203854</v>
      </c>
      <c r="Q64" s="284">
        <f t="shared" si="62"/>
        <v>7.5308685228801631E-2</v>
      </c>
      <c r="R64" s="284">
        <f t="shared" si="62"/>
        <v>0.11339847023700567</v>
      </c>
      <c r="S64" s="284">
        <f t="shared" si="62"/>
        <v>0.1109217855677942</v>
      </c>
      <c r="T64" s="284">
        <f t="shared" si="62"/>
        <v>0.10382236974717518</v>
      </c>
      <c r="U64" s="974">
        <v>0.1</v>
      </c>
      <c r="V64" s="974">
        <v>7.0000000000000007E-2</v>
      </c>
      <c r="W64" s="974">
        <v>0.06</v>
      </c>
      <c r="X64" s="974">
        <v>0.05</v>
      </c>
      <c r="Y64" s="974">
        <v>3.7499999999999999E-2</v>
      </c>
      <c r="Z64" s="974">
        <v>1.4999999999999999E-2</v>
      </c>
      <c r="AA64" s="974">
        <v>1.4999999999999999E-2</v>
      </c>
      <c r="AB64" s="974">
        <v>1.4999999999999999E-2</v>
      </c>
      <c r="AC64" s="974">
        <v>1.4999999999999999E-2</v>
      </c>
      <c r="AD64" s="974">
        <v>1.4999999999999999E-2</v>
      </c>
    </row>
    <row r="65" spans="2:32">
      <c r="F65" s="263"/>
      <c r="G65" s="263"/>
      <c r="H65" s="263"/>
      <c r="I65" s="265"/>
      <c r="J65" s="265"/>
      <c r="K65" s="265"/>
      <c r="L65" s="265"/>
      <c r="M65" s="265"/>
      <c r="N65" s="265"/>
      <c r="O65" s="265"/>
      <c r="P65" s="265"/>
      <c r="Q65" s="265"/>
      <c r="R65" s="265"/>
      <c r="S65" s="265"/>
      <c r="T65" s="265"/>
      <c r="U65" s="265"/>
      <c r="V65" s="265"/>
      <c r="W65" s="265"/>
      <c r="X65" s="265"/>
      <c r="Y65" s="265"/>
      <c r="Z65" s="265"/>
      <c r="AA65" s="265"/>
      <c r="AB65" s="265"/>
      <c r="AC65" s="265"/>
      <c r="AD65" s="265"/>
    </row>
    <row r="66" spans="2:32">
      <c r="B66" s="163" t="s">
        <v>3385</v>
      </c>
      <c r="D66" s="307"/>
      <c r="E66" s="307"/>
      <c r="F66" s="307"/>
      <c r="G66" s="265"/>
      <c r="H66" s="265"/>
      <c r="I66" s="265"/>
      <c r="J66" s="265"/>
      <c r="K66" s="265"/>
      <c r="L66" s="265"/>
      <c r="M66" s="265"/>
      <c r="N66" s="265"/>
      <c r="O66" s="265"/>
      <c r="P66" s="265"/>
      <c r="Q66" s="265"/>
      <c r="R66" s="265"/>
      <c r="S66" s="265"/>
      <c r="T66" s="265"/>
      <c r="U66" s="265"/>
      <c r="V66" s="265"/>
      <c r="W66" s="265"/>
      <c r="X66" s="265"/>
      <c r="Y66" s="265"/>
      <c r="Z66" s="265"/>
      <c r="AA66" s="265"/>
      <c r="AB66" s="265"/>
      <c r="AC66" s="265"/>
      <c r="AD66" s="265"/>
    </row>
    <row r="67" spans="2:32">
      <c r="B67" s="161" t="s">
        <v>349</v>
      </c>
      <c r="D67" s="307"/>
      <c r="E67" s="307"/>
      <c r="F67" s="307"/>
      <c r="G67" s="307"/>
      <c r="H67" s="775">
        <v>138</v>
      </c>
      <c r="I67" s="775">
        <v>246</v>
      </c>
      <c r="J67" s="775">
        <v>394</v>
      </c>
      <c r="K67" s="775">
        <v>655</v>
      </c>
      <c r="L67" s="775">
        <v>942</v>
      </c>
      <c r="M67" s="775">
        <v>1548</v>
      </c>
      <c r="N67" s="775">
        <f>Quarts!AU76+Quarts!AT76+Quarts!AS76+Quarts!AR76</f>
        <v>1838.2629999999999</v>
      </c>
      <c r="O67" s="775">
        <v>1878</v>
      </c>
      <c r="P67" s="775">
        <v>2104</v>
      </c>
      <c r="Q67" s="775">
        <v>2592.4009999999998</v>
      </c>
      <c r="R67" s="775">
        <v>2841.8989999999999</v>
      </c>
      <c r="S67" s="1043">
        <v>3050</v>
      </c>
      <c r="T67" s="1043">
        <f t="shared" ref="T67:AD67" si="63">S67*1.1</f>
        <v>3355.0000000000005</v>
      </c>
      <c r="U67" s="1043">
        <f t="shared" si="63"/>
        <v>3690.5000000000009</v>
      </c>
      <c r="V67" s="1043">
        <f t="shared" si="63"/>
        <v>4059.5500000000015</v>
      </c>
      <c r="W67" s="1043">
        <f t="shared" si="63"/>
        <v>4465.5050000000019</v>
      </c>
      <c r="X67" s="1043">
        <f t="shared" si="63"/>
        <v>4912.0555000000022</v>
      </c>
      <c r="Y67" s="1043">
        <f t="shared" si="63"/>
        <v>5403.2610500000028</v>
      </c>
      <c r="Z67" s="1043">
        <f t="shared" si="63"/>
        <v>5943.5871550000038</v>
      </c>
      <c r="AA67" s="1043">
        <f t="shared" si="63"/>
        <v>6537.9458705000043</v>
      </c>
      <c r="AB67" s="1043">
        <f t="shared" si="63"/>
        <v>7191.740457550005</v>
      </c>
      <c r="AC67" s="1043">
        <f t="shared" si="63"/>
        <v>7910.9145033050063</v>
      </c>
      <c r="AD67" s="1043">
        <f t="shared" si="63"/>
        <v>8702.0059536355075</v>
      </c>
    </row>
    <row r="68" spans="2:32">
      <c r="B68" s="161" t="s">
        <v>350</v>
      </c>
      <c r="D68" s="307"/>
      <c r="E68" s="307"/>
      <c r="F68" s="307"/>
      <c r="G68" s="307"/>
      <c r="H68" s="775">
        <v>423</v>
      </c>
      <c r="I68" s="775">
        <v>534</v>
      </c>
      <c r="J68" s="775">
        <v>618</v>
      </c>
      <c r="K68" s="775">
        <v>723</v>
      </c>
      <c r="L68" s="775">
        <v>839</v>
      </c>
      <c r="M68" s="775">
        <v>960</v>
      </c>
      <c r="N68" s="775">
        <v>1046</v>
      </c>
      <c r="O68" s="775">
        <v>1100</v>
      </c>
      <c r="P68" s="775">
        <v>1062</v>
      </c>
      <c r="Q68" s="775">
        <v>1205.421</v>
      </c>
      <c r="R68" s="775">
        <v>1263.385</v>
      </c>
      <c r="S68" s="1043">
        <v>1170</v>
      </c>
      <c r="T68" s="1043">
        <f t="shared" ref="T68:AD68" si="64">S68*1.05</f>
        <v>1228.5</v>
      </c>
      <c r="U68" s="1043">
        <f t="shared" si="64"/>
        <v>1289.925</v>
      </c>
      <c r="V68" s="1043">
        <f t="shared" si="64"/>
        <v>1354.4212500000001</v>
      </c>
      <c r="W68" s="1043">
        <f t="shared" si="64"/>
        <v>1422.1423125000001</v>
      </c>
      <c r="X68" s="1043">
        <f t="shared" si="64"/>
        <v>1493.2494281250001</v>
      </c>
      <c r="Y68" s="1043">
        <f t="shared" si="64"/>
        <v>1567.9118995312501</v>
      </c>
      <c r="Z68" s="1043">
        <f t="shared" si="64"/>
        <v>1646.3074945078126</v>
      </c>
      <c r="AA68" s="1043">
        <f t="shared" si="64"/>
        <v>1728.6228692332033</v>
      </c>
      <c r="AB68" s="1043">
        <f t="shared" si="64"/>
        <v>1815.0540126948636</v>
      </c>
      <c r="AC68" s="1043">
        <f t="shared" si="64"/>
        <v>1905.8067133296067</v>
      </c>
      <c r="AD68" s="1043">
        <f t="shared" si="64"/>
        <v>2001.0970489960871</v>
      </c>
    </row>
    <row r="69" spans="2:32">
      <c r="B69" s="161" t="s">
        <v>351</v>
      </c>
      <c r="D69" s="307"/>
      <c r="E69" s="307"/>
      <c r="F69" s="307"/>
      <c r="G69" s="307"/>
      <c r="H69" s="775">
        <v>130</v>
      </c>
      <c r="I69" s="775">
        <v>442</v>
      </c>
      <c r="J69" s="775">
        <f>491+710</f>
        <v>1201</v>
      </c>
      <c r="K69" s="775">
        <v>1459</v>
      </c>
      <c r="L69" s="775">
        <v>735</v>
      </c>
      <c r="M69" s="775">
        <v>639</v>
      </c>
      <c r="N69" s="775">
        <v>1052</v>
      </c>
      <c r="O69" s="775">
        <v>623</v>
      </c>
      <c r="P69" s="775">
        <v>708</v>
      </c>
      <c r="Q69" s="775">
        <v>1016.019</v>
      </c>
      <c r="R69" s="775">
        <v>929.66499999999996</v>
      </c>
      <c r="S69" s="1043">
        <v>1150</v>
      </c>
      <c r="T69" s="1043">
        <f t="shared" ref="T69:AD69" si="65">S69*1.1</f>
        <v>1265</v>
      </c>
      <c r="U69" s="1043">
        <f t="shared" si="65"/>
        <v>1391.5</v>
      </c>
      <c r="V69" s="1043">
        <f t="shared" si="65"/>
        <v>1530.65</v>
      </c>
      <c r="W69" s="1043">
        <f t="shared" si="65"/>
        <v>1683.7150000000001</v>
      </c>
      <c r="X69" s="1043">
        <f t="shared" si="65"/>
        <v>1852.0865000000003</v>
      </c>
      <c r="Y69" s="1043">
        <f t="shared" si="65"/>
        <v>2037.2951500000006</v>
      </c>
      <c r="Z69" s="1043">
        <f t="shared" si="65"/>
        <v>2241.0246650000008</v>
      </c>
      <c r="AA69" s="1043">
        <f t="shared" si="65"/>
        <v>2465.1271315000013</v>
      </c>
      <c r="AB69" s="1043">
        <f t="shared" si="65"/>
        <v>2711.6398446500016</v>
      </c>
      <c r="AC69" s="1043">
        <f t="shared" si="65"/>
        <v>2982.8038291150019</v>
      </c>
      <c r="AD69" s="1043">
        <f t="shared" si="65"/>
        <v>3281.0842120265024</v>
      </c>
      <c r="AF69" s="264"/>
    </row>
    <row r="70" spans="2:32">
      <c r="B70" s="855" t="s">
        <v>352</v>
      </c>
      <c r="C70" s="855"/>
      <c r="D70" s="856"/>
      <c r="E70" s="856"/>
      <c r="F70" s="856"/>
      <c r="G70" s="856"/>
      <c r="H70" s="866">
        <v>0</v>
      </c>
      <c r="I70" s="866">
        <v>111</v>
      </c>
      <c r="J70" s="866">
        <v>457</v>
      </c>
      <c r="K70" s="866">
        <v>288</v>
      </c>
      <c r="L70" s="866">
        <v>299</v>
      </c>
      <c r="M70" s="866">
        <v>301</v>
      </c>
      <c r="N70" s="866">
        <v>321</v>
      </c>
      <c r="O70" s="866">
        <v>304</v>
      </c>
      <c r="P70" s="866">
        <v>323.88200000000001</v>
      </c>
      <c r="Q70" s="866">
        <v>365.88900000000001</v>
      </c>
      <c r="R70" s="866">
        <v>368.036</v>
      </c>
      <c r="S70" s="1044">
        <f>R70</f>
        <v>368.036</v>
      </c>
      <c r="T70" s="1044">
        <f t="shared" ref="T70:AD70" si="66">S70*1.02</f>
        <v>375.39672000000002</v>
      </c>
      <c r="U70" s="1044">
        <f t="shared" si="66"/>
        <v>382.90465440000003</v>
      </c>
      <c r="V70" s="1044">
        <f t="shared" si="66"/>
        <v>390.56274748800001</v>
      </c>
      <c r="W70" s="1044">
        <f t="shared" si="66"/>
        <v>398.37400243776</v>
      </c>
      <c r="X70" s="1044">
        <f t="shared" si="66"/>
        <v>406.34148248651519</v>
      </c>
      <c r="Y70" s="1044">
        <f t="shared" si="66"/>
        <v>414.46831213624552</v>
      </c>
      <c r="Z70" s="1044">
        <f t="shared" si="66"/>
        <v>422.75767837897041</v>
      </c>
      <c r="AA70" s="1044">
        <f t="shared" si="66"/>
        <v>431.21283194654984</v>
      </c>
      <c r="AB70" s="1044">
        <f t="shared" si="66"/>
        <v>439.83708858548084</v>
      </c>
      <c r="AC70" s="1044">
        <f t="shared" si="66"/>
        <v>448.63383035719045</v>
      </c>
      <c r="AD70" s="1044">
        <f t="shared" si="66"/>
        <v>457.60650696433424</v>
      </c>
    </row>
    <row r="71" spans="2:32">
      <c r="B71" s="161" t="s">
        <v>39</v>
      </c>
      <c r="D71" s="307"/>
      <c r="E71" s="307"/>
      <c r="F71" s="307"/>
      <c r="G71" s="307"/>
      <c r="H71" s="307">
        <f t="shared" ref="H71:J71" si="67">SUM(H67:H70)</f>
        <v>691</v>
      </c>
      <c r="I71" s="307">
        <f t="shared" si="67"/>
        <v>1333</v>
      </c>
      <c r="J71" s="307">
        <f t="shared" si="67"/>
        <v>2670</v>
      </c>
      <c r="K71" s="307">
        <f t="shared" ref="K71:R71" si="68">SUM(K67:K70)</f>
        <v>3125</v>
      </c>
      <c r="L71" s="307">
        <f t="shared" si="68"/>
        <v>2815</v>
      </c>
      <c r="M71" s="307">
        <f t="shared" si="68"/>
        <v>3448</v>
      </c>
      <c r="N71" s="307">
        <f t="shared" si="68"/>
        <v>4257.2629999999999</v>
      </c>
      <c r="O71" s="307">
        <f t="shared" si="68"/>
        <v>3905</v>
      </c>
      <c r="P71" s="307">
        <f t="shared" si="68"/>
        <v>4197.8819999999996</v>
      </c>
      <c r="Q71" s="307">
        <f t="shared" si="68"/>
        <v>5179.7300000000005</v>
      </c>
      <c r="R71" s="307">
        <f t="shared" si="68"/>
        <v>5402.9849999999997</v>
      </c>
      <c r="S71" s="307">
        <f>S79</f>
        <v>5659.3059999999996</v>
      </c>
      <c r="T71" s="307">
        <f>T79</f>
        <v>5426.1180000000004</v>
      </c>
      <c r="U71" s="307">
        <f t="shared" ref="U71:AD71" si="69">T71*(1+U72)</f>
        <v>5480.3791800000008</v>
      </c>
      <c r="V71" s="307">
        <f t="shared" si="69"/>
        <v>5754.3981390000008</v>
      </c>
      <c r="W71" s="307">
        <f t="shared" si="69"/>
        <v>6042.118045950001</v>
      </c>
      <c r="X71" s="307">
        <f t="shared" si="69"/>
        <v>6344.2239482475015</v>
      </c>
      <c r="Y71" s="307">
        <f t="shared" si="69"/>
        <v>6661.435145659877</v>
      </c>
      <c r="Z71" s="307">
        <f t="shared" si="69"/>
        <v>6994.5069029428714</v>
      </c>
      <c r="AA71" s="307">
        <f t="shared" si="69"/>
        <v>7344.2322480900157</v>
      </c>
      <c r="AB71" s="307">
        <f t="shared" si="69"/>
        <v>7711.4438604945171</v>
      </c>
      <c r="AC71" s="307">
        <f t="shared" si="69"/>
        <v>8097.0160535192435</v>
      </c>
      <c r="AD71" s="307">
        <f t="shared" si="69"/>
        <v>8501.8668561952054</v>
      </c>
    </row>
    <row r="72" spans="2:32">
      <c r="B72" s="161" t="s">
        <v>131</v>
      </c>
      <c r="D72" s="307"/>
      <c r="E72" s="307"/>
      <c r="F72" s="307"/>
      <c r="G72" s="265"/>
      <c r="H72" s="265"/>
      <c r="I72" s="265">
        <f t="shared" ref="I72:T72" si="70">I71/H71-1</f>
        <v>0.9290882778581766</v>
      </c>
      <c r="J72" s="265">
        <f t="shared" si="70"/>
        <v>1.0030007501875469</v>
      </c>
      <c r="K72" s="265">
        <f t="shared" si="70"/>
        <v>0.17041198501872667</v>
      </c>
      <c r="L72" s="265">
        <f t="shared" si="70"/>
        <v>-9.9199999999999955E-2</v>
      </c>
      <c r="M72" s="265">
        <f t="shared" si="70"/>
        <v>0.22486678507992885</v>
      </c>
      <c r="N72" s="265">
        <f t="shared" si="70"/>
        <v>0.23470504640371237</v>
      </c>
      <c r="O72" s="265">
        <f t="shared" si="70"/>
        <v>-8.2744007123825791E-2</v>
      </c>
      <c r="P72" s="265">
        <f t="shared" si="70"/>
        <v>7.5001792573623494E-2</v>
      </c>
      <c r="Q72" s="265">
        <f t="shared" si="70"/>
        <v>0.23389128136522208</v>
      </c>
      <c r="R72" s="265">
        <f t="shared" si="70"/>
        <v>4.3101667461431292E-2</v>
      </c>
      <c r="S72" s="265">
        <f t="shared" si="70"/>
        <v>4.7440627727080464E-2</v>
      </c>
      <c r="T72" s="265">
        <f t="shared" si="70"/>
        <v>-4.1204345550496679E-2</v>
      </c>
      <c r="U72" s="292">
        <v>0.01</v>
      </c>
      <c r="V72" s="292">
        <v>0.05</v>
      </c>
      <c r="W72" s="292">
        <v>0.05</v>
      </c>
      <c r="X72" s="292">
        <v>0.05</v>
      </c>
      <c r="Y72" s="292">
        <v>0.05</v>
      </c>
      <c r="Z72" s="292">
        <v>0.05</v>
      </c>
      <c r="AA72" s="292">
        <v>0.05</v>
      </c>
      <c r="AB72" s="292">
        <v>0.05</v>
      </c>
      <c r="AC72" s="292">
        <v>0.05</v>
      </c>
      <c r="AD72" s="292">
        <v>0.05</v>
      </c>
    </row>
    <row r="73" spans="2:32">
      <c r="D73" s="307"/>
      <c r="E73" s="307"/>
      <c r="F73" s="307"/>
      <c r="G73" s="265"/>
      <c r="H73" s="265"/>
      <c r="I73" s="265"/>
      <c r="J73" s="265"/>
      <c r="K73" s="265"/>
      <c r="L73" s="265"/>
      <c r="M73" s="265"/>
      <c r="N73" s="265"/>
      <c r="O73" s="265"/>
      <c r="P73" s="265"/>
      <c r="Q73" s="265"/>
      <c r="R73" s="265"/>
      <c r="S73" s="265"/>
      <c r="T73" s="265"/>
      <c r="U73" s="265"/>
      <c r="V73" s="265"/>
      <c r="W73" s="265"/>
      <c r="X73" s="265"/>
      <c r="Y73" s="265"/>
      <c r="Z73" s="265"/>
      <c r="AA73" s="265"/>
      <c r="AB73" s="265"/>
      <c r="AC73" s="265"/>
      <c r="AD73" s="265"/>
    </row>
    <row r="74" spans="2:32">
      <c r="B74" s="161" t="s">
        <v>353</v>
      </c>
      <c r="D74" s="307"/>
      <c r="E74" s="307"/>
      <c r="F74" s="307"/>
      <c r="G74" s="307"/>
      <c r="H74" s="307">
        <f t="shared" ref="H74:AD74" si="71">H67+H69</f>
        <v>268</v>
      </c>
      <c r="I74" s="307">
        <f t="shared" si="71"/>
        <v>688</v>
      </c>
      <c r="J74" s="307">
        <f t="shared" si="71"/>
        <v>1595</v>
      </c>
      <c r="K74" s="307">
        <f t="shared" si="71"/>
        <v>2114</v>
      </c>
      <c r="L74" s="307">
        <f t="shared" si="71"/>
        <v>1677</v>
      </c>
      <c r="M74" s="307">
        <f t="shared" si="71"/>
        <v>2187</v>
      </c>
      <c r="N74" s="307">
        <f t="shared" si="71"/>
        <v>2890.2629999999999</v>
      </c>
      <c r="O74" s="307">
        <f t="shared" si="71"/>
        <v>2501</v>
      </c>
      <c r="P74" s="307">
        <f t="shared" si="71"/>
        <v>2812</v>
      </c>
      <c r="Q74" s="307">
        <f t="shared" si="71"/>
        <v>3608.42</v>
      </c>
      <c r="R74" s="307">
        <f t="shared" si="71"/>
        <v>3771.5639999999999</v>
      </c>
      <c r="S74" s="307">
        <f t="shared" si="71"/>
        <v>4200</v>
      </c>
      <c r="T74" s="307">
        <f t="shared" si="71"/>
        <v>4620</v>
      </c>
      <c r="U74" s="307">
        <f t="shared" si="71"/>
        <v>5082.0000000000009</v>
      </c>
      <c r="V74" s="307">
        <f t="shared" si="71"/>
        <v>5590.2000000000016</v>
      </c>
      <c r="W74" s="307">
        <f t="shared" si="71"/>
        <v>6149.2200000000021</v>
      </c>
      <c r="X74" s="307">
        <f t="shared" si="71"/>
        <v>6764.1420000000026</v>
      </c>
      <c r="Y74" s="307">
        <f t="shared" si="71"/>
        <v>7440.5562000000036</v>
      </c>
      <c r="Z74" s="307">
        <f t="shared" si="71"/>
        <v>8184.6118200000046</v>
      </c>
      <c r="AA74" s="307">
        <f t="shared" si="71"/>
        <v>9003.0730020000046</v>
      </c>
      <c r="AB74" s="307">
        <f t="shared" si="71"/>
        <v>9903.3803022000066</v>
      </c>
      <c r="AC74" s="307">
        <f t="shared" si="71"/>
        <v>10893.718332420009</v>
      </c>
      <c r="AD74" s="307">
        <f t="shared" si="71"/>
        <v>11983.09016566201</v>
      </c>
    </row>
    <row r="75" spans="2:32">
      <c r="B75" s="161" t="s">
        <v>131</v>
      </c>
      <c r="D75" s="307"/>
      <c r="E75" s="307"/>
      <c r="F75" s="307"/>
      <c r="G75" s="265"/>
      <c r="H75" s="263"/>
      <c r="I75" s="264">
        <f t="shared" ref="I75:AD75" si="72">I74/H74-1</f>
        <v>1.5671641791044775</v>
      </c>
      <c r="J75" s="264">
        <f t="shared" si="72"/>
        <v>1.3183139534883721</v>
      </c>
      <c r="K75" s="264">
        <f t="shared" si="72"/>
        <v>0.32539184952978051</v>
      </c>
      <c r="L75" s="264">
        <f t="shared" si="72"/>
        <v>-0.20671712393566699</v>
      </c>
      <c r="M75" s="264">
        <f t="shared" si="72"/>
        <v>0.30411449016100178</v>
      </c>
      <c r="N75" s="264">
        <f t="shared" si="72"/>
        <v>0.32156515775034289</v>
      </c>
      <c r="O75" s="264">
        <f t="shared" si="72"/>
        <v>-0.13468082316384355</v>
      </c>
      <c r="P75" s="264">
        <f t="shared" si="72"/>
        <v>0.12435025989604154</v>
      </c>
      <c r="Q75" s="264">
        <f t="shared" si="72"/>
        <v>0.283221906116643</v>
      </c>
      <c r="R75" s="264">
        <f t="shared" si="72"/>
        <v>4.5212031858818946E-2</v>
      </c>
      <c r="S75" s="264">
        <f t="shared" si="72"/>
        <v>0.11359637540288325</v>
      </c>
      <c r="T75" s="264">
        <f t="shared" si="72"/>
        <v>0.10000000000000009</v>
      </c>
      <c r="U75" s="264">
        <f t="shared" si="72"/>
        <v>0.10000000000000009</v>
      </c>
      <c r="V75" s="264">
        <f t="shared" si="72"/>
        <v>0.10000000000000009</v>
      </c>
      <c r="W75" s="264">
        <f t="shared" si="72"/>
        <v>0.10000000000000009</v>
      </c>
      <c r="X75" s="264">
        <f t="shared" si="72"/>
        <v>0.10000000000000009</v>
      </c>
      <c r="Y75" s="264">
        <f t="shared" si="72"/>
        <v>0.10000000000000009</v>
      </c>
      <c r="Z75" s="264">
        <f t="shared" si="72"/>
        <v>0.10000000000000009</v>
      </c>
      <c r="AA75" s="264">
        <f t="shared" si="72"/>
        <v>9.9999999999999867E-2</v>
      </c>
      <c r="AB75" s="264">
        <f t="shared" si="72"/>
        <v>0.10000000000000009</v>
      </c>
      <c r="AC75" s="264">
        <f t="shared" si="72"/>
        <v>0.10000000000000009</v>
      </c>
      <c r="AD75" s="264">
        <f t="shared" si="72"/>
        <v>0.10000000000000009</v>
      </c>
    </row>
    <row r="76" spans="2:32">
      <c r="F76" s="263"/>
      <c r="G76" s="263"/>
      <c r="H76" s="263"/>
      <c r="I76" s="265"/>
      <c r="J76" s="265"/>
      <c r="K76" s="265"/>
      <c r="L76" s="265"/>
      <c r="M76" s="265"/>
      <c r="N76" s="265"/>
      <c r="O76" s="265"/>
      <c r="P76" s="265"/>
      <c r="Q76" s="265"/>
      <c r="R76" s="265"/>
      <c r="S76" s="265"/>
      <c r="T76" s="265"/>
      <c r="U76" s="265"/>
      <c r="V76" s="265"/>
      <c r="W76" s="265"/>
      <c r="X76" s="265"/>
      <c r="Y76" s="265"/>
      <c r="Z76" s="265"/>
      <c r="AA76" s="265"/>
      <c r="AB76" s="265"/>
      <c r="AC76" s="265"/>
      <c r="AD76" s="265"/>
    </row>
    <row r="77" spans="2:32">
      <c r="B77" s="161" t="s">
        <v>455</v>
      </c>
      <c r="F77" s="263"/>
      <c r="G77" s="263"/>
      <c r="H77" s="263"/>
      <c r="I77" s="265"/>
      <c r="J77" s="265"/>
      <c r="K77" s="265"/>
      <c r="L77" s="265"/>
      <c r="M77" s="265"/>
      <c r="N77" s="265"/>
      <c r="O77" s="265"/>
      <c r="P77" s="265"/>
      <c r="Q77" s="265"/>
      <c r="R77" s="265"/>
      <c r="S77" s="775">
        <v>5283.348</v>
      </c>
      <c r="T77" s="775">
        <v>5040.4579999999996</v>
      </c>
      <c r="U77" s="265"/>
      <c r="V77" s="265"/>
      <c r="W77" s="265"/>
      <c r="X77" s="265"/>
      <c r="Y77" s="265"/>
      <c r="Z77" s="265"/>
      <c r="AA77" s="265"/>
      <c r="AB77" s="265"/>
      <c r="AC77" s="265"/>
      <c r="AD77" s="265"/>
    </row>
    <row r="78" spans="2:32">
      <c r="B78" s="161" t="s">
        <v>1511</v>
      </c>
      <c r="F78" s="263"/>
      <c r="G78" s="263"/>
      <c r="H78" s="263"/>
      <c r="I78" s="265"/>
      <c r="J78" s="265"/>
      <c r="K78" s="265"/>
      <c r="L78" s="265"/>
      <c r="M78" s="265"/>
      <c r="N78" s="265"/>
      <c r="O78" s="265"/>
      <c r="P78" s="265"/>
      <c r="Q78" s="265"/>
      <c r="R78" s="265"/>
      <c r="S78" s="775">
        <v>375.58199999999999</v>
      </c>
      <c r="T78" s="775">
        <v>385.68</v>
      </c>
      <c r="U78" s="265"/>
      <c r="V78" s="265"/>
      <c r="W78" s="265"/>
      <c r="X78" s="265"/>
      <c r="Y78" s="265"/>
      <c r="Z78" s="265"/>
      <c r="AA78" s="265"/>
      <c r="AB78" s="265"/>
      <c r="AC78" s="265"/>
      <c r="AD78" s="265"/>
    </row>
    <row r="79" spans="2:32">
      <c r="B79" s="703" t="s">
        <v>3386</v>
      </c>
      <c r="C79" s="814"/>
      <c r="D79" s="814"/>
      <c r="E79" s="814"/>
      <c r="F79" s="814">
        <f>SUM(Quarts!L71:O71)</f>
        <v>489.95838194999988</v>
      </c>
      <c r="G79" s="814">
        <f>SUM(Quarts!P71:S71)</f>
        <v>546.95830000000046</v>
      </c>
      <c r="H79" s="814">
        <f t="shared" ref="H79:R79" si="73">H71</f>
        <v>691</v>
      </c>
      <c r="I79" s="814">
        <f t="shared" si="73"/>
        <v>1333</v>
      </c>
      <c r="J79" s="814">
        <f t="shared" si="73"/>
        <v>2670</v>
      </c>
      <c r="K79" s="814">
        <f t="shared" si="73"/>
        <v>3125</v>
      </c>
      <c r="L79" s="814">
        <f t="shared" si="73"/>
        <v>2815</v>
      </c>
      <c r="M79" s="814">
        <f t="shared" si="73"/>
        <v>3448</v>
      </c>
      <c r="N79" s="814">
        <f t="shared" si="73"/>
        <v>4257.2629999999999</v>
      </c>
      <c r="O79" s="814">
        <f t="shared" si="73"/>
        <v>3905</v>
      </c>
      <c r="P79" s="814">
        <f t="shared" si="73"/>
        <v>4197.8819999999996</v>
      </c>
      <c r="Q79" s="814">
        <f t="shared" si="73"/>
        <v>5179.7300000000005</v>
      </c>
      <c r="R79" s="814">
        <f t="shared" si="73"/>
        <v>5402.9849999999997</v>
      </c>
      <c r="S79" s="1039">
        <v>5659.3059999999996</v>
      </c>
      <c r="T79" s="1039">
        <v>5426.1180000000004</v>
      </c>
      <c r="U79" s="814">
        <f t="shared" ref="U79:AD79" si="74">U71</f>
        <v>5480.3791800000008</v>
      </c>
      <c r="V79" s="814">
        <f t="shared" si="74"/>
        <v>5754.3981390000008</v>
      </c>
      <c r="W79" s="814">
        <f t="shared" si="74"/>
        <v>6042.118045950001</v>
      </c>
      <c r="X79" s="814">
        <f t="shared" si="74"/>
        <v>6344.2239482475015</v>
      </c>
      <c r="Y79" s="814">
        <f t="shared" si="74"/>
        <v>6661.435145659877</v>
      </c>
      <c r="Z79" s="814">
        <f t="shared" si="74"/>
        <v>6994.5069029428714</v>
      </c>
      <c r="AA79" s="814">
        <f t="shared" si="74"/>
        <v>7344.2322480900157</v>
      </c>
      <c r="AB79" s="814">
        <f t="shared" si="74"/>
        <v>7711.4438604945171</v>
      </c>
      <c r="AC79" s="814">
        <f t="shared" si="74"/>
        <v>8097.0160535192435</v>
      </c>
      <c r="AD79" s="814">
        <f t="shared" si="74"/>
        <v>8501.8668561952054</v>
      </c>
      <c r="AE79" s="969"/>
      <c r="AF79" s="265">
        <f>Quarts!ED81</f>
        <v>6.1543117793847246E-2</v>
      </c>
    </row>
    <row r="80" spans="2:32">
      <c r="C80" s="307"/>
      <c r="D80" s="307"/>
      <c r="E80" s="307"/>
      <c r="F80" s="307"/>
      <c r="G80" s="307"/>
      <c r="H80" s="307"/>
      <c r="I80" s="307"/>
      <c r="J80" s="307"/>
      <c r="K80" s="307"/>
      <c r="L80" s="307"/>
      <c r="M80" s="307"/>
      <c r="N80" s="307"/>
      <c r="O80" s="307"/>
      <c r="P80" s="307"/>
      <c r="Q80" s="307"/>
      <c r="R80" s="307"/>
      <c r="S80" s="775"/>
      <c r="T80" s="775"/>
      <c r="U80" s="307"/>
      <c r="V80" s="307"/>
      <c r="W80" s="307"/>
      <c r="X80" s="307"/>
      <c r="Y80" s="307"/>
      <c r="Z80" s="307"/>
      <c r="AA80" s="307"/>
      <c r="AB80" s="307"/>
      <c r="AC80" s="307"/>
      <c r="AD80" s="307"/>
      <c r="AF80" s="264"/>
    </row>
    <row r="81" spans="2:31" ht="15.75" thickBot="1">
      <c r="B81" s="1040" t="s">
        <v>347</v>
      </c>
      <c r="C81" s="1040"/>
      <c r="D81" s="1041">
        <f>Master!I8</f>
        <v>6895</v>
      </c>
      <c r="E81" s="1041">
        <f>Master!J8</f>
        <v>7509</v>
      </c>
      <c r="F81" s="1042">
        <v>8250</v>
      </c>
      <c r="G81" s="1042">
        <v>8977</v>
      </c>
      <c r="H81" s="1042">
        <v>10068</v>
      </c>
      <c r="I81" s="1041">
        <f t="shared" ref="I81:AD81" si="75">I63+I79</f>
        <v>11475.282000000001</v>
      </c>
      <c r="J81" s="1041">
        <f t="shared" si="75"/>
        <v>14557.35</v>
      </c>
      <c r="K81" s="1041">
        <f t="shared" si="75"/>
        <v>17128.871117549999</v>
      </c>
      <c r="L81" s="1041">
        <f t="shared" si="75"/>
        <v>17213.138999999999</v>
      </c>
      <c r="M81" s="1041">
        <f t="shared" si="75"/>
        <v>19436.565000000002</v>
      </c>
      <c r="N81" s="1041">
        <f t="shared" si="75"/>
        <v>21602.94</v>
      </c>
      <c r="O81" s="1041">
        <f t="shared" si="75"/>
        <v>22390.929000000004</v>
      </c>
      <c r="P81" s="1041">
        <f t="shared" si="75"/>
        <v>24634.396000000001</v>
      </c>
      <c r="Q81" s="1041">
        <f t="shared" si="75"/>
        <v>27155.291000000001</v>
      </c>
      <c r="R81" s="1041">
        <f t="shared" si="75"/>
        <v>29870.541000000005</v>
      </c>
      <c r="S81" s="1041">
        <f t="shared" si="75"/>
        <v>32840.847000000002</v>
      </c>
      <c r="T81" s="1041">
        <f t="shared" si="75"/>
        <v>35429.711000000003</v>
      </c>
      <c r="U81" s="1041">
        <f t="shared" si="75"/>
        <v>38484.331480000008</v>
      </c>
      <c r="V81" s="1041">
        <f t="shared" si="75"/>
        <v>41068.627100000012</v>
      </c>
      <c r="W81" s="1041">
        <f t="shared" si="75"/>
        <v>43475.200744610011</v>
      </c>
      <c r="X81" s="1041">
        <f t="shared" si="75"/>
        <v>45648.960781840506</v>
      </c>
      <c r="Y81" s="1041">
        <f t="shared" si="75"/>
        <v>47440.099610512625</v>
      </c>
      <c r="Z81" s="1041">
        <f t="shared" si="75"/>
        <v>48384.851334768406</v>
      </c>
      <c r="AA81" s="1041">
        <f t="shared" si="75"/>
        <v>49355.43184639293</v>
      </c>
      <c r="AB81" s="1041">
        <f t="shared" si="75"/>
        <v>50352.811452771966</v>
      </c>
      <c r="AC81" s="1041">
        <f t="shared" si="75"/>
        <v>51378.004159680844</v>
      </c>
      <c r="AD81" s="1041">
        <f t="shared" si="75"/>
        <v>52432.069783949228</v>
      </c>
      <c r="AE81" s="1008"/>
    </row>
    <row r="82" spans="2:31" ht="15.75" thickTop="1">
      <c r="B82" s="161" t="s">
        <v>131</v>
      </c>
      <c r="D82" s="307"/>
      <c r="E82" s="265">
        <f>E81/D81-1</f>
        <v>8.9050036258158105E-2</v>
      </c>
      <c r="F82" s="265">
        <f t="shared" ref="F82:O82" si="76">F81/E81-1</f>
        <v>9.8681582101478149E-2</v>
      </c>
      <c r="G82" s="265">
        <f t="shared" si="76"/>
        <v>8.8121212121212045E-2</v>
      </c>
      <c r="H82" s="265">
        <f t="shared" si="76"/>
        <v>0.121532806059931</v>
      </c>
      <c r="I82" s="265">
        <f t="shared" si="76"/>
        <v>0.13977771156138274</v>
      </c>
      <c r="J82" s="265">
        <f>J81/I81-1</f>
        <v>0.26858320344545783</v>
      </c>
      <c r="K82" s="265">
        <f t="shared" si="76"/>
        <v>0.17664761220620506</v>
      </c>
      <c r="L82" s="265">
        <f t="shared" si="76"/>
        <v>4.9196401719469041E-3</v>
      </c>
      <c r="M82" s="265">
        <f t="shared" si="76"/>
        <v>0.12917028091157601</v>
      </c>
      <c r="N82" s="265">
        <f t="shared" si="76"/>
        <v>0.11145873769362002</v>
      </c>
      <c r="O82" s="265">
        <f t="shared" si="76"/>
        <v>3.6476007432322044E-2</v>
      </c>
      <c r="P82" s="265">
        <f t="shared" ref="P82:X82" si="77">P81/O81-1</f>
        <v>0.10019535143003644</v>
      </c>
      <c r="Q82" s="265">
        <f t="shared" si="77"/>
        <v>0.1023323242834937</v>
      </c>
      <c r="R82" s="265">
        <f t="shared" si="77"/>
        <v>9.9989722076629706E-2</v>
      </c>
      <c r="S82" s="265">
        <f t="shared" si="77"/>
        <v>9.9439310456412411E-2</v>
      </c>
      <c r="T82" s="265">
        <f t="shared" si="77"/>
        <v>7.8830609941333174E-2</v>
      </c>
      <c r="U82" s="265">
        <f t="shared" si="77"/>
        <v>8.6216353274798152E-2</v>
      </c>
      <c r="V82" s="265">
        <f t="shared" si="77"/>
        <v>6.7151890668623038E-2</v>
      </c>
      <c r="W82" s="265">
        <f t="shared" si="77"/>
        <v>5.8598833575568943E-2</v>
      </c>
      <c r="X82" s="265">
        <f t="shared" si="77"/>
        <v>4.9999999999999822E-2</v>
      </c>
      <c r="Y82" s="265">
        <f t="shared" ref="Y82:AD82" si="78">Y81/X81-1</f>
        <v>3.923723120953615E-2</v>
      </c>
      <c r="Z82" s="265">
        <f t="shared" si="78"/>
        <v>1.9914623536043896E-2</v>
      </c>
      <c r="AA82" s="265">
        <f t="shared" si="78"/>
        <v>2.005959478741004E-2</v>
      </c>
      <c r="AB82" s="265">
        <f t="shared" si="78"/>
        <v>2.0208102108864923E-2</v>
      </c>
      <c r="AC82" s="265">
        <f t="shared" si="78"/>
        <v>2.036018798812167E-2</v>
      </c>
      <c r="AD82" s="265">
        <f t="shared" si="78"/>
        <v>2.0515892773732336E-2</v>
      </c>
    </row>
    <row r="83" spans="2:31">
      <c r="B83" s="161" t="s">
        <v>354</v>
      </c>
      <c r="D83" s="307"/>
      <c r="E83" s="307"/>
      <c r="F83" s="307"/>
      <c r="G83" s="265"/>
      <c r="H83" s="265">
        <f t="shared" ref="H83:AD83" si="79">H79/H81</f>
        <v>6.8633293603496223E-2</v>
      </c>
      <c r="I83" s="265">
        <f t="shared" si="79"/>
        <v>0.1161627226241586</v>
      </c>
      <c r="J83" s="265">
        <f t="shared" si="79"/>
        <v>0.18341250296242104</v>
      </c>
      <c r="K83" s="265">
        <f t="shared" si="79"/>
        <v>0.18244051102691577</v>
      </c>
      <c r="L83" s="265">
        <f t="shared" si="79"/>
        <v>0.16353786488333127</v>
      </c>
      <c r="M83" s="265">
        <f t="shared" si="79"/>
        <v>0.17739760086208647</v>
      </c>
      <c r="N83" s="265">
        <f t="shared" si="79"/>
        <v>0.19706868602143968</v>
      </c>
      <c r="O83" s="265">
        <f t="shared" si="79"/>
        <v>0.17440098175470967</v>
      </c>
      <c r="P83" s="265">
        <f t="shared" si="79"/>
        <v>0.17040734426774659</v>
      </c>
      <c r="Q83" s="265">
        <f t="shared" si="79"/>
        <v>0.19074477971898737</v>
      </c>
      <c r="R83" s="265">
        <f t="shared" si="79"/>
        <v>0.18088005168704507</v>
      </c>
      <c r="S83" s="265">
        <f t="shared" si="79"/>
        <v>0.17232521438926346</v>
      </c>
      <c r="T83" s="265">
        <f t="shared" si="79"/>
        <v>0.15315163028002118</v>
      </c>
      <c r="U83" s="265">
        <f t="shared" si="79"/>
        <v>0.14240546656885827</v>
      </c>
      <c r="V83" s="265">
        <f t="shared" si="79"/>
        <v>0.14011664244310712</v>
      </c>
      <c r="W83" s="265">
        <f t="shared" si="79"/>
        <v>0.13897849676287219</v>
      </c>
      <c r="X83" s="265">
        <f t="shared" si="79"/>
        <v>0.13897849676287222</v>
      </c>
      <c r="Y83" s="265">
        <f t="shared" si="79"/>
        <v>0.14041781531554198</v>
      </c>
      <c r="Z83" s="265">
        <f t="shared" si="79"/>
        <v>0.14455985106885624</v>
      </c>
      <c r="AA83" s="265">
        <f t="shared" si="79"/>
        <v>0.14880291739614793</v>
      </c>
      <c r="AB83" s="265">
        <f t="shared" si="79"/>
        <v>0.15314822823205029</v>
      </c>
      <c r="AC83" s="265">
        <f t="shared" si="79"/>
        <v>0.15759693639235248</v>
      </c>
      <c r="AD83" s="265">
        <f t="shared" si="79"/>
        <v>0.1621501285611624</v>
      </c>
    </row>
    <row r="84" spans="2:31">
      <c r="D84" s="307"/>
      <c r="E84" s="265"/>
      <c r="F84" s="265"/>
      <c r="G84" s="265"/>
      <c r="H84" s="265"/>
      <c r="I84" s="265"/>
      <c r="J84" s="265"/>
      <c r="K84" s="265"/>
      <c r="L84" s="265"/>
      <c r="M84" s="265"/>
      <c r="N84" s="265"/>
      <c r="O84" s="265"/>
      <c r="P84" s="265"/>
      <c r="Q84" s="265"/>
      <c r="R84" s="265"/>
      <c r="S84" s="265"/>
      <c r="T84" s="265"/>
      <c r="U84" s="265"/>
      <c r="V84" s="265"/>
      <c r="W84" s="265"/>
      <c r="X84" s="265"/>
      <c r="Y84" s="265"/>
      <c r="Z84" s="265"/>
      <c r="AA84" s="265"/>
      <c r="AB84" s="265"/>
      <c r="AC84" s="265"/>
      <c r="AD84" s="265"/>
    </row>
    <row r="85" spans="2:31" hidden="1">
      <c r="B85" s="163" t="s">
        <v>348</v>
      </c>
      <c r="C85" s="308"/>
      <c r="D85" s="308"/>
      <c r="E85" s="308"/>
      <c r="F85" s="308"/>
      <c r="G85" s="308"/>
      <c r="H85" s="308">
        <f t="shared" ref="H85:AD85" si="80">H63+H67</f>
        <v>9523.4380000000001</v>
      </c>
      <c r="I85" s="308">
        <f t="shared" si="80"/>
        <v>10388.282000000001</v>
      </c>
      <c r="J85" s="308">
        <f t="shared" si="80"/>
        <v>12281.35</v>
      </c>
      <c r="K85" s="308">
        <f t="shared" si="80"/>
        <v>14658.871117549999</v>
      </c>
      <c r="L85" s="308">
        <f t="shared" si="80"/>
        <v>15340.138999999999</v>
      </c>
      <c r="M85" s="308">
        <f t="shared" si="80"/>
        <v>17536.565000000002</v>
      </c>
      <c r="N85" s="308">
        <f t="shared" si="80"/>
        <v>19183.939999999999</v>
      </c>
      <c r="O85" s="308">
        <f t="shared" si="80"/>
        <v>20363.929000000004</v>
      </c>
      <c r="P85" s="308">
        <f t="shared" si="80"/>
        <v>22540.514000000003</v>
      </c>
      <c r="Q85" s="308">
        <f t="shared" si="80"/>
        <v>24567.962</v>
      </c>
      <c r="R85" s="308">
        <f t="shared" si="80"/>
        <v>27309.455000000005</v>
      </c>
      <c r="S85" s="308">
        <f t="shared" si="80"/>
        <v>30231.541000000001</v>
      </c>
      <c r="T85" s="308">
        <f t="shared" si="80"/>
        <v>33358.593000000001</v>
      </c>
      <c r="U85" s="308">
        <f t="shared" si="80"/>
        <v>36694.452300000004</v>
      </c>
      <c r="V85" s="308">
        <f t="shared" si="80"/>
        <v>39373.778961000011</v>
      </c>
      <c r="W85" s="308">
        <f t="shared" si="80"/>
        <v>41898.587698660012</v>
      </c>
      <c r="X85" s="308">
        <f t="shared" si="80"/>
        <v>44216.79233359301</v>
      </c>
      <c r="Y85" s="308">
        <f t="shared" si="80"/>
        <v>46181.925514852752</v>
      </c>
      <c r="Z85" s="308">
        <f t="shared" si="80"/>
        <v>47333.931586825536</v>
      </c>
      <c r="AA85" s="308">
        <f t="shared" si="80"/>
        <v>48549.145468802919</v>
      </c>
      <c r="AB85" s="308">
        <f t="shared" si="80"/>
        <v>49833.108049827453</v>
      </c>
      <c r="AC85" s="308">
        <f t="shared" si="80"/>
        <v>51191.902609466611</v>
      </c>
      <c r="AD85" s="308">
        <f t="shared" si="80"/>
        <v>52632.208881389524</v>
      </c>
    </row>
    <row r="86" spans="2:31" hidden="1">
      <c r="B86" s="352" t="s">
        <v>131</v>
      </c>
      <c r="C86" s="353"/>
      <c r="D86" s="354"/>
      <c r="E86" s="354"/>
      <c r="F86" s="354"/>
      <c r="G86" s="355"/>
      <c r="H86" s="355"/>
      <c r="I86" s="355">
        <f t="shared" ref="I86:X86" si="81">I85/H85-1</f>
        <v>9.0812162582462497E-2</v>
      </c>
      <c r="J86" s="355">
        <f t="shared" si="81"/>
        <v>0.18223109461217923</v>
      </c>
      <c r="K86" s="355">
        <f t="shared" si="81"/>
        <v>0.19358792946622305</v>
      </c>
      <c r="L86" s="355">
        <f t="shared" si="81"/>
        <v>4.6474784926266777E-2</v>
      </c>
      <c r="M86" s="355">
        <f t="shared" si="81"/>
        <v>0.14318162306091242</v>
      </c>
      <c r="N86" s="355">
        <f t="shared" si="81"/>
        <v>9.3939434547187339E-2</v>
      </c>
      <c r="O86" s="355">
        <f t="shared" si="81"/>
        <v>6.1509210308205997E-2</v>
      </c>
      <c r="P86" s="355">
        <f t="shared" si="81"/>
        <v>0.10688433455056723</v>
      </c>
      <c r="Q86" s="355">
        <f t="shared" si="81"/>
        <v>8.9946839721578575E-2</v>
      </c>
      <c r="R86" s="355">
        <f t="shared" si="81"/>
        <v>0.11158813254432776</v>
      </c>
      <c r="S86" s="355">
        <f t="shared" si="81"/>
        <v>0.10699905948324462</v>
      </c>
      <c r="T86" s="355">
        <f t="shared" si="81"/>
        <v>0.10343673847125423</v>
      </c>
      <c r="U86" s="355">
        <f t="shared" si="81"/>
        <v>0.10000000000000009</v>
      </c>
      <c r="V86" s="355">
        <f t="shared" si="81"/>
        <v>7.3017213585717E-2</v>
      </c>
      <c r="W86" s="355">
        <f t="shared" si="81"/>
        <v>6.4124115192520481E-2</v>
      </c>
      <c r="X86" s="355">
        <f t="shared" si="81"/>
        <v>5.5328944536408242E-2</v>
      </c>
      <c r="Y86" s="355">
        <f t="shared" ref="Y86:AD86" si="82">Y85/X85-1</f>
        <v>4.4443142017942527E-2</v>
      </c>
      <c r="Z86" s="355">
        <f t="shared" si="82"/>
        <v>2.4944955393908064E-2</v>
      </c>
      <c r="AA86" s="355">
        <f t="shared" si="82"/>
        <v>2.567320823008945E-2</v>
      </c>
      <c r="AB86" s="355">
        <f t="shared" si="82"/>
        <v>2.6446656653299705E-2</v>
      </c>
      <c r="AC86" s="355">
        <f t="shared" si="82"/>
        <v>2.7266903727548364E-2</v>
      </c>
      <c r="AD86" s="355">
        <f t="shared" si="82"/>
        <v>2.813543155273468E-2</v>
      </c>
    </row>
    <row r="87" spans="2:31">
      <c r="D87" s="307"/>
      <c r="E87" s="307"/>
      <c r="F87" s="307"/>
      <c r="G87" s="265"/>
      <c r="H87" s="265"/>
      <c r="I87" s="265"/>
      <c r="J87" s="265"/>
      <c r="K87" s="265"/>
      <c r="L87" s="265"/>
      <c r="M87" s="265"/>
      <c r="N87" s="307"/>
      <c r="O87" s="307"/>
      <c r="P87" s="307"/>
      <c r="Q87" s="307"/>
      <c r="R87" s="307"/>
      <c r="S87" s="307"/>
      <c r="T87" s="307"/>
      <c r="U87" s="307"/>
      <c r="V87" s="307"/>
      <c r="W87" s="307"/>
      <c r="X87" s="307"/>
      <c r="Y87" s="307"/>
      <c r="Z87" s="307"/>
      <c r="AA87" s="307"/>
      <c r="AB87" s="307"/>
      <c r="AC87" s="307"/>
      <c r="AD87" s="307"/>
    </row>
    <row r="88" spans="2:31">
      <c r="D88" s="307"/>
      <c r="E88" s="307"/>
      <c r="F88" s="307"/>
      <c r="G88" s="265"/>
      <c r="H88" s="265"/>
      <c r="I88" s="265"/>
      <c r="J88" s="265"/>
      <c r="K88" s="265"/>
      <c r="L88" s="265"/>
      <c r="M88" s="265"/>
      <c r="N88" s="307"/>
      <c r="O88" s="307"/>
      <c r="P88" s="307"/>
      <c r="Q88" s="307"/>
      <c r="R88" s="307"/>
      <c r="S88" s="307"/>
      <c r="T88" s="307"/>
      <c r="U88" s="307"/>
      <c r="V88" s="307"/>
      <c r="W88" s="307"/>
      <c r="X88" s="307"/>
      <c r="Y88" s="307"/>
      <c r="Z88" s="307"/>
      <c r="AA88" s="307"/>
      <c r="AB88" s="307"/>
      <c r="AC88" s="307"/>
      <c r="AD88" s="307"/>
    </row>
    <row r="89" spans="2:31">
      <c r="B89" s="163" t="s">
        <v>448</v>
      </c>
      <c r="C89" s="307"/>
      <c r="D89" s="307"/>
      <c r="E89" s="307"/>
      <c r="F89" s="307"/>
      <c r="G89" s="307"/>
      <c r="H89" s="307"/>
      <c r="I89" s="307"/>
      <c r="J89" s="307"/>
      <c r="K89" s="307"/>
      <c r="L89" s="307"/>
      <c r="M89" s="307"/>
      <c r="N89" s="307"/>
      <c r="O89" s="307"/>
      <c r="P89" s="307"/>
      <c r="Q89" s="307"/>
      <c r="R89" s="307"/>
      <c r="S89" s="307"/>
      <c r="T89" s="307">
        <f>AVERAGE(Quarts!BP56:BS56)</f>
        <v>436.59999999999997</v>
      </c>
      <c r="U89" s="307">
        <f>U92-U94</f>
        <v>444.7632966990065</v>
      </c>
      <c r="V89" s="307">
        <f t="shared" ref="V89:AD89" si="83">V92-V94</f>
        <v>453.50734927438981</v>
      </c>
      <c r="W89" s="307">
        <f t="shared" si="83"/>
        <v>467.22407237560174</v>
      </c>
      <c r="X89" s="307">
        <f t="shared" si="83"/>
        <v>478.92891553782971</v>
      </c>
      <c r="Y89" s="307">
        <f t="shared" si="83"/>
        <v>487.04894938771389</v>
      </c>
      <c r="Z89" s="307">
        <f t="shared" si="83"/>
        <v>488.09572375670973</v>
      </c>
      <c r="AA89" s="307">
        <f t="shared" si="83"/>
        <v>492.85703225928819</v>
      </c>
      <c r="AB89" s="307">
        <f t="shared" si="83"/>
        <v>499.15172268565999</v>
      </c>
      <c r="AC89" s="307">
        <f t="shared" si="83"/>
        <v>506.4622057566574</v>
      </c>
      <c r="AD89" s="307">
        <f t="shared" si="83"/>
        <v>514.25696522360909</v>
      </c>
    </row>
    <row r="90" spans="2:31">
      <c r="B90" s="161" t="s">
        <v>439</v>
      </c>
      <c r="T90" s="287"/>
      <c r="U90" s="287">
        <f t="shared" ref="U90:AD90" si="84">U89/T89-1</f>
        <v>1.8697427162177149E-2</v>
      </c>
      <c r="V90" s="287">
        <f t="shared" si="84"/>
        <v>1.9660013855191893E-2</v>
      </c>
      <c r="W90" s="287">
        <f t="shared" si="84"/>
        <v>3.0245867290042083E-2</v>
      </c>
      <c r="X90" s="287">
        <f t="shared" si="84"/>
        <v>2.5051883783972606E-2</v>
      </c>
      <c r="Y90" s="287">
        <f t="shared" si="84"/>
        <v>1.6954570055068618E-2</v>
      </c>
      <c r="Z90" s="287">
        <f t="shared" si="84"/>
        <v>2.1492180001860817E-3</v>
      </c>
      <c r="AA90" s="287">
        <f t="shared" si="84"/>
        <v>9.7548662502762173E-3</v>
      </c>
      <c r="AB90" s="287">
        <f t="shared" si="84"/>
        <v>1.2771838513729872E-2</v>
      </c>
      <c r="AC90" s="287">
        <f t="shared" si="84"/>
        <v>1.464581356478889E-2</v>
      </c>
      <c r="AD90" s="287">
        <f t="shared" si="84"/>
        <v>1.539060442882656E-2</v>
      </c>
    </row>
    <row r="92" spans="2:31">
      <c r="B92" s="161" t="s">
        <v>3296</v>
      </c>
      <c r="C92" s="307"/>
      <c r="D92" s="307"/>
      <c r="E92" s="307"/>
      <c r="F92" s="307"/>
      <c r="G92" s="307"/>
      <c r="H92" s="307">
        <f t="shared" ref="H92:AD92" si="85">H63/AVERAGE(H25,G25)/12*1000</f>
        <v>875.83407988055251</v>
      </c>
      <c r="I92" s="307">
        <f t="shared" si="85"/>
        <v>740.7451066316097</v>
      </c>
      <c r="J92" s="307">
        <f t="shared" si="85"/>
        <v>626.57337128399752</v>
      </c>
      <c r="K92" s="307">
        <f t="shared" si="85"/>
        <v>575.01318541307376</v>
      </c>
      <c r="L92" s="307">
        <f t="shared" si="85"/>
        <v>494.47554777113805</v>
      </c>
      <c r="M92" s="307">
        <f t="shared" si="85"/>
        <v>478.6708879707802</v>
      </c>
      <c r="N92" s="307">
        <f t="shared" si="85"/>
        <v>478.66295186833804</v>
      </c>
      <c r="O92" s="307">
        <f t="shared" si="85"/>
        <v>466.27748515301818</v>
      </c>
      <c r="P92" s="307">
        <f t="shared" si="85"/>
        <v>463.79837868915945</v>
      </c>
      <c r="Q92" s="307">
        <f t="shared" si="85"/>
        <v>459.44643543270854</v>
      </c>
      <c r="R92" s="307">
        <f t="shared" si="85"/>
        <v>460.29307588359143</v>
      </c>
      <c r="S92" s="307">
        <f t="shared" si="85"/>
        <v>451.51302439899183</v>
      </c>
      <c r="T92" s="307">
        <f t="shared" si="85"/>
        <v>449.78842537346031</v>
      </c>
      <c r="U92" s="307">
        <f t="shared" si="85"/>
        <v>457.95172207246685</v>
      </c>
      <c r="V92" s="307">
        <f t="shared" si="85"/>
        <v>466.69577464785016</v>
      </c>
      <c r="W92" s="307">
        <f t="shared" si="85"/>
        <v>480.41249774906208</v>
      </c>
      <c r="X92" s="307">
        <f t="shared" si="85"/>
        <v>492.11734091129006</v>
      </c>
      <c r="Y92" s="307">
        <f t="shared" si="85"/>
        <v>500.23737476117424</v>
      </c>
      <c r="Z92" s="307">
        <f t="shared" si="85"/>
        <v>501.28414913017008</v>
      </c>
      <c r="AA92" s="307">
        <f t="shared" si="85"/>
        <v>506.04545763274854</v>
      </c>
      <c r="AB92" s="307">
        <f t="shared" si="85"/>
        <v>512.34014805912034</v>
      </c>
      <c r="AC92" s="307">
        <f t="shared" si="85"/>
        <v>519.65063113011774</v>
      </c>
      <c r="AD92" s="307">
        <f t="shared" si="85"/>
        <v>527.44539059706949</v>
      </c>
    </row>
    <row r="93" spans="2:31">
      <c r="B93" s="161" t="s">
        <v>439</v>
      </c>
      <c r="C93" s="307"/>
      <c r="D93" s="307"/>
      <c r="E93" s="307"/>
      <c r="F93" s="307"/>
      <c r="G93" s="307"/>
      <c r="H93" s="307"/>
      <c r="I93" s="287">
        <f t="shared" ref="I93" si="86">I92/H92-1</f>
        <v>-0.15424037081014985</v>
      </c>
      <c r="J93" s="287">
        <f t="shared" ref="J93" si="87">J92/I92-1</f>
        <v>-0.15413093427884439</v>
      </c>
      <c r="K93" s="287">
        <f t="shared" ref="K93" si="88">K92/J92-1</f>
        <v>-8.2289143193660985E-2</v>
      </c>
      <c r="L93" s="287">
        <f t="shared" ref="L93" si="89">L92/K92-1</f>
        <v>-0.14006224497979058</v>
      </c>
      <c r="M93" s="287">
        <f t="shared" ref="M93" si="90">M92/L92-1</f>
        <v>-3.1962469876615329E-2</v>
      </c>
      <c r="N93" s="287">
        <f t="shared" ref="N93" si="91">N92/M92-1</f>
        <v>-1.6579454990006681E-5</v>
      </c>
      <c r="O93" s="287">
        <f t="shared" ref="O93" si="92">O92/N92-1</f>
        <v>-2.5875131273428109E-2</v>
      </c>
      <c r="P93" s="287">
        <f t="shared" ref="P93" si="93">P92/O92-1</f>
        <v>-5.3168049987341037E-3</v>
      </c>
      <c r="Q93" s="287">
        <f t="shared" ref="Q93" si="94">Q92/P92-1</f>
        <v>-9.3832653506700225E-3</v>
      </c>
      <c r="R93" s="287">
        <f t="shared" ref="R93" si="95">R92/Q92-1</f>
        <v>1.8427402752303479E-3</v>
      </c>
      <c r="S93" s="287">
        <f>S92/R92-1</f>
        <v>-1.9074915406331439E-2</v>
      </c>
      <c r="T93" s="287">
        <f t="shared" ref="T93" si="96">T92/S92-1</f>
        <v>-3.8195997287722161E-3</v>
      </c>
      <c r="U93" s="287">
        <f t="shared" ref="U93" si="97">U92/T92-1</f>
        <v>1.8149192461385688E-2</v>
      </c>
      <c r="V93" s="287">
        <f t="shared" ref="V93" si="98">V92/U92-1</f>
        <v>1.9093830537009415E-2</v>
      </c>
      <c r="W93" s="287">
        <f t="shared" ref="W93" si="99">W92/V92-1</f>
        <v>2.9391144823545989E-2</v>
      </c>
      <c r="X93" s="287">
        <f t="shared" ref="X93" si="100">X92/W92-1</f>
        <v>2.4364152092358538E-2</v>
      </c>
      <c r="Y93" s="287">
        <f t="shared" ref="Y93" si="101">Y92/X92-1</f>
        <v>1.6500198580378544E-2</v>
      </c>
      <c r="Z93" s="287">
        <f t="shared" ref="Z93" si="102">Z92/Y92-1</f>
        <v>2.0925552983632745E-3</v>
      </c>
      <c r="AA93" s="287">
        <f t="shared" ref="AA93" si="103">AA92/Z92-1</f>
        <v>9.4982227362272464E-3</v>
      </c>
      <c r="AB93" s="287">
        <f t="shared" ref="AB93" si="104">AB92/AA92-1</f>
        <v>1.2438982173297308E-2</v>
      </c>
      <c r="AC93" s="287">
        <f t="shared" ref="AC93" si="105">AC92/AB92-1</f>
        <v>1.4268807741675937E-2</v>
      </c>
      <c r="AD93" s="287">
        <f t="shared" ref="AD93" si="106">AD92/AC92-1</f>
        <v>1.4999999999999902E-2</v>
      </c>
    </row>
    <row r="94" spans="2:31">
      <c r="B94" s="161" t="s">
        <v>1127</v>
      </c>
      <c r="C94" s="307"/>
      <c r="D94" s="307"/>
      <c r="E94" s="307"/>
      <c r="F94" s="307"/>
      <c r="G94" s="307"/>
      <c r="H94" s="307"/>
      <c r="I94" s="287"/>
      <c r="J94" s="287"/>
      <c r="K94" s="287"/>
      <c r="L94" s="287"/>
      <c r="M94" s="287"/>
      <c r="N94" s="287"/>
      <c r="O94" s="287"/>
      <c r="P94" s="287"/>
      <c r="Q94" s="287"/>
      <c r="R94" s="287"/>
      <c r="S94" s="287"/>
      <c r="T94" s="307">
        <f>T92-T89</f>
        <v>13.188425373460348</v>
      </c>
      <c r="U94" s="349">
        <f>T94</f>
        <v>13.188425373460348</v>
      </c>
      <c r="V94" s="349">
        <f t="shared" ref="V94:AD94" si="107">U94</f>
        <v>13.188425373460348</v>
      </c>
      <c r="W94" s="349">
        <f t="shared" si="107"/>
        <v>13.188425373460348</v>
      </c>
      <c r="X94" s="349">
        <f t="shared" si="107"/>
        <v>13.188425373460348</v>
      </c>
      <c r="Y94" s="349">
        <f t="shared" si="107"/>
        <v>13.188425373460348</v>
      </c>
      <c r="Z94" s="349">
        <f t="shared" si="107"/>
        <v>13.188425373460348</v>
      </c>
      <c r="AA94" s="349">
        <f t="shared" si="107"/>
        <v>13.188425373460348</v>
      </c>
      <c r="AB94" s="349">
        <f t="shared" si="107"/>
        <v>13.188425373460348</v>
      </c>
      <c r="AC94" s="349">
        <f t="shared" si="107"/>
        <v>13.188425373460348</v>
      </c>
      <c r="AD94" s="349">
        <f t="shared" si="107"/>
        <v>13.188425373460348</v>
      </c>
    </row>
    <row r="95" spans="2:31">
      <c r="C95" s="307"/>
      <c r="D95" s="307"/>
      <c r="E95" s="307"/>
      <c r="F95" s="307"/>
      <c r="G95" s="307"/>
      <c r="H95" s="307"/>
      <c r="I95" s="307"/>
      <c r="J95" s="307"/>
      <c r="K95" s="307"/>
      <c r="L95" s="307"/>
      <c r="M95" s="307"/>
      <c r="N95" s="307"/>
      <c r="O95" s="307"/>
      <c r="P95" s="307"/>
      <c r="Q95" s="307"/>
      <c r="R95" s="307"/>
      <c r="S95" s="307"/>
      <c r="T95" s="307"/>
      <c r="U95" s="307"/>
      <c r="V95" s="307"/>
      <c r="W95" s="307"/>
      <c r="X95" s="307"/>
      <c r="Y95" s="307"/>
      <c r="Z95" s="307"/>
      <c r="AA95" s="307"/>
      <c r="AB95" s="307"/>
      <c r="AC95" s="307"/>
      <c r="AD95" s="307"/>
    </row>
    <row r="96" spans="2:31">
      <c r="B96" s="161" t="s">
        <v>3384</v>
      </c>
      <c r="C96" s="307"/>
      <c r="D96" s="307"/>
      <c r="E96" s="307"/>
      <c r="F96" s="307"/>
      <c r="G96" s="307"/>
      <c r="H96" s="307"/>
      <c r="I96" s="307"/>
      <c r="J96" s="307"/>
      <c r="K96" s="307"/>
      <c r="L96" s="307"/>
      <c r="M96" s="307"/>
      <c r="N96" s="307"/>
      <c r="O96" s="307"/>
      <c r="P96" s="307"/>
      <c r="Q96" s="307">
        <f>AVERAGE(Quarts!BD49:BG49)</f>
        <v>421.15</v>
      </c>
      <c r="R96" s="307">
        <f>AVERAGE(Quarts!BH49:BK49)</f>
        <v>421.55</v>
      </c>
      <c r="S96" s="307">
        <f>AVERAGE(Quarts!BL49:BO49)</f>
        <v>421.02499999999998</v>
      </c>
      <c r="T96" s="307">
        <f>AVERAGE(Quarts!BP49:BS49)</f>
        <v>420.91247434435576</v>
      </c>
      <c r="U96" s="307"/>
      <c r="V96" s="307"/>
      <c r="W96" s="307"/>
      <c r="X96" s="307"/>
      <c r="Y96" s="307"/>
      <c r="Z96" s="307"/>
      <c r="AA96" s="307"/>
      <c r="AB96" s="307"/>
      <c r="AC96" s="307"/>
      <c r="AD96" s="307"/>
    </row>
    <row r="97" spans="2:32">
      <c r="B97" s="161" t="s">
        <v>439</v>
      </c>
      <c r="C97" s="307"/>
      <c r="D97" s="307"/>
      <c r="E97" s="307"/>
      <c r="F97" s="307"/>
      <c r="G97" s="307"/>
      <c r="H97" s="307"/>
      <c r="I97" s="307"/>
      <c r="J97" s="307"/>
      <c r="K97" s="307"/>
      <c r="L97" s="307"/>
      <c r="M97" s="307"/>
      <c r="N97" s="307"/>
      <c r="O97" s="307"/>
      <c r="P97" s="307"/>
      <c r="Q97" s="307"/>
      <c r="R97" s="287">
        <f t="shared" ref="R97" si="108">R96/Q96-1</f>
        <v>9.4978036329096405E-4</v>
      </c>
      <c r="S97" s="287">
        <f t="shared" ref="S97" si="109">S96/R96-1</f>
        <v>-1.2454038666825928E-3</v>
      </c>
      <c r="T97" s="287">
        <f t="shared" ref="T97" si="110">T96/S96-1</f>
        <v>-2.6726597148440945E-4</v>
      </c>
      <c r="U97" s="307"/>
      <c r="V97" s="307"/>
      <c r="W97" s="307"/>
      <c r="X97" s="307"/>
      <c r="Y97" s="307"/>
      <c r="Z97" s="307"/>
      <c r="AA97" s="307"/>
      <c r="AB97" s="307"/>
      <c r="AC97" s="307"/>
      <c r="AD97" s="307"/>
    </row>
    <row r="98" spans="2:32">
      <c r="C98" s="307"/>
      <c r="D98" s="307"/>
      <c r="E98" s="307"/>
      <c r="F98" s="307"/>
      <c r="G98" s="307"/>
      <c r="H98" s="307"/>
      <c r="I98" s="307"/>
      <c r="J98" s="307"/>
      <c r="K98" s="307"/>
      <c r="L98" s="307"/>
      <c r="M98" s="307"/>
      <c r="N98" s="307"/>
      <c r="O98" s="307"/>
      <c r="P98" s="307"/>
      <c r="Q98" s="307"/>
      <c r="R98" s="307"/>
      <c r="S98" s="307"/>
      <c r="T98" s="307"/>
      <c r="U98" s="307"/>
      <c r="V98" s="307"/>
      <c r="W98" s="307"/>
      <c r="X98" s="307"/>
      <c r="Y98" s="307"/>
      <c r="Z98" s="307"/>
      <c r="AA98" s="307"/>
      <c r="AB98" s="307"/>
      <c r="AC98" s="307"/>
      <c r="AD98" s="307"/>
    </row>
    <row r="99" spans="2:32">
      <c r="B99" s="161" t="s">
        <v>3383</v>
      </c>
      <c r="C99" s="307"/>
      <c r="D99" s="307"/>
      <c r="E99" s="307"/>
      <c r="F99" s="307"/>
      <c r="G99" s="307"/>
      <c r="H99" s="307">
        <f t="shared" ref="H99:AD99" si="111">H63/AVERAGE(H46,G46)/12*1000</f>
        <v>352.06834721284412</v>
      </c>
      <c r="I99" s="307">
        <f t="shared" si="111"/>
        <v>351.43042273042278</v>
      </c>
      <c r="J99" s="307">
        <f t="shared" si="111"/>
        <v>353.15953654188951</v>
      </c>
      <c r="K99" s="307">
        <f t="shared" si="111"/>
        <v>367.38210602733614</v>
      </c>
      <c r="L99" s="307">
        <f t="shared" si="111"/>
        <v>357.73551480818918</v>
      </c>
      <c r="M99" s="307">
        <f t="shared" si="111"/>
        <v>380.78891588072781</v>
      </c>
      <c r="N99" s="307">
        <f t="shared" si="111"/>
        <v>400.3526058256013</v>
      </c>
      <c r="O99" s="307">
        <f t="shared" si="111"/>
        <v>407.48421725521325</v>
      </c>
      <c r="P99" s="307">
        <f t="shared" si="111"/>
        <v>421.2300109888883</v>
      </c>
      <c r="Q99" s="307">
        <f t="shared" si="111"/>
        <v>428.32135876789738</v>
      </c>
      <c r="R99" s="307">
        <f t="shared" si="111"/>
        <v>436.43028226143059</v>
      </c>
      <c r="S99" s="307">
        <f t="shared" si="111"/>
        <v>432.85444955676337</v>
      </c>
      <c r="T99" s="307">
        <f t="shared" si="111"/>
        <v>435.81655208081634</v>
      </c>
      <c r="U99" s="307">
        <f t="shared" si="111"/>
        <v>450.69478575483964</v>
      </c>
      <c r="V99" s="307">
        <f t="shared" si="111"/>
        <v>463.70732095679176</v>
      </c>
      <c r="W99" s="307">
        <f t="shared" si="111"/>
        <v>478.12461198994583</v>
      </c>
      <c r="X99" s="307">
        <f t="shared" si="111"/>
        <v>490.96010167326148</v>
      </c>
      <c r="Y99" s="307">
        <f t="shared" si="111"/>
        <v>500.71675095260593</v>
      </c>
      <c r="Z99" s="307">
        <f t="shared" si="111"/>
        <v>502.55962146054458</v>
      </c>
      <c r="AA99" s="307">
        <f t="shared" si="111"/>
        <v>507.23288909855057</v>
      </c>
      <c r="AB99" s="307">
        <f t="shared" si="111"/>
        <v>513.43641629555509</v>
      </c>
      <c r="AC99" s="307">
        <f t="shared" si="111"/>
        <v>520.68924952106636</v>
      </c>
      <c r="AD99" s="307">
        <f t="shared" si="111"/>
        <v>528.49958826388217</v>
      </c>
    </row>
    <row r="100" spans="2:32">
      <c r="B100" s="161" t="s">
        <v>439</v>
      </c>
      <c r="C100" s="307"/>
      <c r="D100" s="307"/>
      <c r="E100" s="307"/>
      <c r="F100" s="307"/>
      <c r="G100" s="307"/>
      <c r="H100" s="307"/>
      <c r="I100" s="287">
        <f t="shared" ref="I100:R100" si="112">I99/H99-1</f>
        <v>-1.8119336414974541E-3</v>
      </c>
      <c r="J100" s="287">
        <f t="shared" si="112"/>
        <v>4.9202166335868824E-3</v>
      </c>
      <c r="K100" s="287">
        <f t="shared" si="112"/>
        <v>4.0272364225848012E-2</v>
      </c>
      <c r="L100" s="287">
        <f t="shared" si="112"/>
        <v>-2.625765125977364E-2</v>
      </c>
      <c r="M100" s="287">
        <f t="shared" si="112"/>
        <v>6.4442584306731332E-2</v>
      </c>
      <c r="N100" s="287">
        <f t="shared" si="112"/>
        <v>5.137673164573231E-2</v>
      </c>
      <c r="O100" s="287">
        <f t="shared" si="112"/>
        <v>1.7813325867844121E-2</v>
      </c>
      <c r="P100" s="287">
        <f t="shared" si="112"/>
        <v>3.3733315676042208E-2</v>
      </c>
      <c r="Q100" s="287">
        <f t="shared" si="112"/>
        <v>1.6834858851489054E-2</v>
      </c>
      <c r="R100" s="287">
        <f t="shared" si="112"/>
        <v>1.893186815819603E-2</v>
      </c>
      <c r="S100" s="287">
        <f>S99/R99-1</f>
        <v>-8.1933652406943613E-3</v>
      </c>
      <c r="T100" s="287">
        <f t="shared" ref="T100:AD100" si="113">T99/S99-1</f>
        <v>6.8431837239657511E-3</v>
      </c>
      <c r="U100" s="287">
        <f t="shared" si="113"/>
        <v>3.4138753112948228E-2</v>
      </c>
      <c r="V100" s="287">
        <f t="shared" si="113"/>
        <v>2.8872167181074104E-2</v>
      </c>
      <c r="W100" s="287">
        <f t="shared" si="113"/>
        <v>3.1091359531279616E-2</v>
      </c>
      <c r="X100" s="287">
        <f t="shared" si="113"/>
        <v>2.6845490404467043E-2</v>
      </c>
      <c r="Y100" s="287">
        <f t="shared" si="113"/>
        <v>1.9872590962264347E-2</v>
      </c>
      <c r="Z100" s="287">
        <f t="shared" si="113"/>
        <v>3.6804650621986568E-3</v>
      </c>
      <c r="AA100" s="287">
        <f t="shared" si="113"/>
        <v>9.2989317852965048E-3</v>
      </c>
      <c r="AB100" s="287">
        <f t="shared" si="113"/>
        <v>1.2230135959892863E-2</v>
      </c>
      <c r="AC100" s="287">
        <f t="shared" si="113"/>
        <v>1.4126059226263088E-2</v>
      </c>
      <c r="AD100" s="287">
        <f t="shared" si="113"/>
        <v>1.499999999999968E-2</v>
      </c>
    </row>
    <row r="101" spans="2:32">
      <c r="B101" s="161" t="s">
        <v>1127</v>
      </c>
      <c r="Q101" s="307">
        <f t="shared" ref="Q101:S101" si="114">Q99-Q96</f>
        <v>7.1713587678974022</v>
      </c>
      <c r="R101" s="307">
        <f t="shared" si="114"/>
        <v>14.88028226143058</v>
      </c>
      <c r="S101" s="307">
        <f t="shared" si="114"/>
        <v>11.829449556763393</v>
      </c>
      <c r="T101" s="307">
        <f>T99-T96</f>
        <v>14.904077736460579</v>
      </c>
    </row>
    <row r="103" spans="2:32">
      <c r="D103" s="307"/>
      <c r="E103" s="307"/>
      <c r="F103" s="307"/>
      <c r="G103" s="265"/>
      <c r="H103" s="265"/>
      <c r="I103" s="265"/>
      <c r="J103" s="265"/>
      <c r="K103" s="265"/>
      <c r="L103" s="265"/>
      <c r="M103" s="265"/>
      <c r="N103" s="265"/>
      <c r="O103" s="265"/>
      <c r="P103" s="265"/>
      <c r="Q103" s="265"/>
      <c r="R103" s="265"/>
      <c r="S103" s="265"/>
      <c r="T103" s="265"/>
      <c r="U103" s="265"/>
      <c r="V103" s="265"/>
      <c r="W103" s="265"/>
      <c r="X103" s="265"/>
      <c r="Y103" s="265"/>
      <c r="Z103" s="265"/>
      <c r="AA103" s="265"/>
      <c r="AB103" s="265"/>
      <c r="AC103" s="265"/>
      <c r="AD103" s="265"/>
    </row>
    <row r="104" spans="2:32">
      <c r="B104" s="163" t="s">
        <v>355</v>
      </c>
      <c r="D104" s="307"/>
      <c r="E104" s="307"/>
      <c r="F104" s="307"/>
      <c r="G104" s="307"/>
      <c r="H104" s="307"/>
      <c r="I104" s="307"/>
      <c r="J104" s="307"/>
      <c r="K104" s="307"/>
      <c r="L104" s="307"/>
      <c r="M104" s="307"/>
      <c r="N104" s="307"/>
      <c r="O104" s="307"/>
      <c r="P104" s="307"/>
      <c r="Q104" s="307"/>
      <c r="R104" s="307"/>
      <c r="S104" s="307"/>
      <c r="T104" s="307"/>
      <c r="U104" s="307"/>
      <c r="V104" s="307"/>
      <c r="W104" s="307"/>
      <c r="X104" s="307"/>
      <c r="Y104" s="307"/>
      <c r="Z104" s="307"/>
      <c r="AA104" s="307"/>
      <c r="AB104" s="307"/>
      <c r="AC104" s="307"/>
      <c r="AD104" s="307"/>
    </row>
    <row r="105" spans="2:32">
      <c r="B105" s="161" t="str">
        <f>B59</f>
        <v>Video</v>
      </c>
      <c r="D105" s="307"/>
      <c r="E105" s="307"/>
      <c r="F105" s="307">
        <f t="shared" ref="F105:R105" si="115">F59/AVERAGE(E15,F15)/12*1000</f>
        <v>225.67187548635502</v>
      </c>
      <c r="G105" s="307">
        <f t="shared" si="115"/>
        <v>226.73805019782398</v>
      </c>
      <c r="H105" s="307">
        <f t="shared" si="115"/>
        <v>233.60965119019562</v>
      </c>
      <c r="I105" s="307">
        <f t="shared" si="115"/>
        <v>228.58817035612225</v>
      </c>
      <c r="J105" s="307">
        <f t="shared" si="115"/>
        <v>218.83764712150125</v>
      </c>
      <c r="K105" s="307">
        <f t="shared" si="115"/>
        <v>223.24612388314668</v>
      </c>
      <c r="L105" s="307">
        <f t="shared" si="115"/>
        <v>207.6831818832141</v>
      </c>
      <c r="M105" s="307">
        <f t="shared" si="115"/>
        <v>217.04408145626405</v>
      </c>
      <c r="N105" s="307">
        <f t="shared" si="115"/>
        <v>232.52224765090381</v>
      </c>
      <c r="O105" s="307">
        <f t="shared" si="115"/>
        <v>232.15367991011482</v>
      </c>
      <c r="P105" s="307">
        <f t="shared" si="115"/>
        <v>227.25207534856358</v>
      </c>
      <c r="Q105" s="307">
        <f t="shared" si="115"/>
        <v>228.13968899310996</v>
      </c>
      <c r="R105" s="307">
        <f t="shared" si="115"/>
        <v>236.69200455419545</v>
      </c>
      <c r="S105" s="307">
        <f t="shared" ref="S105:X105" si="116">(1+S106)*R105</f>
        <v>242.60930466805033</v>
      </c>
      <c r="T105" s="307">
        <f t="shared" si="116"/>
        <v>245.03539771473083</v>
      </c>
      <c r="U105" s="307">
        <f t="shared" si="116"/>
        <v>246.87316319759134</v>
      </c>
      <c r="V105" s="307">
        <f t="shared" si="116"/>
        <v>248.10752901357927</v>
      </c>
      <c r="W105" s="307">
        <f t="shared" si="116"/>
        <v>249.34806665864713</v>
      </c>
      <c r="X105" s="307">
        <f t="shared" si="116"/>
        <v>250.59480699194035</v>
      </c>
      <c r="Y105" s="307">
        <f t="shared" ref="Y105:AD105" si="117">(1+Y106)*X105</f>
        <v>251.84778102690001</v>
      </c>
      <c r="Z105" s="307">
        <f t="shared" si="117"/>
        <v>253.10701993203449</v>
      </c>
      <c r="AA105" s="307">
        <f t="shared" si="117"/>
        <v>254.37255503169465</v>
      </c>
      <c r="AB105" s="307">
        <f t="shared" si="117"/>
        <v>255.64441780685308</v>
      </c>
      <c r="AC105" s="307">
        <f t="shared" si="117"/>
        <v>256.9226398958873</v>
      </c>
      <c r="AD105" s="307">
        <f t="shared" si="117"/>
        <v>258.2072530953667</v>
      </c>
    </row>
    <row r="106" spans="2:32">
      <c r="B106" s="161" t="s">
        <v>131</v>
      </c>
      <c r="D106" s="307"/>
      <c r="E106" s="307"/>
      <c r="F106" s="307"/>
      <c r="G106" s="265">
        <f t="shared" ref="G106:R106" si="118">G105/F105-1</f>
        <v>4.7244465406741654E-3</v>
      </c>
      <c r="H106" s="265">
        <f t="shared" si="118"/>
        <v>3.0306342435141964E-2</v>
      </c>
      <c r="I106" s="265">
        <f t="shared" si="118"/>
        <v>-2.1495177140541499E-2</v>
      </c>
      <c r="J106" s="265">
        <f t="shared" si="118"/>
        <v>-4.2655414842467376E-2</v>
      </c>
      <c r="K106" s="265">
        <f t="shared" si="118"/>
        <v>2.014496509002317E-2</v>
      </c>
      <c r="L106" s="265">
        <f t="shared" si="118"/>
        <v>-6.9712036783575515E-2</v>
      </c>
      <c r="M106" s="265">
        <f t="shared" si="118"/>
        <v>4.5072978409555819E-2</v>
      </c>
      <c r="N106" s="265">
        <f t="shared" si="118"/>
        <v>7.13134681710208E-2</v>
      </c>
      <c r="O106" s="265">
        <f t="shared" si="118"/>
        <v>-1.5850859197883427E-3</v>
      </c>
      <c r="P106" s="265">
        <f t="shared" si="118"/>
        <v>-2.1113619923875615E-2</v>
      </c>
      <c r="Q106" s="265">
        <f t="shared" si="118"/>
        <v>3.9058549550534671E-3</v>
      </c>
      <c r="R106" s="265">
        <f t="shared" si="118"/>
        <v>3.7487188655472403E-2</v>
      </c>
      <c r="S106" s="292">
        <v>2.5000000000000001E-2</v>
      </c>
      <c r="T106" s="292">
        <v>0.01</v>
      </c>
      <c r="U106" s="292">
        <v>7.4999999999999997E-3</v>
      </c>
      <c r="V106" s="292">
        <v>5.0000000000000001E-3</v>
      </c>
      <c r="W106" s="292">
        <v>5.0000000000000001E-3</v>
      </c>
      <c r="X106" s="292">
        <v>5.0000000000000001E-3</v>
      </c>
      <c r="Y106" s="292">
        <v>5.0000000000000001E-3</v>
      </c>
      <c r="Z106" s="292">
        <v>5.0000000000000001E-3</v>
      </c>
      <c r="AA106" s="292">
        <v>5.0000000000000001E-3</v>
      </c>
      <c r="AB106" s="292">
        <v>5.0000000000000001E-3</v>
      </c>
      <c r="AC106" s="292">
        <v>5.0000000000000001E-3</v>
      </c>
      <c r="AD106" s="292">
        <v>5.0000000000000001E-3</v>
      </c>
    </row>
    <row r="107" spans="2:32">
      <c r="B107" s="161" t="str">
        <f>B60</f>
        <v>Internet</v>
      </c>
      <c r="D107" s="307"/>
      <c r="E107" s="307"/>
      <c r="F107" s="307">
        <f t="shared" ref="F107:R107" si="119">F60/AVERAGE(E25,F25)/12*1000</f>
        <v>210.88541221613156</v>
      </c>
      <c r="G107" s="307">
        <f t="shared" si="119"/>
        <v>197.24748023715412</v>
      </c>
      <c r="H107" s="307">
        <f t="shared" si="119"/>
        <v>198.96570548712208</v>
      </c>
      <c r="I107" s="307">
        <f t="shared" si="119"/>
        <v>183.50620544843702</v>
      </c>
      <c r="J107" s="307">
        <f t="shared" si="119"/>
        <v>183.95698503057136</v>
      </c>
      <c r="K107" s="307">
        <f t="shared" si="119"/>
        <v>183.03196206372675</v>
      </c>
      <c r="L107" s="307">
        <f t="shared" si="119"/>
        <v>176.42657955903562</v>
      </c>
      <c r="M107" s="307">
        <f t="shared" si="119"/>
        <v>181.31107732171728</v>
      </c>
      <c r="N107" s="307">
        <f t="shared" si="119"/>
        <v>182.61302168775953</v>
      </c>
      <c r="O107" s="307">
        <f t="shared" si="119"/>
        <v>181.06959201547056</v>
      </c>
      <c r="P107" s="307">
        <f t="shared" si="119"/>
        <v>186.14500369218345</v>
      </c>
      <c r="Q107" s="307">
        <f t="shared" si="119"/>
        <v>187.9313136332749</v>
      </c>
      <c r="R107" s="307">
        <f t="shared" si="119"/>
        <v>193.36563420066707</v>
      </c>
      <c r="S107" s="307">
        <f t="shared" ref="S107:X107" si="120">(1+S108)*R107</f>
        <v>203.03391591070044</v>
      </c>
      <c r="T107" s="307">
        <f t="shared" si="120"/>
        <v>207.09459422891445</v>
      </c>
      <c r="U107" s="307">
        <f t="shared" si="120"/>
        <v>209.16554017120359</v>
      </c>
      <c r="V107" s="307">
        <f t="shared" si="120"/>
        <v>211.25719557291563</v>
      </c>
      <c r="W107" s="307">
        <f t="shared" si="120"/>
        <v>213.36976752864479</v>
      </c>
      <c r="X107" s="307">
        <f t="shared" si="120"/>
        <v>215.50346520393123</v>
      </c>
      <c r="Y107" s="307">
        <f t="shared" ref="Y107:AD107" si="121">(1+Y108)*X107</f>
        <v>217.65849985597055</v>
      </c>
      <c r="Z107" s="307">
        <f t="shared" si="121"/>
        <v>219.83508485453027</v>
      </c>
      <c r="AA107" s="307">
        <f t="shared" si="121"/>
        <v>222.03343570307558</v>
      </c>
      <c r="AB107" s="307">
        <f t="shared" si="121"/>
        <v>224.25377006010635</v>
      </c>
      <c r="AC107" s="307">
        <f t="shared" si="121"/>
        <v>226.49630776070742</v>
      </c>
      <c r="AD107" s="307">
        <f t="shared" si="121"/>
        <v>228.76127083831449</v>
      </c>
      <c r="AF107" s="264">
        <f>Quarts!DV68</f>
        <v>0.19666670991418278</v>
      </c>
    </row>
    <row r="108" spans="2:32">
      <c r="B108" s="161" t="s">
        <v>131</v>
      </c>
      <c r="D108" s="307"/>
      <c r="E108" s="307"/>
      <c r="F108" s="307"/>
      <c r="G108" s="265">
        <f t="shared" ref="G108:R108" si="122">G107/F107-1</f>
        <v>-6.4669868985533396E-2</v>
      </c>
      <c r="H108" s="265">
        <f t="shared" si="122"/>
        <v>8.7110124190286076E-3</v>
      </c>
      <c r="I108" s="265">
        <f t="shared" si="122"/>
        <v>-7.7699320095571345E-2</v>
      </c>
      <c r="J108" s="265">
        <f t="shared" si="122"/>
        <v>2.4564814090770604E-3</v>
      </c>
      <c r="K108" s="265">
        <f t="shared" si="122"/>
        <v>-5.028474274520689E-3</v>
      </c>
      <c r="L108" s="265">
        <f t="shared" si="122"/>
        <v>-3.6088683256268239E-2</v>
      </c>
      <c r="M108" s="265">
        <f t="shared" si="122"/>
        <v>2.7685724990475169E-2</v>
      </c>
      <c r="N108" s="265">
        <f t="shared" si="122"/>
        <v>7.1807215823449511E-3</v>
      </c>
      <c r="O108" s="265">
        <f t="shared" si="122"/>
        <v>-8.4519146445536375E-3</v>
      </c>
      <c r="P108" s="265">
        <f t="shared" si="122"/>
        <v>2.8030171274032734E-2</v>
      </c>
      <c r="Q108" s="265">
        <f t="shared" si="122"/>
        <v>9.5963356827204471E-3</v>
      </c>
      <c r="R108" s="265">
        <f t="shared" si="122"/>
        <v>2.8916525204504273E-2</v>
      </c>
      <c r="S108" s="292">
        <v>0.05</v>
      </c>
      <c r="T108" s="292">
        <v>0.02</v>
      </c>
      <c r="U108" s="292">
        <v>0.01</v>
      </c>
      <c r="V108" s="292">
        <v>0.01</v>
      </c>
      <c r="W108" s="292">
        <v>0.01</v>
      </c>
      <c r="X108" s="292">
        <v>0.01</v>
      </c>
      <c r="Y108" s="292">
        <v>0.01</v>
      </c>
      <c r="Z108" s="292">
        <v>0.01</v>
      </c>
      <c r="AA108" s="292">
        <v>0.01</v>
      </c>
      <c r="AB108" s="292">
        <v>0.01</v>
      </c>
      <c r="AC108" s="292">
        <v>0.01</v>
      </c>
      <c r="AD108" s="292">
        <v>0.01</v>
      </c>
    </row>
    <row r="109" spans="2:32">
      <c r="B109" s="161" t="str">
        <f>B61</f>
        <v>Voice</v>
      </c>
      <c r="D109" s="307"/>
      <c r="E109" s="307"/>
      <c r="F109" s="307">
        <f t="shared" ref="F109:R109" si="123">F61/AVERAGE(E34,F34)/12*1000</f>
        <v>197.10645835073069</v>
      </c>
      <c r="G109" s="307">
        <f t="shared" si="123"/>
        <v>179.50199809705046</v>
      </c>
      <c r="H109" s="307">
        <f t="shared" si="123"/>
        <v>180.5734347442681</v>
      </c>
      <c r="I109" s="307">
        <f t="shared" si="123"/>
        <v>162.40031167564794</v>
      </c>
      <c r="J109" s="307">
        <f t="shared" si="123"/>
        <v>139.89775304061016</v>
      </c>
      <c r="K109" s="307">
        <f t="shared" si="123"/>
        <v>132.0147455357143</v>
      </c>
      <c r="L109" s="307">
        <f t="shared" si="123"/>
        <v>103.49396623155506</v>
      </c>
      <c r="M109" s="307">
        <f t="shared" si="123"/>
        <v>84.162114443597559</v>
      </c>
      <c r="N109" s="307">
        <f t="shared" si="123"/>
        <v>67.426950162941665</v>
      </c>
      <c r="O109" s="307">
        <f t="shared" si="123"/>
        <v>64.202562165557055</v>
      </c>
      <c r="P109" s="307">
        <f t="shared" si="123"/>
        <v>68.850280941422398</v>
      </c>
      <c r="Q109" s="307">
        <f t="shared" si="123"/>
        <v>63.70155904344886</v>
      </c>
      <c r="R109" s="307">
        <f t="shared" si="123"/>
        <v>56.909166470750087</v>
      </c>
      <c r="S109" s="307">
        <f t="shared" ref="S109:X109" si="124">(1+S110)*R109</f>
        <v>54.205981063389459</v>
      </c>
      <c r="T109" s="307">
        <f t="shared" si="124"/>
        <v>53.12186144212167</v>
      </c>
      <c r="U109" s="307">
        <f t="shared" si="124"/>
        <v>53.12186144212167</v>
      </c>
      <c r="V109" s="307">
        <f t="shared" si="124"/>
        <v>53.12186144212167</v>
      </c>
      <c r="W109" s="307">
        <f t="shared" si="124"/>
        <v>53.12186144212167</v>
      </c>
      <c r="X109" s="307">
        <f t="shared" si="124"/>
        <v>53.12186144212167</v>
      </c>
      <c r="Y109" s="307">
        <f t="shared" ref="Y109:AD109" si="125">(1+Y110)*X109</f>
        <v>53.12186144212167</v>
      </c>
      <c r="Z109" s="307">
        <f t="shared" si="125"/>
        <v>53.12186144212167</v>
      </c>
      <c r="AA109" s="307">
        <f t="shared" si="125"/>
        <v>53.12186144212167</v>
      </c>
      <c r="AB109" s="307">
        <f t="shared" si="125"/>
        <v>53.12186144212167</v>
      </c>
      <c r="AC109" s="307">
        <f t="shared" si="125"/>
        <v>53.12186144212167</v>
      </c>
      <c r="AD109" s="307">
        <f t="shared" si="125"/>
        <v>53.12186144212167</v>
      </c>
    </row>
    <row r="110" spans="2:32">
      <c r="B110" s="161" t="s">
        <v>131</v>
      </c>
      <c r="D110" s="307"/>
      <c r="E110" s="307"/>
      <c r="F110" s="307"/>
      <c r="G110" s="265">
        <f t="shared" ref="G110:R110" si="126">G109/F109-1</f>
        <v>-8.9314477064748932E-2</v>
      </c>
      <c r="H110" s="265">
        <f t="shared" si="126"/>
        <v>5.9689399481690497E-3</v>
      </c>
      <c r="I110" s="265">
        <f t="shared" si="126"/>
        <v>-0.10064117733794742</v>
      </c>
      <c r="J110" s="265">
        <f t="shared" si="126"/>
        <v>-0.13856228724474828</v>
      </c>
      <c r="K110" s="265">
        <f t="shared" si="126"/>
        <v>-5.6348349659394059E-2</v>
      </c>
      <c r="L110" s="265">
        <f t="shared" si="126"/>
        <v>-0.21604237608777899</v>
      </c>
      <c r="M110" s="265">
        <f t="shared" si="126"/>
        <v>-0.18679206616456123</v>
      </c>
      <c r="N110" s="265">
        <f t="shared" si="126"/>
        <v>-0.19884438967929219</v>
      </c>
      <c r="O110" s="265">
        <f t="shared" si="126"/>
        <v>-4.7820463325015661E-2</v>
      </c>
      <c r="P110" s="265">
        <f t="shared" si="126"/>
        <v>7.2391484375349702E-2</v>
      </c>
      <c r="Q110" s="265">
        <f t="shared" si="126"/>
        <v>-7.478142176869329E-2</v>
      </c>
      <c r="R110" s="265">
        <f t="shared" si="126"/>
        <v>-0.10662835689886163</v>
      </c>
      <c r="S110" s="292">
        <v>-4.7500000000000001E-2</v>
      </c>
      <c r="T110" s="292">
        <v>-0.02</v>
      </c>
      <c r="U110" s="292">
        <v>0</v>
      </c>
      <c r="V110" s="292">
        <v>0</v>
      </c>
      <c r="W110" s="292">
        <v>0</v>
      </c>
      <c r="X110" s="292">
        <v>0</v>
      </c>
      <c r="Y110" s="292">
        <v>0</v>
      </c>
      <c r="Z110" s="292">
        <v>0</v>
      </c>
      <c r="AA110" s="292">
        <v>0</v>
      </c>
      <c r="AB110" s="292">
        <v>0</v>
      </c>
      <c r="AC110" s="292">
        <v>0</v>
      </c>
      <c r="AD110" s="292">
        <v>0</v>
      </c>
    </row>
    <row r="111" spans="2:32">
      <c r="B111" s="161" t="s">
        <v>356</v>
      </c>
      <c r="D111" s="307"/>
      <c r="E111" s="307"/>
      <c r="F111" s="307">
        <f t="shared" ref="F111:R111" si="127">F79/AVERAGE(E46,F46)/12*1000</f>
        <v>20.414932581249992</v>
      </c>
      <c r="G111" s="307">
        <f t="shared" si="127"/>
        <v>21.740929326655557</v>
      </c>
      <c r="H111" s="307">
        <f t="shared" si="127"/>
        <v>25.920924300397633</v>
      </c>
      <c r="I111" s="307">
        <f t="shared" si="127"/>
        <v>46.188496188496188</v>
      </c>
      <c r="J111" s="307">
        <f t="shared" si="127"/>
        <v>79.322638146167563</v>
      </c>
      <c r="K111" s="307">
        <f t="shared" si="127"/>
        <v>81.982265596306206</v>
      </c>
      <c r="L111" s="307">
        <f t="shared" si="127"/>
        <v>69.941363546014713</v>
      </c>
      <c r="M111" s="307">
        <f t="shared" si="127"/>
        <v>82.118700581118404</v>
      </c>
      <c r="N111" s="307">
        <f t="shared" si="127"/>
        <v>98.261159580852151</v>
      </c>
      <c r="O111" s="307">
        <f t="shared" si="127"/>
        <v>86.077679319314029</v>
      </c>
      <c r="P111" s="307">
        <f t="shared" si="127"/>
        <v>86.525220543486824</v>
      </c>
      <c r="Q111" s="307">
        <f t="shared" si="127"/>
        <v>100.95710374132618</v>
      </c>
      <c r="R111" s="307">
        <f t="shared" si="127"/>
        <v>96.373592385127267</v>
      </c>
      <c r="S111" s="307">
        <f t="shared" ref="S111:X111" si="128">(1+S112)*R111</f>
        <v>106.01095162364</v>
      </c>
      <c r="T111" s="307">
        <f t="shared" si="128"/>
        <v>116.612046786004</v>
      </c>
      <c r="U111" s="307">
        <f t="shared" si="128"/>
        <v>128.27325146460441</v>
      </c>
      <c r="V111" s="307">
        <f t="shared" si="128"/>
        <v>141.10057661106487</v>
      </c>
      <c r="W111" s="307">
        <f t="shared" si="128"/>
        <v>155.21063427217138</v>
      </c>
      <c r="X111" s="307">
        <f t="shared" si="128"/>
        <v>170.73169769938852</v>
      </c>
      <c r="Y111" s="307">
        <f t="shared" ref="Y111:AD111" si="129">(1+Y112)*X111</f>
        <v>187.80486746932738</v>
      </c>
      <c r="Z111" s="307">
        <f t="shared" si="129"/>
        <v>206.58535421626013</v>
      </c>
      <c r="AA111" s="307">
        <f t="shared" si="129"/>
        <v>227.24388963788616</v>
      </c>
      <c r="AB111" s="307">
        <f t="shared" si="129"/>
        <v>249.9682786016748</v>
      </c>
      <c r="AC111" s="307">
        <f t="shared" si="129"/>
        <v>274.96510646184231</v>
      </c>
      <c r="AD111" s="307">
        <f t="shared" si="129"/>
        <v>302.46161710802659</v>
      </c>
    </row>
    <row r="112" spans="2:32">
      <c r="B112" s="161" t="s">
        <v>131</v>
      </c>
      <c r="D112" s="307"/>
      <c r="E112" s="307"/>
      <c r="F112" s="307"/>
      <c r="G112" s="265">
        <f t="shared" ref="G112:R112" si="130">G111/F111-1</f>
        <v>6.4952296076814964E-2</v>
      </c>
      <c r="H112" s="265">
        <f t="shared" si="130"/>
        <v>0.19226385914502631</v>
      </c>
      <c r="I112" s="265">
        <f t="shared" si="130"/>
        <v>0.78190004543115954</v>
      </c>
      <c r="J112" s="265">
        <f t="shared" si="130"/>
        <v>0.71736784463495562</v>
      </c>
      <c r="K112" s="265">
        <f t="shared" si="130"/>
        <v>3.3529235944444569E-2</v>
      </c>
      <c r="L112" s="265">
        <f t="shared" si="130"/>
        <v>-0.14687203339296351</v>
      </c>
      <c r="M112" s="265">
        <f t="shared" si="130"/>
        <v>0.17410780141699944</v>
      </c>
      <c r="N112" s="265">
        <f t="shared" si="130"/>
        <v>0.19657470083550477</v>
      </c>
      <c r="O112" s="265">
        <f t="shared" si="130"/>
        <v>-0.12399080484607139</v>
      </c>
      <c r="P112" s="265">
        <f t="shared" si="130"/>
        <v>5.1992714918880356E-3</v>
      </c>
      <c r="Q112" s="265">
        <f t="shared" si="130"/>
        <v>0.16679394871447939</v>
      </c>
      <c r="R112" s="265">
        <f t="shared" si="130"/>
        <v>-4.5400582884616569E-2</v>
      </c>
      <c r="S112" s="292">
        <v>0.1</v>
      </c>
      <c r="T112" s="292">
        <v>0.1</v>
      </c>
      <c r="U112" s="292">
        <v>0.1</v>
      </c>
      <c r="V112" s="292">
        <v>0.1</v>
      </c>
      <c r="W112" s="292">
        <v>0.1</v>
      </c>
      <c r="X112" s="292">
        <v>0.1</v>
      </c>
      <c r="Y112" s="292">
        <v>0.1</v>
      </c>
      <c r="Z112" s="292">
        <v>0.1</v>
      </c>
      <c r="AA112" s="292">
        <v>0.1</v>
      </c>
      <c r="AB112" s="292">
        <v>0.1</v>
      </c>
      <c r="AC112" s="292">
        <v>0.1</v>
      </c>
      <c r="AD112" s="292">
        <v>0.1</v>
      </c>
    </row>
    <row r="113" spans="2:32">
      <c r="D113" s="307"/>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row>
    <row r="114" spans="2:32">
      <c r="B114" s="161" t="s">
        <v>357</v>
      </c>
      <c r="D114" s="263">
        <f t="shared" ref="D114:AD114" si="131">D81/AVERAGE(C43,D43)/12*1000</f>
        <v>227.64791336502907</v>
      </c>
      <c r="E114" s="263">
        <f t="shared" si="131"/>
        <v>234.45110528287751</v>
      </c>
      <c r="F114" s="263">
        <f t="shared" si="131"/>
        <v>231.63746630727763</v>
      </c>
      <c r="G114" s="263">
        <f t="shared" si="131"/>
        <v>226.24628257472656</v>
      </c>
      <c r="H114" s="263">
        <f t="shared" si="131"/>
        <v>234.25938852436133</v>
      </c>
      <c r="I114" s="263">
        <f t="shared" si="131"/>
        <v>235.24563345633456</v>
      </c>
      <c r="J114" s="263">
        <f t="shared" si="131"/>
        <v>242.16239145623317</v>
      </c>
      <c r="K114" s="263">
        <f t="shared" si="131"/>
        <v>239.17659625712128</v>
      </c>
      <c r="L114" s="263">
        <f t="shared" si="131"/>
        <v>212.39775671873844</v>
      </c>
      <c r="M114" s="263">
        <f t="shared" si="131"/>
        <v>214.68801776128308</v>
      </c>
      <c r="N114" s="263">
        <f t="shared" si="131"/>
        <v>219.40876896500197</v>
      </c>
      <c r="O114" s="263">
        <f t="shared" si="131"/>
        <v>207.28928303139418</v>
      </c>
      <c r="P114" s="263">
        <f t="shared" si="131"/>
        <v>205.7513020739371</v>
      </c>
      <c r="Q114" s="263">
        <f t="shared" si="131"/>
        <v>209.31418969583683</v>
      </c>
      <c r="R114" s="263">
        <f t="shared" si="131"/>
        <v>207.99505851128572</v>
      </c>
      <c r="S114" s="263">
        <f t="shared" si="131"/>
        <v>205.41634016068596</v>
      </c>
      <c r="T114" s="263">
        <f t="shared" si="131"/>
        <v>204.3083792976154</v>
      </c>
      <c r="U114" s="263">
        <f t="shared" si="131"/>
        <v>208.9597019657833</v>
      </c>
      <c r="V114" s="263">
        <f t="shared" si="131"/>
        <v>214.42055687219511</v>
      </c>
      <c r="W114" s="263">
        <f t="shared" si="131"/>
        <v>220.79493827191158</v>
      </c>
      <c r="X114" s="263">
        <f t="shared" si="131"/>
        <v>226.7222866686451</v>
      </c>
      <c r="Y114" s="263">
        <f t="shared" si="131"/>
        <v>231.61502302324962</v>
      </c>
      <c r="Z114" s="263">
        <f t="shared" si="131"/>
        <v>233.59308005213541</v>
      </c>
      <c r="AA114" s="263">
        <f t="shared" si="131"/>
        <v>236.9404940612441</v>
      </c>
      <c r="AB114" s="263">
        <f t="shared" si="131"/>
        <v>241.06895127701179</v>
      </c>
      <c r="AC114" s="263">
        <f t="shared" si="131"/>
        <v>245.76536786190979</v>
      </c>
      <c r="AD114" s="263">
        <f t="shared" si="131"/>
        <v>250.80746379646163</v>
      </c>
    </row>
    <row r="115" spans="2:32">
      <c r="B115" s="161" t="s">
        <v>131</v>
      </c>
      <c r="D115" s="263"/>
      <c r="E115" s="264">
        <f>E114/D114-1</f>
        <v>2.9884710196924402E-2</v>
      </c>
      <c r="F115" s="264">
        <f t="shared" ref="F115:O115" si="132">F114/E114-1</f>
        <v>-1.2000962726130382E-2</v>
      </c>
      <c r="G115" s="264">
        <f t="shared" si="132"/>
        <v>-2.3274230281035035E-2</v>
      </c>
      <c r="H115" s="264">
        <f t="shared" si="132"/>
        <v>3.5417624804456649E-2</v>
      </c>
      <c r="I115" s="264">
        <f t="shared" si="132"/>
        <v>4.2100550939954129E-3</v>
      </c>
      <c r="J115" s="264">
        <f t="shared" si="132"/>
        <v>2.9402280069026121E-2</v>
      </c>
      <c r="K115" s="264">
        <f t="shared" si="132"/>
        <v>-1.2329722964647516E-2</v>
      </c>
      <c r="L115" s="264">
        <f t="shared" si="132"/>
        <v>-0.11196262492838083</v>
      </c>
      <c r="M115" s="264">
        <f t="shared" si="132"/>
        <v>1.0782887154394238E-2</v>
      </c>
      <c r="N115" s="264">
        <f t="shared" si="132"/>
        <v>2.1988889985318227E-2</v>
      </c>
      <c r="O115" s="264">
        <f t="shared" si="132"/>
        <v>-5.5237017147391154E-2</v>
      </c>
      <c r="P115" s="264">
        <f t="shared" ref="P115:X115" si="133">P114/O114-1</f>
        <v>-7.4194909402245379E-3</v>
      </c>
      <c r="Q115" s="264">
        <f t="shared" si="133"/>
        <v>1.7316476668611358E-2</v>
      </c>
      <c r="R115" s="264">
        <f t="shared" si="133"/>
        <v>-6.3021584273287301E-3</v>
      </c>
      <c r="S115" s="264">
        <f t="shared" si="133"/>
        <v>-1.2397978918618602E-2</v>
      </c>
      <c r="T115" s="264">
        <f t="shared" si="133"/>
        <v>-5.3937328559346964E-3</v>
      </c>
      <c r="U115" s="264">
        <f t="shared" si="133"/>
        <v>2.2766186507663155E-2</v>
      </c>
      <c r="V115" s="264">
        <f t="shared" si="133"/>
        <v>2.6133531274398658E-2</v>
      </c>
      <c r="W115" s="264">
        <f t="shared" si="133"/>
        <v>2.9728406141188657E-2</v>
      </c>
      <c r="X115" s="264">
        <f t="shared" si="133"/>
        <v>2.6845490404467265E-2</v>
      </c>
      <c r="Y115" s="264">
        <f t="shared" ref="Y115:AD115" si="134">Y114/X114-1</f>
        <v>2.1580306137946037E-2</v>
      </c>
      <c r="Z115" s="264">
        <f t="shared" si="134"/>
        <v>8.5402794821614059E-3</v>
      </c>
      <c r="AA115" s="264">
        <f t="shared" si="134"/>
        <v>1.4330107759876975E-2</v>
      </c>
      <c r="AB115" s="264">
        <f t="shared" si="134"/>
        <v>1.7424025522208009E-2</v>
      </c>
      <c r="AC115" s="264">
        <f t="shared" si="134"/>
        <v>1.948163195641639E-2</v>
      </c>
      <c r="AD115" s="264">
        <f t="shared" si="134"/>
        <v>2.0515892773732336E-2</v>
      </c>
    </row>
    <row r="116" spans="2:32">
      <c r="B116" s="161" t="s">
        <v>66</v>
      </c>
      <c r="F116" s="279">
        <v>12.4</v>
      </c>
      <c r="G116" s="279">
        <v>13.2</v>
      </c>
      <c r="H116" s="279">
        <v>12.76</v>
      </c>
      <c r="I116" s="279">
        <v>13.3</v>
      </c>
      <c r="J116" s="279">
        <v>16.5</v>
      </c>
      <c r="K116" s="279">
        <v>18.899999999999999</v>
      </c>
      <c r="L116" s="279">
        <v>18.5</v>
      </c>
      <c r="M116" s="279">
        <v>19.2</v>
      </c>
      <c r="N116" s="356">
        <v>19.25</v>
      </c>
      <c r="O116" s="356">
        <v>20</v>
      </c>
      <c r="P116" s="335">
        <v>20.285299999999999</v>
      </c>
      <c r="Q116" s="335">
        <v>20.100000000000001</v>
      </c>
      <c r="R116" s="335">
        <v>17.73</v>
      </c>
      <c r="S116" s="357">
        <f>Valuation!Q17</f>
        <v>18.3</v>
      </c>
      <c r="T116" s="357">
        <f>Valuation!R17</f>
        <v>19.2</v>
      </c>
      <c r="U116" s="357">
        <f>Valuation!S17</f>
        <v>17.364999999999998</v>
      </c>
      <c r="V116" s="357">
        <f>Valuation!T17</f>
        <v>17.712299999999999</v>
      </c>
      <c r="W116" s="357">
        <f>Valuation!U17</f>
        <v>18.066545999999999</v>
      </c>
      <c r="X116" s="357">
        <f>Valuation!V17</f>
        <v>18.427876919999999</v>
      </c>
      <c r="Y116" s="357">
        <f>Valuation!W17</f>
        <v>18.7964344584</v>
      </c>
      <c r="Z116" s="357">
        <f>Valuation!X17</f>
        <v>19.172363147567999</v>
      </c>
      <c r="AA116" s="357">
        <f>Valuation!Y17</f>
        <v>19.55581041051936</v>
      </c>
      <c r="AB116" s="357">
        <f>Valuation!Z17</f>
        <v>19.946926618729748</v>
      </c>
      <c r="AC116" s="357">
        <f>Valuation!AA17</f>
        <v>20.345865151104341</v>
      </c>
      <c r="AD116" s="357">
        <f>Valuation!AB17</f>
        <v>20.752782454126429</v>
      </c>
    </row>
    <row r="117" spans="2:32">
      <c r="B117" s="161" t="s">
        <v>358</v>
      </c>
      <c r="F117" s="266">
        <f>F114/F116</f>
        <v>18.680440831232065</v>
      </c>
      <c r="G117" s="266">
        <f t="shared" ref="G117:O117" si="135">G114/G116</f>
        <v>17.139869892024741</v>
      </c>
      <c r="H117" s="266">
        <f t="shared" si="135"/>
        <v>18.3588862479907</v>
      </c>
      <c r="I117" s="266">
        <f t="shared" si="135"/>
        <v>17.687641613258236</v>
      </c>
      <c r="J117" s="266">
        <f t="shared" si="135"/>
        <v>14.676508573105041</v>
      </c>
      <c r="K117" s="266">
        <f t="shared" si="135"/>
        <v>12.65484636281065</v>
      </c>
      <c r="L117" s="266">
        <f t="shared" si="135"/>
        <v>11.48095982263451</v>
      </c>
      <c r="M117" s="266">
        <f t="shared" si="135"/>
        <v>11.181667591733493</v>
      </c>
      <c r="N117" s="266">
        <f t="shared" si="135"/>
        <v>11.39785812805205</v>
      </c>
      <c r="O117" s="266">
        <f t="shared" si="135"/>
        <v>10.36446415156971</v>
      </c>
      <c r="P117" s="266">
        <f t="shared" ref="P117:AD117" si="136">P114/P116</f>
        <v>10.142876963808131</v>
      </c>
      <c r="Q117" s="266">
        <f t="shared" si="136"/>
        <v>10.413641278399842</v>
      </c>
      <c r="R117" s="266">
        <f t="shared" si="136"/>
        <v>11.731249775030216</v>
      </c>
      <c r="S117" s="266">
        <f t="shared" si="136"/>
        <v>11.224936620802511</v>
      </c>
      <c r="T117" s="266">
        <f t="shared" si="136"/>
        <v>10.641061421750802</v>
      </c>
      <c r="U117" s="266">
        <f t="shared" si="136"/>
        <v>12.033383355357518</v>
      </c>
      <c r="V117" s="266">
        <f t="shared" si="136"/>
        <v>12.105743289815276</v>
      </c>
      <c r="W117" s="266">
        <f t="shared" si="136"/>
        <v>12.221203669584192</v>
      </c>
      <c r="X117" s="266">
        <f t="shared" si="136"/>
        <v>12.303223407281424</v>
      </c>
      <c r="Y117" s="266">
        <f t="shared" si="136"/>
        <v>12.322285034209902</v>
      </c>
      <c r="Z117" s="266">
        <f t="shared" si="136"/>
        <v>12.183843913981283</v>
      </c>
      <c r="AA117" s="266">
        <f t="shared" si="136"/>
        <v>12.11611736293937</v>
      </c>
      <c r="AB117" s="266">
        <f t="shared" si="136"/>
        <v>12.085518530491463</v>
      </c>
      <c r="AC117" s="266">
        <f t="shared" si="136"/>
        <v>12.079376622063675</v>
      </c>
      <c r="AD117" s="266">
        <f t="shared" si="136"/>
        <v>12.085486095701434</v>
      </c>
    </row>
    <row r="119" spans="2:32">
      <c r="B119" s="161" t="s">
        <v>359</v>
      </c>
      <c r="E119" s="263"/>
      <c r="F119" s="263">
        <f t="shared" ref="F119:R119" si="137">F81/AVERAGE(E46,F46)/12*1000</f>
        <v>343.75</v>
      </c>
      <c r="G119" s="263">
        <f t="shared" si="137"/>
        <v>356.82486684156129</v>
      </c>
      <c r="H119" s="263">
        <f t="shared" si="137"/>
        <v>377.67274364168355</v>
      </c>
      <c r="I119" s="263">
        <f t="shared" si="137"/>
        <v>397.61891891891901</v>
      </c>
      <c r="J119" s="263">
        <f t="shared" si="137"/>
        <v>432.482174688057</v>
      </c>
      <c r="K119" s="263">
        <f t="shared" si="137"/>
        <v>449.36437162364234</v>
      </c>
      <c r="L119" s="263">
        <f t="shared" si="137"/>
        <v>427.67687835420395</v>
      </c>
      <c r="M119" s="263">
        <f t="shared" si="137"/>
        <v>462.90761646184626</v>
      </c>
      <c r="N119" s="263">
        <f t="shared" si="137"/>
        <v>498.61376540645335</v>
      </c>
      <c r="O119" s="263">
        <f t="shared" si="137"/>
        <v>493.56189657452728</v>
      </c>
      <c r="P119" s="263">
        <f t="shared" si="137"/>
        <v>507.75523153237509</v>
      </c>
      <c r="Q119" s="263">
        <f t="shared" si="137"/>
        <v>529.27846250922357</v>
      </c>
      <c r="R119" s="263">
        <f t="shared" si="137"/>
        <v>532.80387464655792</v>
      </c>
      <c r="S119" s="263">
        <f t="shared" ref="S119:X119" si="138">R119*(1+S120)</f>
        <v>559.44406837888585</v>
      </c>
      <c r="T119" s="263">
        <f t="shared" si="138"/>
        <v>587.41627179783018</v>
      </c>
      <c r="U119" s="263">
        <f t="shared" si="138"/>
        <v>616.78708538772173</v>
      </c>
      <c r="V119" s="263">
        <f t="shared" si="138"/>
        <v>647.62643965710788</v>
      </c>
      <c r="W119" s="263">
        <f t="shared" si="138"/>
        <v>680.00776163996329</v>
      </c>
      <c r="X119" s="263">
        <f t="shared" si="138"/>
        <v>714.00814972196144</v>
      </c>
      <c r="Y119" s="263">
        <f t="shared" ref="Y119:AD119" si="139">X119*(1+Y120)</f>
        <v>749.70855720805957</v>
      </c>
      <c r="Z119" s="263">
        <f t="shared" si="139"/>
        <v>787.19398506846255</v>
      </c>
      <c r="AA119" s="263">
        <f t="shared" si="139"/>
        <v>826.55368432188573</v>
      </c>
      <c r="AB119" s="263">
        <f t="shared" si="139"/>
        <v>867.88136853798005</v>
      </c>
      <c r="AC119" s="263">
        <f t="shared" si="139"/>
        <v>911.27543696487908</v>
      </c>
      <c r="AD119" s="263">
        <f t="shared" si="139"/>
        <v>956.83920881312304</v>
      </c>
    </row>
    <row r="120" spans="2:32">
      <c r="B120" s="161" t="s">
        <v>131</v>
      </c>
      <c r="F120" s="263"/>
      <c r="G120" s="264">
        <f t="shared" ref="G120:R120" si="140">G119/F119-1</f>
        <v>3.8035976266360016E-2</v>
      </c>
      <c r="H120" s="264">
        <f t="shared" si="140"/>
        <v>5.8426076031800722E-2</v>
      </c>
      <c r="I120" s="264">
        <f t="shared" si="140"/>
        <v>5.2813383049318929E-2</v>
      </c>
      <c r="J120" s="264">
        <f t="shared" si="140"/>
        <v>8.768007282934942E-2</v>
      </c>
      <c r="K120" s="264">
        <f t="shared" si="140"/>
        <v>3.9035590189959279E-2</v>
      </c>
      <c r="L120" s="264">
        <f t="shared" si="140"/>
        <v>-4.8262600773348319E-2</v>
      </c>
      <c r="M120" s="264">
        <f t="shared" si="140"/>
        <v>8.2376999764911529E-2</v>
      </c>
      <c r="N120" s="264">
        <f t="shared" si="140"/>
        <v>7.7134503030044765E-2</v>
      </c>
      <c r="O120" s="264">
        <f t="shared" si="140"/>
        <v>-1.013182784435962E-2</v>
      </c>
      <c r="P120" s="264">
        <f t="shared" si="140"/>
        <v>2.8756950356893407E-2</v>
      </c>
      <c r="Q120" s="264">
        <f t="shared" si="140"/>
        <v>4.2388989103849584E-2</v>
      </c>
      <c r="R120" s="264">
        <f t="shared" si="140"/>
        <v>6.6607889552523503E-3</v>
      </c>
      <c r="S120" s="292">
        <v>0.05</v>
      </c>
      <c r="T120" s="292">
        <v>0.05</v>
      </c>
      <c r="U120" s="292">
        <v>0.05</v>
      </c>
      <c r="V120" s="292">
        <v>0.05</v>
      </c>
      <c r="W120" s="292">
        <v>0.05</v>
      </c>
      <c r="X120" s="292">
        <v>0.05</v>
      </c>
      <c r="Y120" s="292">
        <v>0.05</v>
      </c>
      <c r="Z120" s="292">
        <v>0.05</v>
      </c>
      <c r="AA120" s="292">
        <v>0.05</v>
      </c>
      <c r="AB120" s="292">
        <v>0.05</v>
      </c>
      <c r="AC120" s="292">
        <v>0.05</v>
      </c>
      <c r="AD120" s="292">
        <v>0.05</v>
      </c>
    </row>
    <row r="121" spans="2:32">
      <c r="B121" s="161" t="s">
        <v>360</v>
      </c>
      <c r="F121" s="266">
        <f t="shared" ref="F121:AD121" si="141">F119/F116</f>
        <v>27.721774193548388</v>
      </c>
      <c r="G121" s="266">
        <f t="shared" si="141"/>
        <v>27.032186881936461</v>
      </c>
      <c r="H121" s="266">
        <f t="shared" si="141"/>
        <v>29.598177401385858</v>
      </c>
      <c r="I121" s="266">
        <f t="shared" si="141"/>
        <v>29.896159317211954</v>
      </c>
      <c r="J121" s="266">
        <f t="shared" si="141"/>
        <v>26.211040890185274</v>
      </c>
      <c r="K121" s="266">
        <f t="shared" si="141"/>
        <v>23.775892678499595</v>
      </c>
      <c r="L121" s="266">
        <f t="shared" si="141"/>
        <v>23.117669100227239</v>
      </c>
      <c r="M121" s="266">
        <f t="shared" si="141"/>
        <v>24.109771690721161</v>
      </c>
      <c r="N121" s="266">
        <f t="shared" si="141"/>
        <v>25.902013787348228</v>
      </c>
      <c r="O121" s="266">
        <f t="shared" si="141"/>
        <v>24.678094828726366</v>
      </c>
      <c r="P121" s="266">
        <f t="shared" si="141"/>
        <v>25.030698660230566</v>
      </c>
      <c r="Q121" s="266">
        <f t="shared" si="141"/>
        <v>26.33226181637928</v>
      </c>
      <c r="R121" s="266">
        <f t="shared" si="141"/>
        <v>30.050979957504676</v>
      </c>
      <c r="S121" s="266">
        <f t="shared" si="141"/>
        <v>30.5707141190648</v>
      </c>
      <c r="T121" s="266">
        <f t="shared" si="141"/>
        <v>30.594597489470324</v>
      </c>
      <c r="U121" s="266">
        <f t="shared" si="141"/>
        <v>35.518979866842599</v>
      </c>
      <c r="V121" s="266">
        <f t="shared" si="141"/>
        <v>36.563655745279149</v>
      </c>
      <c r="W121" s="266">
        <f t="shared" si="141"/>
        <v>37.63905738484619</v>
      </c>
      <c r="X121" s="266">
        <f t="shared" si="141"/>
        <v>38.746088484400488</v>
      </c>
      <c r="Y121" s="266">
        <f t="shared" si="141"/>
        <v>39.885679322176969</v>
      </c>
      <c r="Z121" s="266">
        <f t="shared" si="141"/>
        <v>41.058787537535117</v>
      </c>
      <c r="AA121" s="266">
        <f t="shared" si="141"/>
        <v>42.266398935697914</v>
      </c>
      <c r="AB121" s="266">
        <f t="shared" si="141"/>
        <v>43.509528316159624</v>
      </c>
      <c r="AC121" s="266">
        <f t="shared" si="141"/>
        <v>44.789220325458437</v>
      </c>
      <c r="AD121" s="266">
        <f t="shared" si="141"/>
        <v>46.106550335030747</v>
      </c>
    </row>
    <row r="123" spans="2:32">
      <c r="B123" s="288" t="s">
        <v>150</v>
      </c>
      <c r="I123" s="263"/>
      <c r="J123" s="263"/>
      <c r="K123" s="263"/>
      <c r="L123" s="263"/>
      <c r="M123" s="263"/>
      <c r="N123" s="263">
        <f>Mobile!J23</f>
        <v>0</v>
      </c>
      <c r="O123" s="263">
        <f>Mobile!K23</f>
        <v>130.80000000000001</v>
      </c>
      <c r="P123" s="263">
        <f>Mobile!L23</f>
        <v>361.62000000000006</v>
      </c>
      <c r="Q123" s="263">
        <f>Mobile!M23</f>
        <v>541.69760999999994</v>
      </c>
      <c r="R123" s="263">
        <f>Mobile!N23</f>
        <v>673.21376399999997</v>
      </c>
      <c r="S123" s="263">
        <f>Mobile!O23</f>
        <v>681.51990000000001</v>
      </c>
      <c r="T123" s="263">
        <f>Mobile!P23</f>
        <v>888.20207999999991</v>
      </c>
      <c r="U123" s="263">
        <f>Mobile!Q23</f>
        <v>1121.9238340543952</v>
      </c>
      <c r="V123" s="263">
        <f>Mobile!R23</f>
        <v>1301.8425911233428</v>
      </c>
      <c r="W123" s="263">
        <f>Mobile!S23</f>
        <v>1409.9354969231185</v>
      </c>
      <c r="X123" s="263">
        <f>Mobile!T23</f>
        <v>1522.3263313829252</v>
      </c>
      <c r="Y123" s="263">
        <f>Mobile!U23</f>
        <v>1639.0150945027628</v>
      </c>
      <c r="Z123" s="263">
        <f>Mobile!V23</f>
        <v>1701.3350600732099</v>
      </c>
      <c r="AA123" s="263">
        <f>Mobile!W23</f>
        <v>1763.6550256436574</v>
      </c>
      <c r="AB123" s="263">
        <f>Mobile!X23</f>
        <v>1825.9749912141044</v>
      </c>
      <c r="AC123" s="263">
        <f>Mobile!Y23</f>
        <v>1888.2949567845519</v>
      </c>
      <c r="AD123" s="263">
        <f>Mobile!Z23</f>
        <v>1950.6149223549992</v>
      </c>
      <c r="AF123" s="264">
        <f>Quarts!DV70</f>
        <v>0.41974966346598253</v>
      </c>
    </row>
    <row r="124" spans="2:32">
      <c r="B124" s="869" t="s">
        <v>361</v>
      </c>
      <c r="C124" s="855"/>
      <c r="D124" s="855"/>
      <c r="E124" s="855"/>
      <c r="F124" s="855"/>
      <c r="G124" s="855"/>
      <c r="H124" s="855"/>
      <c r="I124" s="870"/>
      <c r="J124" s="870"/>
      <c r="K124" s="870"/>
      <c r="L124" s="870"/>
      <c r="M124" s="870"/>
      <c r="N124" s="870">
        <f>N125-N123</f>
        <v>166.5431482000007</v>
      </c>
      <c r="O124" s="870">
        <f>O125-O123</f>
        <v>97.873794699998996</v>
      </c>
      <c r="P124" s="870">
        <f>P125-P123</f>
        <v>55.084918750000099</v>
      </c>
      <c r="Q124" s="870">
        <f>Q125-Q123</f>
        <v>108.63827564999872</v>
      </c>
      <c r="R124" s="870">
        <f>R125-R123</f>
        <v>180.97879020000232</v>
      </c>
      <c r="S124" s="871">
        <v>190</v>
      </c>
      <c r="T124" s="871">
        <f>S124*1.15</f>
        <v>218.49999999999997</v>
      </c>
      <c r="U124" s="871">
        <f>T124*1.05</f>
        <v>229.42499999999998</v>
      </c>
      <c r="V124" s="871">
        <f>U124*1.05</f>
        <v>240.89624999999998</v>
      </c>
      <c r="W124" s="871">
        <f>V124*1.05</f>
        <v>252.94106249999999</v>
      </c>
      <c r="X124" s="871">
        <f>W124*1.05</f>
        <v>265.588115625</v>
      </c>
      <c r="Y124" s="871">
        <f t="shared" ref="Y124:AD124" si="142">X124*1.05</f>
        <v>278.86752140625003</v>
      </c>
      <c r="Z124" s="871">
        <f t="shared" si="142"/>
        <v>292.81089747656256</v>
      </c>
      <c r="AA124" s="871">
        <f t="shared" si="142"/>
        <v>307.45144235039072</v>
      </c>
      <c r="AB124" s="871">
        <f t="shared" si="142"/>
        <v>322.82401446791027</v>
      </c>
      <c r="AC124" s="871">
        <f t="shared" si="142"/>
        <v>338.96521519130579</v>
      </c>
      <c r="AD124" s="871">
        <f t="shared" si="142"/>
        <v>355.91347595087109</v>
      </c>
    </row>
    <row r="125" spans="2:32">
      <c r="B125" s="161" t="s">
        <v>362</v>
      </c>
      <c r="F125" s="161">
        <f>F127-F81</f>
        <v>-1</v>
      </c>
      <c r="G125" s="161">
        <f>G127-G81</f>
        <v>0</v>
      </c>
      <c r="H125" s="161">
        <f>H127-H81</f>
        <v>0</v>
      </c>
      <c r="I125" s="263">
        <f t="shared" ref="I125:R125" si="143">I62</f>
        <v>124.88148409999991</v>
      </c>
      <c r="J125" s="263">
        <f t="shared" si="143"/>
        <v>159.77445450000118</v>
      </c>
      <c r="K125" s="263">
        <f t="shared" si="143"/>
        <v>129.44090209999996</v>
      </c>
      <c r="L125" s="263">
        <f t="shared" si="143"/>
        <v>129.44090209999996</v>
      </c>
      <c r="M125" s="263">
        <f t="shared" si="143"/>
        <v>147.36704434999899</v>
      </c>
      <c r="N125" s="263">
        <f t="shared" si="143"/>
        <v>166.5431482000007</v>
      </c>
      <c r="O125" s="263">
        <f t="shared" si="143"/>
        <v>228.67379469999901</v>
      </c>
      <c r="P125" s="263">
        <f t="shared" si="143"/>
        <v>416.70491875000016</v>
      </c>
      <c r="Q125" s="263">
        <f t="shared" si="143"/>
        <v>650.33588564999866</v>
      </c>
      <c r="R125" s="263">
        <f t="shared" si="143"/>
        <v>854.19255420000229</v>
      </c>
      <c r="S125" s="307">
        <f t="shared" ref="S125:AD125" si="144">S123+S124</f>
        <v>871.51990000000001</v>
      </c>
      <c r="T125" s="307">
        <f t="shared" si="144"/>
        <v>1106.7020799999998</v>
      </c>
      <c r="U125" s="307">
        <f t="shared" si="144"/>
        <v>1351.3488340543952</v>
      </c>
      <c r="V125" s="307">
        <f t="shared" si="144"/>
        <v>1542.7388411233428</v>
      </c>
      <c r="W125" s="307">
        <f t="shared" si="144"/>
        <v>1662.8765594231186</v>
      </c>
      <c r="X125" s="307">
        <f t="shared" si="144"/>
        <v>1787.9144470079252</v>
      </c>
      <c r="Y125" s="307">
        <f t="shared" si="144"/>
        <v>1917.8826159090129</v>
      </c>
      <c r="Z125" s="307">
        <f t="shared" si="144"/>
        <v>1994.1459575497724</v>
      </c>
      <c r="AA125" s="307">
        <f t="shared" si="144"/>
        <v>2071.1064679940482</v>
      </c>
      <c r="AB125" s="307">
        <f t="shared" si="144"/>
        <v>2148.7990056820145</v>
      </c>
      <c r="AC125" s="307">
        <f t="shared" si="144"/>
        <v>2227.2601719758577</v>
      </c>
      <c r="AD125" s="307">
        <f t="shared" si="144"/>
        <v>2306.5283983058703</v>
      </c>
    </row>
    <row r="126" spans="2:32">
      <c r="I126" s="263"/>
      <c r="J126" s="263"/>
      <c r="K126" s="263"/>
      <c r="L126" s="263"/>
      <c r="M126" s="263"/>
      <c r="N126" s="263"/>
      <c r="O126" s="307"/>
      <c r="P126" s="307"/>
      <c r="Q126" s="307"/>
      <c r="R126" s="307"/>
      <c r="S126" s="307"/>
      <c r="T126" s="307"/>
      <c r="U126" s="307"/>
      <c r="V126" s="307"/>
      <c r="W126" s="307"/>
      <c r="X126" s="307"/>
      <c r="Y126" s="307"/>
      <c r="Z126" s="307"/>
      <c r="AA126" s="307"/>
      <c r="AB126" s="307"/>
      <c r="AC126" s="307"/>
      <c r="AD126" s="307"/>
    </row>
    <row r="127" spans="2:32">
      <c r="B127" s="163" t="s">
        <v>347</v>
      </c>
      <c r="C127" s="163"/>
      <c r="D127" s="163"/>
      <c r="E127" s="163"/>
      <c r="F127" s="308">
        <f>Master!K8</f>
        <v>8249</v>
      </c>
      <c r="G127" s="308">
        <f>Master!L8</f>
        <v>8977</v>
      </c>
      <c r="H127" s="308">
        <f>Master!M8</f>
        <v>10068</v>
      </c>
      <c r="I127" s="308">
        <f>Master!N8</f>
        <v>11475</v>
      </c>
      <c r="J127" s="308">
        <f>Master!O8</f>
        <v>14557</v>
      </c>
      <c r="K127" s="308">
        <f>Master!P8</f>
        <v>16957</v>
      </c>
      <c r="L127" s="308">
        <f>Master!Q8</f>
        <v>17287</v>
      </c>
      <c r="M127" s="308">
        <f>Master!R8</f>
        <v>19436</v>
      </c>
      <c r="N127" s="308">
        <f>Master!S8</f>
        <v>21604</v>
      </c>
      <c r="O127" s="308">
        <f t="shared" ref="O127:AD127" si="145">O81</f>
        <v>22390.929000000004</v>
      </c>
      <c r="P127" s="308">
        <f t="shared" si="145"/>
        <v>24634.396000000001</v>
      </c>
      <c r="Q127" s="308">
        <f t="shared" si="145"/>
        <v>27155.291000000001</v>
      </c>
      <c r="R127" s="308">
        <f t="shared" si="145"/>
        <v>29870.541000000005</v>
      </c>
      <c r="S127" s="308">
        <f t="shared" si="145"/>
        <v>32840.847000000002</v>
      </c>
      <c r="T127" s="308">
        <f t="shared" si="145"/>
        <v>35429.711000000003</v>
      </c>
      <c r="U127" s="308">
        <f>U81</f>
        <v>38484.331480000008</v>
      </c>
      <c r="V127" s="308">
        <f t="shared" si="145"/>
        <v>41068.627100000012</v>
      </c>
      <c r="W127" s="308">
        <f t="shared" si="145"/>
        <v>43475.200744610011</v>
      </c>
      <c r="X127" s="308">
        <f t="shared" si="145"/>
        <v>45648.960781840506</v>
      </c>
      <c r="Y127" s="308">
        <f t="shared" si="145"/>
        <v>47440.099610512625</v>
      </c>
      <c r="Z127" s="308">
        <f t="shared" si="145"/>
        <v>48384.851334768406</v>
      </c>
      <c r="AA127" s="308">
        <f t="shared" si="145"/>
        <v>49355.43184639293</v>
      </c>
      <c r="AB127" s="308">
        <f t="shared" si="145"/>
        <v>50352.811452771966</v>
      </c>
      <c r="AC127" s="308">
        <f t="shared" si="145"/>
        <v>51378.004159680844</v>
      </c>
      <c r="AD127" s="308">
        <f t="shared" si="145"/>
        <v>52432.069783949228</v>
      </c>
      <c r="AE127" s="1008"/>
    </row>
    <row r="128" spans="2:32">
      <c r="B128" s="163" t="s">
        <v>131</v>
      </c>
      <c r="C128" s="163"/>
      <c r="D128" s="163"/>
      <c r="E128" s="163"/>
      <c r="F128" s="163"/>
      <c r="G128" s="163"/>
      <c r="H128" s="285">
        <f>H127/G127-1</f>
        <v>0.121532806059931</v>
      </c>
      <c r="I128" s="285">
        <f>I127/H127-1</f>
        <v>0.13974970202622172</v>
      </c>
      <c r="J128" s="285">
        <f>J127/I127-1</f>
        <v>0.26858387799564265</v>
      </c>
      <c r="K128" s="285">
        <f t="shared" ref="K128:T128" si="146">K127/J127-1</f>
        <v>0.16486913512399526</v>
      </c>
      <c r="L128" s="285">
        <f t="shared" si="146"/>
        <v>1.9460989561832953E-2</v>
      </c>
      <c r="M128" s="285">
        <f>M127/L127-1</f>
        <v>0.12431306762306926</v>
      </c>
      <c r="N128" s="285">
        <f t="shared" si="146"/>
        <v>0.11154558551142202</v>
      </c>
      <c r="O128" s="285">
        <f>O127/N127-1</f>
        <v>3.6425152749490985E-2</v>
      </c>
      <c r="P128" s="285">
        <f t="shared" si="146"/>
        <v>0.10019535143003644</v>
      </c>
      <c r="Q128" s="285">
        <f t="shared" si="146"/>
        <v>0.1023323242834937</v>
      </c>
      <c r="R128" s="285">
        <f t="shared" si="146"/>
        <v>9.9989722076629706E-2</v>
      </c>
      <c r="S128" s="285">
        <f t="shared" si="146"/>
        <v>9.9439310456412411E-2</v>
      </c>
      <c r="T128" s="285">
        <f t="shared" si="146"/>
        <v>7.8830609941333174E-2</v>
      </c>
      <c r="U128" s="285">
        <f>U127/T127-1</f>
        <v>8.6216353274798152E-2</v>
      </c>
      <c r="V128" s="285">
        <f>V127/U127-1</f>
        <v>6.7151890668623038E-2</v>
      </c>
      <c r="W128" s="285">
        <f>W127/V127-1</f>
        <v>5.8598833575568943E-2</v>
      </c>
      <c r="X128" s="285">
        <f>X127/W127-1</f>
        <v>4.9999999999999822E-2</v>
      </c>
      <c r="Y128" s="285">
        <f t="shared" ref="Y128:AD128" si="147">Y127/X127-1</f>
        <v>3.923723120953615E-2</v>
      </c>
      <c r="Z128" s="285">
        <f t="shared" si="147"/>
        <v>1.9914623536043896E-2</v>
      </c>
      <c r="AA128" s="285">
        <f t="shared" si="147"/>
        <v>2.005959478741004E-2</v>
      </c>
      <c r="AB128" s="285">
        <f t="shared" si="147"/>
        <v>2.0208102108864923E-2</v>
      </c>
      <c r="AC128" s="285">
        <f t="shared" si="147"/>
        <v>2.036018798812167E-2</v>
      </c>
      <c r="AD128" s="285">
        <f t="shared" si="147"/>
        <v>2.0515892773732336E-2</v>
      </c>
    </row>
    <row r="132" spans="2:35">
      <c r="B132" s="163" t="s">
        <v>44</v>
      </c>
      <c r="C132" s="163"/>
      <c r="D132" s="163"/>
      <c r="E132" s="163"/>
      <c r="F132" s="308">
        <f>Master!K13</f>
        <v>3561</v>
      </c>
      <c r="G132" s="308">
        <f>Master!L13</f>
        <v>3777</v>
      </c>
      <c r="H132" s="308">
        <f>Master!M13</f>
        <v>4356</v>
      </c>
      <c r="I132" s="308">
        <f>Master!N13</f>
        <v>4847</v>
      </c>
      <c r="J132" s="308">
        <f>Master!O13</f>
        <v>5843</v>
      </c>
      <c r="K132" s="308">
        <f>Master!P13</f>
        <v>6915</v>
      </c>
      <c r="L132" s="308">
        <f>Master!Q13</f>
        <v>7715</v>
      </c>
      <c r="M132" s="308">
        <f>Master!R13</f>
        <v>9347</v>
      </c>
      <c r="N132" s="308">
        <f>Master!S13</f>
        <v>10161</v>
      </c>
      <c r="O132" s="308">
        <f>Master!T13</f>
        <v>11037</v>
      </c>
      <c r="P132" s="308">
        <f>Master!U13</f>
        <v>12116</v>
      </c>
      <c r="Q132" s="308">
        <f>Master!V13</f>
        <v>12769.018</v>
      </c>
      <c r="R132" s="308">
        <f>Master!W13</f>
        <v>13319.993</v>
      </c>
      <c r="S132" s="308">
        <f>Master!X13</f>
        <v>14629.852999999999</v>
      </c>
      <c r="T132" s="308">
        <f>Master!Y13</f>
        <v>15936.034</v>
      </c>
      <c r="U132" s="308">
        <f t="shared" ref="U132:AD132" si="148">U133*U81</f>
        <v>17317.949166000006</v>
      </c>
      <c r="V132" s="308">
        <f t="shared" si="148"/>
        <v>18891.568466000008</v>
      </c>
      <c r="W132" s="308">
        <f t="shared" si="148"/>
        <v>20433.344349966705</v>
      </c>
      <c r="X132" s="308">
        <f t="shared" si="148"/>
        <v>21683.256371374238</v>
      </c>
      <c r="Y132" s="308">
        <f t="shared" si="148"/>
        <v>22771.247813046059</v>
      </c>
      <c r="Z132" s="308">
        <f t="shared" si="148"/>
        <v>23466.652897362677</v>
      </c>
      <c r="AA132" s="308">
        <f t="shared" si="148"/>
        <v>24184.161604732537</v>
      </c>
      <c r="AB132" s="308">
        <f t="shared" si="148"/>
        <v>24924.641669122124</v>
      </c>
      <c r="AC132" s="308">
        <f t="shared" si="148"/>
        <v>25689.002079840422</v>
      </c>
      <c r="AD132" s="308">
        <f t="shared" si="148"/>
        <v>26478.195240894362</v>
      </c>
    </row>
    <row r="133" spans="2:35">
      <c r="B133" s="163" t="s">
        <v>363</v>
      </c>
      <c r="C133" s="163"/>
      <c r="D133" s="163"/>
      <c r="E133" s="163"/>
      <c r="F133" s="284">
        <f t="shared" ref="F133:R133" si="149">F132/F127</f>
        <v>0.43168868953812584</v>
      </c>
      <c r="G133" s="284">
        <f t="shared" si="149"/>
        <v>0.42074189595633282</v>
      </c>
      <c r="H133" s="284">
        <f t="shared" si="149"/>
        <v>0.43265792610250298</v>
      </c>
      <c r="I133" s="284">
        <f t="shared" si="149"/>
        <v>0.42239651416122004</v>
      </c>
      <c r="J133" s="284">
        <f t="shared" si="149"/>
        <v>0.40138764855396031</v>
      </c>
      <c r="K133" s="284">
        <f t="shared" si="149"/>
        <v>0.40779619036386155</v>
      </c>
      <c r="L133" s="284">
        <f t="shared" si="149"/>
        <v>0.44628911899114942</v>
      </c>
      <c r="M133" s="284">
        <f t="shared" si="149"/>
        <v>0.48091171022844209</v>
      </c>
      <c r="N133" s="284">
        <f t="shared" si="149"/>
        <v>0.47032956859840769</v>
      </c>
      <c r="O133" s="284">
        <f t="shared" si="149"/>
        <v>0.49292282602477094</v>
      </c>
      <c r="P133" s="284">
        <f t="shared" si="149"/>
        <v>0.49183263920901488</v>
      </c>
      <c r="Q133" s="284">
        <f t="shared" si="149"/>
        <v>0.47022210146818161</v>
      </c>
      <c r="R133" s="284">
        <f t="shared" si="149"/>
        <v>0.44592406277475855</v>
      </c>
      <c r="S133" s="284">
        <f>S132/S81</f>
        <v>0.44547733497860142</v>
      </c>
      <c r="T133" s="284">
        <f>T132/T81</f>
        <v>0.44979294355519861</v>
      </c>
      <c r="U133" s="974">
        <v>0.45</v>
      </c>
      <c r="V133" s="974">
        <v>0.46</v>
      </c>
      <c r="W133" s="974">
        <v>0.47</v>
      </c>
      <c r="X133" s="974">
        <f>W133+0.5%</f>
        <v>0.47499999999999998</v>
      </c>
      <c r="Y133" s="974">
        <f t="shared" ref="Y133:AD133" si="150">X133+0.5%</f>
        <v>0.48</v>
      </c>
      <c r="Z133" s="974">
        <f t="shared" si="150"/>
        <v>0.48499999999999999</v>
      </c>
      <c r="AA133" s="974">
        <f t="shared" si="150"/>
        <v>0.49</v>
      </c>
      <c r="AB133" s="974">
        <f t="shared" si="150"/>
        <v>0.495</v>
      </c>
      <c r="AC133" s="974">
        <f t="shared" si="150"/>
        <v>0.5</v>
      </c>
      <c r="AD133" s="974">
        <f t="shared" si="150"/>
        <v>0.505</v>
      </c>
      <c r="AF133" s="287">
        <f>Quarts!BW141</f>
        <v>0.44853237802982859</v>
      </c>
    </row>
    <row r="134" spans="2:35">
      <c r="X134" s="287">
        <f>Analysis!J1035</f>
        <v>-3.9682710920056152E-2</v>
      </c>
      <c r="Y134" s="287">
        <f>Analysis!K1035</f>
        <v>-4.8209063198258351E-2</v>
      </c>
      <c r="Z134" s="287">
        <f>Analysis!L1035</f>
        <v>-5.677000081173833E-2</v>
      </c>
      <c r="AA134" s="287">
        <f>Analysis!M1035</f>
        <v>-6.5721642384036993E-2</v>
      </c>
      <c r="AB134" s="287">
        <f>Analysis!N1035</f>
        <v>-7.506909041475851E-2</v>
      </c>
      <c r="AC134" s="287">
        <f>Analysis!O1035</f>
        <v>-8.4816743885078649E-2</v>
      </c>
      <c r="AD134" s="287">
        <f>Analysis!P1035</f>
        <v>-9.4968170078770897E-2</v>
      </c>
    </row>
    <row r="135" spans="2:35">
      <c r="B135" s="161" t="s">
        <v>364</v>
      </c>
      <c r="F135" s="263">
        <f t="shared" ref="F135:L135" si="151">F132-F140</f>
        <v>61</v>
      </c>
      <c r="G135" s="263">
        <f t="shared" si="151"/>
        <v>82</v>
      </c>
      <c r="H135" s="263">
        <f t="shared" si="151"/>
        <v>139</v>
      </c>
      <c r="I135" s="263">
        <f t="shared" si="151"/>
        <v>237</v>
      </c>
      <c r="J135" s="263">
        <f t="shared" si="151"/>
        <v>376</v>
      </c>
      <c r="K135" s="263">
        <f t="shared" si="151"/>
        <v>467</v>
      </c>
      <c r="L135" s="263">
        <f t="shared" si="151"/>
        <v>490</v>
      </c>
      <c r="M135" s="263">
        <f t="shared" ref="M135:S135" si="152">M132-M140</f>
        <v>503.12700000000041</v>
      </c>
      <c r="N135" s="263">
        <f t="shared" si="152"/>
        <v>744.39300000000003</v>
      </c>
      <c r="O135" s="263">
        <f t="shared" si="152"/>
        <v>690.57600000000093</v>
      </c>
      <c r="P135" s="263">
        <f t="shared" si="152"/>
        <v>644.02600000000166</v>
      </c>
      <c r="Q135" s="263">
        <f t="shared" si="152"/>
        <v>705.5010000000002</v>
      </c>
      <c r="R135" s="263">
        <f t="shared" si="152"/>
        <v>706.80400000000009</v>
      </c>
      <c r="S135" s="263">
        <f t="shared" si="152"/>
        <v>659.03199999999924</v>
      </c>
      <c r="T135" s="263">
        <f t="shared" ref="T135:AD135" si="153">T136*(T68+T69+T70)</f>
        <v>688.53521280000007</v>
      </c>
      <c r="U135" s="263">
        <f t="shared" si="153"/>
        <v>796.72571014400012</v>
      </c>
      <c r="V135" s="263">
        <f t="shared" si="153"/>
        <v>917.17751929664018</v>
      </c>
      <c r="W135" s="263">
        <f t="shared" si="153"/>
        <v>981.18476818257295</v>
      </c>
      <c r="X135" s="263">
        <f t="shared" si="153"/>
        <v>1050.4696749712245</v>
      </c>
      <c r="Y135" s="263">
        <f t="shared" si="153"/>
        <v>1125.5091012668991</v>
      </c>
      <c r="Z135" s="263">
        <f t="shared" si="153"/>
        <v>1206.8251546082995</v>
      </c>
      <c r="AA135" s="263">
        <f t="shared" si="153"/>
        <v>1294.9895931503315</v>
      </c>
      <c r="AB135" s="263">
        <f t="shared" si="153"/>
        <v>1390.6286648604971</v>
      </c>
      <c r="AC135" s="263">
        <f t="shared" si="153"/>
        <v>1494.4284243845038</v>
      </c>
      <c r="AD135" s="263">
        <f t="shared" si="153"/>
        <v>1607.140575036339</v>
      </c>
      <c r="AF135" s="263">
        <f>Quarts!BO125</f>
        <v>143.77099999999973</v>
      </c>
      <c r="AG135" s="263">
        <f>Quarts!BS125</f>
        <v>138.53521280000007</v>
      </c>
    </row>
    <row r="136" spans="2:35">
      <c r="B136" s="161" t="s">
        <v>365</v>
      </c>
      <c r="F136" s="265"/>
      <c r="G136" s="265"/>
      <c r="H136" s="265">
        <f>H135/H71</f>
        <v>0.20115774240231549</v>
      </c>
      <c r="I136" s="265">
        <f t="shared" ref="I136:S136" si="154">I135/(I68+I69+I70)</f>
        <v>0.21803127874885003</v>
      </c>
      <c r="J136" s="265">
        <f t="shared" si="154"/>
        <v>0.16520210896309315</v>
      </c>
      <c r="K136" s="265">
        <f t="shared" si="154"/>
        <v>0.18906882591093119</v>
      </c>
      <c r="L136" s="265">
        <f t="shared" si="154"/>
        <v>0.26161238654564867</v>
      </c>
      <c r="M136" s="265">
        <f t="shared" si="154"/>
        <v>0.26480368421052652</v>
      </c>
      <c r="N136" s="265">
        <f t="shared" si="154"/>
        <v>0.30772757337742868</v>
      </c>
      <c r="O136" s="265">
        <f t="shared" si="154"/>
        <v>0.340688702516034</v>
      </c>
      <c r="P136" s="265">
        <f t="shared" si="154"/>
        <v>0.30757511645833036</v>
      </c>
      <c r="Q136" s="265">
        <f t="shared" si="154"/>
        <v>0.27267541159241832</v>
      </c>
      <c r="R136" s="265">
        <f t="shared" si="154"/>
        <v>0.27597823735712118</v>
      </c>
      <c r="S136" s="265">
        <f t="shared" si="154"/>
        <v>0.24517231168034923</v>
      </c>
      <c r="T136" s="358">
        <v>0.24</v>
      </c>
      <c r="U136" s="358">
        <v>0.26</v>
      </c>
      <c r="V136" s="358">
        <v>0.28000000000000003</v>
      </c>
      <c r="W136" s="358">
        <v>0.28000000000000003</v>
      </c>
      <c r="X136" s="358">
        <v>0.28000000000000003</v>
      </c>
      <c r="Y136" s="358">
        <v>0.28000000000000003</v>
      </c>
      <c r="Z136" s="358">
        <v>0.28000000000000003</v>
      </c>
      <c r="AA136" s="358">
        <v>0.28000000000000003</v>
      </c>
      <c r="AB136" s="358">
        <v>0.28000000000000003</v>
      </c>
      <c r="AC136" s="358">
        <v>0.28000000000000003</v>
      </c>
      <c r="AD136" s="358">
        <v>0.28000000000000003</v>
      </c>
    </row>
    <row r="137" spans="2:35">
      <c r="B137" s="161" t="s">
        <v>366</v>
      </c>
      <c r="F137" s="265"/>
      <c r="G137" s="265"/>
      <c r="H137" s="265"/>
      <c r="I137" s="263">
        <f t="shared" ref="I137:AD137" si="155">0.08*I70</f>
        <v>8.8800000000000008</v>
      </c>
      <c r="J137" s="263">
        <f t="shared" si="155"/>
        <v>36.56</v>
      </c>
      <c r="K137" s="263">
        <f t="shared" si="155"/>
        <v>23.04</v>
      </c>
      <c r="L137" s="263">
        <f t="shared" si="155"/>
        <v>23.92</v>
      </c>
      <c r="M137" s="263">
        <f t="shared" si="155"/>
        <v>24.080000000000002</v>
      </c>
      <c r="N137" s="263">
        <f t="shared" si="155"/>
        <v>25.68</v>
      </c>
      <c r="O137" s="263">
        <f t="shared" si="155"/>
        <v>24.32</v>
      </c>
      <c r="P137" s="263">
        <f t="shared" si="155"/>
        <v>25.91056</v>
      </c>
      <c r="Q137" s="263">
        <f t="shared" si="155"/>
        <v>29.27112</v>
      </c>
      <c r="R137" s="263">
        <f t="shared" si="155"/>
        <v>29.442880000000002</v>
      </c>
      <c r="S137" s="263">
        <f t="shared" si="155"/>
        <v>29.442880000000002</v>
      </c>
      <c r="T137" s="263">
        <f t="shared" si="155"/>
        <v>30.031737600000003</v>
      </c>
      <c r="U137" s="263">
        <f t="shared" si="155"/>
        <v>30.632372352000004</v>
      </c>
      <c r="V137" s="263">
        <f t="shared" si="155"/>
        <v>31.245019799040001</v>
      </c>
      <c r="W137" s="263">
        <f t="shared" si="155"/>
        <v>31.8699201950208</v>
      </c>
      <c r="X137" s="263">
        <f t="shared" si="155"/>
        <v>32.507318598921216</v>
      </c>
      <c r="Y137" s="263">
        <f t="shared" si="155"/>
        <v>33.157464970899639</v>
      </c>
      <c r="Z137" s="263">
        <f t="shared" si="155"/>
        <v>33.820614270317634</v>
      </c>
      <c r="AA137" s="263">
        <f t="shared" si="155"/>
        <v>34.497026555723991</v>
      </c>
      <c r="AB137" s="263">
        <f t="shared" si="155"/>
        <v>35.186967086838472</v>
      </c>
      <c r="AC137" s="263">
        <f t="shared" si="155"/>
        <v>35.890706428575236</v>
      </c>
      <c r="AD137" s="263">
        <f t="shared" si="155"/>
        <v>36.60852055714674</v>
      </c>
    </row>
    <row r="138" spans="2:35">
      <c r="B138" s="161" t="s">
        <v>367</v>
      </c>
      <c r="F138" s="265"/>
      <c r="G138" s="265"/>
      <c r="H138" s="265"/>
      <c r="I138" s="265">
        <f t="shared" ref="I138:AD138" si="156">(I135-I137)/(I71-I70)</f>
        <v>0.18667757774140753</v>
      </c>
      <c r="J138" s="265">
        <f t="shared" si="156"/>
        <v>0.15338454586534117</v>
      </c>
      <c r="K138" s="265">
        <f t="shared" si="156"/>
        <v>0.15648924920690871</v>
      </c>
      <c r="L138" s="265">
        <f t="shared" si="156"/>
        <v>0.1852464228934817</v>
      </c>
      <c r="M138" s="265">
        <f t="shared" si="156"/>
        <v>0.15222338735303478</v>
      </c>
      <c r="N138" s="265">
        <f t="shared" si="156"/>
        <v>0.18258764721767831</v>
      </c>
      <c r="O138" s="265">
        <f t="shared" si="156"/>
        <v>0.18501971674534876</v>
      </c>
      <c r="P138" s="265">
        <f t="shared" si="156"/>
        <v>0.15955483737738815</v>
      </c>
      <c r="Q138" s="265">
        <f t="shared" si="156"/>
        <v>0.14047615615056669</v>
      </c>
      <c r="R138" s="265">
        <f t="shared" si="156"/>
        <v>0.13453187311331258</v>
      </c>
      <c r="S138" s="265">
        <f t="shared" si="156"/>
        <v>0.11898639079086859</v>
      </c>
      <c r="T138" s="265">
        <f t="shared" si="156"/>
        <v>0.13037810615437484</v>
      </c>
      <c r="U138" s="265">
        <f t="shared" si="156"/>
        <v>0.15028880163002417</v>
      </c>
      <c r="V138" s="265">
        <f t="shared" si="156"/>
        <v>0.16516772697751755</v>
      </c>
      <c r="W138" s="265">
        <f t="shared" si="156"/>
        <v>0.16820657362710059</v>
      </c>
      <c r="X138" s="265">
        <f t="shared" si="156"/>
        <v>0.17143524854896963</v>
      </c>
      <c r="Y138" s="265">
        <f t="shared" si="156"/>
        <v>0.1748611230708029</v>
      </c>
      <c r="Z138" s="265">
        <f t="shared" si="156"/>
        <v>0.17849198139720887</v>
      </c>
      <c r="AA138" s="265">
        <f t="shared" si="156"/>
        <v>0.18233603736900725</v>
      </c>
      <c r="AB138" s="265">
        <f t="shared" si="156"/>
        <v>0.18640195218061972</v>
      </c>
      <c r="AC138" s="265">
        <f t="shared" si="156"/>
        <v>0.19069885309065121</v>
      </c>
      <c r="AD138" s="265">
        <f t="shared" si="156"/>
        <v>0.19523635316320342</v>
      </c>
    </row>
    <row r="140" spans="2:35">
      <c r="B140" s="161" t="s">
        <v>368</v>
      </c>
      <c r="F140" s="349">
        <v>3500</v>
      </c>
      <c r="G140" s="349">
        <v>3695</v>
      </c>
      <c r="H140" s="349">
        <v>4217</v>
      </c>
      <c r="I140" s="349">
        <v>4610</v>
      </c>
      <c r="J140" s="349">
        <v>5467</v>
      </c>
      <c r="K140" s="349">
        <v>6448</v>
      </c>
      <c r="L140" s="349">
        <v>7225</v>
      </c>
      <c r="M140" s="349">
        <f>SUM(Quarts!AN117:AQ117)</f>
        <v>8843.8729999999996</v>
      </c>
      <c r="N140" s="349">
        <f>SUM(Quarts!AR117:AU117)</f>
        <v>9416.607</v>
      </c>
      <c r="O140" s="349">
        <f>SUM(Quarts!AV117:AY117)</f>
        <v>10346.423999999999</v>
      </c>
      <c r="P140" s="349">
        <f>SUM(Quarts!AZ117:BC117)</f>
        <v>11471.973999999998</v>
      </c>
      <c r="Q140" s="349">
        <f>SUM(Quarts!BD117:BG117)</f>
        <v>12063.517</v>
      </c>
      <c r="R140" s="349">
        <f>SUM(Quarts!BH117:BK117)</f>
        <v>12613.189</v>
      </c>
      <c r="S140" s="349">
        <f>SUM(Quarts!BL117:BO117)</f>
        <v>13970.821</v>
      </c>
      <c r="T140" s="307">
        <f t="shared" ref="T140:AD140" si="157">T141*T85</f>
        <v>15428.349262500002</v>
      </c>
      <c r="U140" s="307">
        <f t="shared" si="157"/>
        <v>17154.656450250004</v>
      </c>
      <c r="V140" s="307">
        <f t="shared" si="157"/>
        <v>18505.676111670004</v>
      </c>
      <c r="W140" s="307">
        <f t="shared" si="157"/>
        <v>20111.322095356805</v>
      </c>
      <c r="X140" s="307">
        <f t="shared" si="157"/>
        <v>21666.228243460573</v>
      </c>
      <c r="Y140" s="307">
        <f t="shared" si="157"/>
        <v>23090.962757426376</v>
      </c>
      <c r="Z140" s="307">
        <f t="shared" si="157"/>
        <v>23666.965793412768</v>
      </c>
      <c r="AA140" s="307">
        <f t="shared" si="157"/>
        <v>24274.572734401459</v>
      </c>
      <c r="AB140" s="307">
        <f t="shared" si="157"/>
        <v>24916.554024913727</v>
      </c>
      <c r="AC140" s="307">
        <f t="shared" si="157"/>
        <v>25595.951304733306</v>
      </c>
      <c r="AD140" s="307">
        <f t="shared" si="157"/>
        <v>26316.104440694762</v>
      </c>
      <c r="AF140" s="161">
        <f>Quarts!BO141</f>
        <v>0.44269174438096021</v>
      </c>
      <c r="AG140" s="161" t="e">
        <f>Quarts!BS118</f>
        <v>#DIV/0!</v>
      </c>
      <c r="AI140" s="161">
        <f>Quarts!DZ140</f>
        <v>0.153</v>
      </c>
    </row>
    <row r="141" spans="2:35">
      <c r="B141" s="161" t="s">
        <v>365</v>
      </c>
      <c r="F141" s="265"/>
      <c r="G141" s="265"/>
      <c r="H141" s="265">
        <f t="shared" ref="H141:S141" si="158">H140/H85</f>
        <v>0.44280227371669767</v>
      </c>
      <c r="I141" s="265">
        <f t="shared" si="158"/>
        <v>0.44376923922550421</v>
      </c>
      <c r="J141" s="265">
        <f t="shared" si="158"/>
        <v>0.44514650262389721</v>
      </c>
      <c r="K141" s="265">
        <f t="shared" si="158"/>
        <v>0.43987016109857729</v>
      </c>
      <c r="L141" s="265">
        <f t="shared" si="158"/>
        <v>0.47098660579281587</v>
      </c>
      <c r="M141" s="265">
        <f t="shared" si="158"/>
        <v>0.50431045076387526</v>
      </c>
      <c r="N141" s="265">
        <f t="shared" si="158"/>
        <v>0.49085886423748198</v>
      </c>
      <c r="O141" s="265">
        <f t="shared" si="158"/>
        <v>0.50807602010397879</v>
      </c>
      <c r="P141" s="265">
        <f t="shared" si="158"/>
        <v>0.5089490860767415</v>
      </c>
      <c r="Q141" s="265">
        <f t="shared" si="158"/>
        <v>0.49102636189359133</v>
      </c>
      <c r="R141" s="265">
        <f t="shared" si="158"/>
        <v>0.46186161532699932</v>
      </c>
      <c r="S141" s="265">
        <f t="shared" si="158"/>
        <v>0.46212731927889483</v>
      </c>
      <c r="T141" s="358">
        <v>0.46250000000000002</v>
      </c>
      <c r="U141" s="358">
        <v>0.46750000000000003</v>
      </c>
      <c r="V141" s="358">
        <v>0.47</v>
      </c>
      <c r="W141" s="358">
        <v>0.48</v>
      </c>
      <c r="X141" s="358">
        <v>0.49</v>
      </c>
      <c r="Y141" s="358">
        <v>0.5</v>
      </c>
      <c r="Z141" s="358">
        <v>0.5</v>
      </c>
      <c r="AA141" s="358">
        <v>0.5</v>
      </c>
      <c r="AB141" s="358">
        <v>0.5</v>
      </c>
      <c r="AC141" s="358">
        <v>0.5</v>
      </c>
      <c r="AD141" s="358">
        <v>0.5</v>
      </c>
    </row>
    <row r="142" spans="2:35">
      <c r="B142" s="282" t="s">
        <v>369</v>
      </c>
      <c r="F142" s="265"/>
      <c r="G142" s="265"/>
      <c r="H142" s="265"/>
      <c r="I142" s="265"/>
      <c r="J142" s="265"/>
      <c r="K142" s="265"/>
      <c r="L142" s="265"/>
      <c r="M142" s="265"/>
      <c r="N142" s="301">
        <f t="shared" ref="N142:AD142" si="159">0.2*N62</f>
        <v>33.308629640000142</v>
      </c>
      <c r="O142" s="301">
        <f t="shared" si="159"/>
        <v>45.734758939999807</v>
      </c>
      <c r="P142" s="301">
        <f t="shared" si="159"/>
        <v>83.340983750000035</v>
      </c>
      <c r="Q142" s="301">
        <f t="shared" si="159"/>
        <v>130.06717712999975</v>
      </c>
      <c r="R142" s="301">
        <f t="shared" si="159"/>
        <v>170.83851084000048</v>
      </c>
      <c r="S142" s="301">
        <f t="shared" si="159"/>
        <v>168.8596</v>
      </c>
      <c r="T142" s="301">
        <f t="shared" si="159"/>
        <v>221.34041599999998</v>
      </c>
      <c r="U142" s="301">
        <f t="shared" si="159"/>
        <v>270.26976681087905</v>
      </c>
      <c r="V142" s="301">
        <f t="shared" si="159"/>
        <v>308.54776822466857</v>
      </c>
      <c r="W142" s="301">
        <f t="shared" si="159"/>
        <v>332.57531188462372</v>
      </c>
      <c r="X142" s="301">
        <f t="shared" si="159"/>
        <v>357.58288940158508</v>
      </c>
      <c r="Y142" s="301">
        <f t="shared" si="159"/>
        <v>383.5765231818026</v>
      </c>
      <c r="Z142" s="301">
        <f t="shared" si="159"/>
        <v>398.82919150995451</v>
      </c>
      <c r="AA142" s="301">
        <f t="shared" si="159"/>
        <v>414.22129359880967</v>
      </c>
      <c r="AB142" s="301">
        <f t="shared" si="159"/>
        <v>429.75980113640293</v>
      </c>
      <c r="AC142" s="301">
        <f t="shared" si="159"/>
        <v>445.45203439517155</v>
      </c>
      <c r="AD142" s="301">
        <f t="shared" si="159"/>
        <v>461.30567966117405</v>
      </c>
    </row>
    <row r="143" spans="2:35">
      <c r="B143" s="282" t="s">
        <v>370</v>
      </c>
      <c r="F143" s="265"/>
      <c r="G143" s="265"/>
      <c r="H143" s="265"/>
      <c r="I143" s="265"/>
      <c r="J143" s="265"/>
      <c r="K143" s="265"/>
      <c r="L143" s="265"/>
      <c r="M143" s="265"/>
      <c r="N143" s="300">
        <f t="shared" ref="N143:AD143" si="160">(N140-N142)/(N85-N62)</f>
        <v>0.49340603466829747</v>
      </c>
      <c r="O143" s="300">
        <f t="shared" si="160"/>
        <v>0.51157480429394564</v>
      </c>
      <c r="P143" s="300">
        <f t="shared" si="160"/>
        <v>0.51476818365341526</v>
      </c>
      <c r="Q143" s="300">
        <f t="shared" si="160"/>
        <v>0.49893955887663183</v>
      </c>
      <c r="R143" s="300">
        <f t="shared" si="160"/>
        <v>0.47031665305347703</v>
      </c>
      <c r="S143" s="300">
        <f t="shared" si="160"/>
        <v>0.46965825953799067</v>
      </c>
      <c r="T143" s="300">
        <f t="shared" si="160"/>
        <v>0.47150751204698671</v>
      </c>
      <c r="U143" s="300">
        <f t="shared" si="160"/>
        <v>0.47772790240981122</v>
      </c>
      <c r="V143" s="300">
        <f t="shared" si="160"/>
        <v>0.48101052167171182</v>
      </c>
      <c r="W143" s="300">
        <f t="shared" si="160"/>
        <v>0.49157194500743956</v>
      </c>
      <c r="X143" s="300">
        <f t="shared" si="160"/>
        <v>0.50222033707839886</v>
      </c>
      <c r="Y143" s="300">
        <f t="shared" si="160"/>
        <v>0.51299846889463485</v>
      </c>
      <c r="Z143" s="300">
        <f t="shared" si="160"/>
        <v>0.51319467613183078</v>
      </c>
      <c r="AA143" s="300">
        <f t="shared" si="160"/>
        <v>0.51336829078325352</v>
      </c>
      <c r="AB143" s="300">
        <f t="shared" si="160"/>
        <v>0.51351890621100971</v>
      </c>
      <c r="AC143" s="300">
        <f t="shared" si="160"/>
        <v>0.5136461335839585</v>
      </c>
      <c r="AD143" s="300">
        <f t="shared" si="160"/>
        <v>0.51374961079213532</v>
      </c>
    </row>
    <row r="147" spans="2:32">
      <c r="B147" s="163" t="s">
        <v>147</v>
      </c>
      <c r="C147" s="163"/>
      <c r="D147" s="163"/>
      <c r="E147" s="163"/>
      <c r="F147" s="576">
        <v>1974</v>
      </c>
      <c r="G147" s="576">
        <v>1985</v>
      </c>
      <c r="H147" s="576">
        <v>2000</v>
      </c>
      <c r="I147" s="576">
        <v>2336</v>
      </c>
      <c r="J147" s="576">
        <v>3765</v>
      </c>
      <c r="K147" s="576">
        <v>4874</v>
      </c>
      <c r="L147" s="576">
        <v>4692</v>
      </c>
      <c r="M147" s="576">
        <v>5753</v>
      </c>
      <c r="N147" s="576">
        <v>6535</v>
      </c>
      <c r="O147" s="576">
        <v>8081</v>
      </c>
      <c r="P147" s="576">
        <v>9466.5730000000003</v>
      </c>
      <c r="Q147" s="576">
        <v>11836</v>
      </c>
      <c r="R147" s="576">
        <v>12949</v>
      </c>
      <c r="S147" s="576">
        <v>10340</v>
      </c>
      <c r="T147" s="576">
        <f>SUM(Quarts!BP159:BS159)</f>
        <v>9187.3919999999998</v>
      </c>
      <c r="U147" s="308">
        <f t="shared" ref="U147:AD147" si="161">U148*U127</f>
        <v>9717.293698700003</v>
      </c>
      <c r="V147" s="308">
        <f t="shared" si="161"/>
        <v>9856.4705040000026</v>
      </c>
      <c r="W147" s="308">
        <f t="shared" si="161"/>
        <v>9999.2961712603028</v>
      </c>
      <c r="X147" s="308">
        <f t="shared" si="161"/>
        <v>10042.771372004911</v>
      </c>
      <c r="Y147" s="308">
        <f t="shared" si="161"/>
        <v>9962.4209182076502</v>
      </c>
      <c r="Z147" s="308">
        <f t="shared" si="161"/>
        <v>9918.8945236275231</v>
      </c>
      <c r="AA147" s="308">
        <f t="shared" si="161"/>
        <v>9871.0863692785861</v>
      </c>
      <c r="AB147" s="308">
        <f t="shared" si="161"/>
        <v>9944.6802619224636</v>
      </c>
      <c r="AC147" s="308">
        <f t="shared" si="161"/>
        <v>10018.710811137766</v>
      </c>
      <c r="AD147" s="308">
        <f t="shared" si="161"/>
        <v>9962.0932589503536</v>
      </c>
    </row>
    <row r="148" spans="2:32">
      <c r="B148" s="163" t="s">
        <v>371</v>
      </c>
      <c r="C148" s="163"/>
      <c r="D148" s="163"/>
      <c r="E148" s="163"/>
      <c r="F148" s="284">
        <f t="shared" ref="F148:T148" si="162">F147/F127</f>
        <v>0.23930173354345982</v>
      </c>
      <c r="G148" s="284">
        <f t="shared" si="162"/>
        <v>0.22112064163974601</v>
      </c>
      <c r="H148" s="284">
        <f t="shared" si="162"/>
        <v>0.1986491855383393</v>
      </c>
      <c r="I148" s="284">
        <f t="shared" si="162"/>
        <v>0.20357298474945534</v>
      </c>
      <c r="J148" s="284">
        <f t="shared" si="162"/>
        <v>0.25863845572576766</v>
      </c>
      <c r="K148" s="284">
        <f t="shared" si="162"/>
        <v>0.28743291855870734</v>
      </c>
      <c r="L148" s="284">
        <f t="shared" si="162"/>
        <v>0.27141782842598483</v>
      </c>
      <c r="M148" s="284">
        <f t="shared" si="162"/>
        <v>0.29599711874871371</v>
      </c>
      <c r="N148" s="284">
        <f t="shared" si="162"/>
        <v>0.30249027957785596</v>
      </c>
      <c r="O148" s="284">
        <f t="shared" si="162"/>
        <v>0.36090507901659635</v>
      </c>
      <c r="P148" s="284">
        <f t="shared" si="162"/>
        <v>0.38428273216035008</v>
      </c>
      <c r="Q148" s="284">
        <f t="shared" si="162"/>
        <v>0.43586349341643954</v>
      </c>
      <c r="R148" s="284">
        <f t="shared" si="162"/>
        <v>0.43350403328818177</v>
      </c>
      <c r="S148" s="284">
        <f t="shared" si="162"/>
        <v>0.31485180634957433</v>
      </c>
      <c r="T148" s="284">
        <f t="shared" si="162"/>
        <v>0.25931320749412828</v>
      </c>
      <c r="U148" s="1045">
        <v>0.2525</v>
      </c>
      <c r="V148" s="1045">
        <v>0.24</v>
      </c>
      <c r="W148" s="1045">
        <v>0.23</v>
      </c>
      <c r="X148" s="1045">
        <v>0.22</v>
      </c>
      <c r="Y148" s="1045">
        <v>0.21</v>
      </c>
      <c r="Z148" s="1045">
        <v>0.20499999999999999</v>
      </c>
      <c r="AA148" s="1045">
        <v>0.2</v>
      </c>
      <c r="AB148" s="1045">
        <v>0.19750000000000001</v>
      </c>
      <c r="AC148" s="1045">
        <v>0.19500000000000001</v>
      </c>
      <c r="AD148" s="1045">
        <v>0.19</v>
      </c>
      <c r="AF148" s="287">
        <f>Quarts!BW160</f>
        <v>0.28519446701672319</v>
      </c>
    </row>
    <row r="149" spans="2:32">
      <c r="B149" s="163" t="s">
        <v>372</v>
      </c>
      <c r="C149" s="163"/>
      <c r="D149" s="163"/>
      <c r="E149" s="163"/>
      <c r="F149" s="308">
        <f t="shared" ref="F149:AD149" si="163">F147/F116</f>
        <v>159.19354838709677</v>
      </c>
      <c r="G149" s="308">
        <f t="shared" si="163"/>
        <v>150.37878787878788</v>
      </c>
      <c r="H149" s="308">
        <f t="shared" si="163"/>
        <v>156.73981191222572</v>
      </c>
      <c r="I149" s="308">
        <f t="shared" si="163"/>
        <v>175.6390977443609</v>
      </c>
      <c r="J149" s="308">
        <f t="shared" si="163"/>
        <v>228.18181818181819</v>
      </c>
      <c r="K149" s="308">
        <f t="shared" si="163"/>
        <v>257.88359788359793</v>
      </c>
      <c r="L149" s="308">
        <f t="shared" si="163"/>
        <v>253.62162162162161</v>
      </c>
      <c r="M149" s="308">
        <f t="shared" si="163"/>
        <v>299.63541666666669</v>
      </c>
      <c r="N149" s="308">
        <f t="shared" si="163"/>
        <v>339.48051948051949</v>
      </c>
      <c r="O149" s="308">
        <f t="shared" si="163"/>
        <v>404.05</v>
      </c>
      <c r="P149" s="308">
        <f t="shared" si="163"/>
        <v>466.67157991254754</v>
      </c>
      <c r="Q149" s="308">
        <f t="shared" si="163"/>
        <v>588.85572139303474</v>
      </c>
      <c r="R149" s="308">
        <f t="shared" si="163"/>
        <v>730.34404963338977</v>
      </c>
      <c r="S149" s="308">
        <f t="shared" si="163"/>
        <v>565.0273224043716</v>
      </c>
      <c r="T149" s="308">
        <f t="shared" si="163"/>
        <v>478.51</v>
      </c>
      <c r="U149" s="308">
        <f t="shared" si="163"/>
        <v>559.59076871292848</v>
      </c>
      <c r="V149" s="308">
        <f t="shared" si="163"/>
        <v>556.47603665249585</v>
      </c>
      <c r="W149" s="308">
        <f t="shared" si="163"/>
        <v>553.47027435461678</v>
      </c>
      <c r="X149" s="308">
        <f t="shared" si="163"/>
        <v>544.97712436452014</v>
      </c>
      <c r="Y149" s="308">
        <f t="shared" si="163"/>
        <v>530.01652735024493</v>
      </c>
      <c r="Z149" s="308">
        <f t="shared" si="163"/>
        <v>517.35377883689455</v>
      </c>
      <c r="AA149" s="308">
        <f t="shared" si="163"/>
        <v>504.76488378966809</v>
      </c>
      <c r="AB149" s="308">
        <f t="shared" si="163"/>
        <v>498.55701843233413</v>
      </c>
      <c r="AC149" s="308">
        <f t="shared" si="163"/>
        <v>492.41999476212817</v>
      </c>
      <c r="AD149" s="308">
        <f t="shared" si="163"/>
        <v>480.03650984976798</v>
      </c>
    </row>
    <row r="150" spans="2:32">
      <c r="N150" s="307"/>
    </row>
    <row r="151" spans="2:32">
      <c r="N151" s="265"/>
      <c r="Q151" s="307"/>
      <c r="R151" s="307"/>
      <c r="S151" s="307"/>
      <c r="T151" s="307"/>
      <c r="U151" s="307"/>
      <c r="V151" s="307"/>
    </row>
    <row r="152" spans="2:32">
      <c r="Q152" s="307"/>
      <c r="R152" s="307"/>
      <c r="S152" s="307"/>
      <c r="T152" s="307"/>
      <c r="U152" s="307"/>
      <c r="V152" s="307"/>
    </row>
    <row r="153" spans="2:32">
      <c r="Q153" s="287"/>
      <c r="R153" s="287"/>
      <c r="S153" s="287"/>
      <c r="T153" s="287"/>
      <c r="U153" s="287"/>
      <c r="V153" s="287"/>
    </row>
  </sheetData>
  <pageMargins left="0.7" right="0.7" top="0.75" bottom="0.75" header="0.3" footer="0.3"/>
  <pageSetup paperSize="9" orientation="portrait" r:id="rId1"/>
  <ignoredErrors>
    <ignoredError sqref="G107:H110 I86:Y86 I87:Q87 W108:Y108 T110:Y110 G111:Q112 AE107:AE113 S107:Y107 S109:Y109 I105:Q110 S105:Y105 S111:Y112 G113:Y113 I85:W85 Y85 I103:Y104" 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51"/>
  <sheetViews>
    <sheetView zoomScale="72" zoomScaleNormal="72" workbookViewId="0">
      <selection activeCell="R37" sqref="R37"/>
    </sheetView>
  </sheetViews>
  <sheetFormatPr defaultRowHeight="15"/>
  <cols>
    <col min="1" max="1" width="2.7109375" customWidth="1"/>
    <col min="2" max="2" width="27.28515625" customWidth="1"/>
    <col min="3" max="26" width="10.7109375" customWidth="1"/>
  </cols>
  <sheetData>
    <row r="1" spans="1:36">
      <c r="A1" s="161"/>
      <c r="B1" s="161"/>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row>
    <row r="2" spans="1:36">
      <c r="A2" s="161"/>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row>
    <row r="3" spans="1:36">
      <c r="A3" s="161"/>
      <c r="B3" s="872" t="s">
        <v>11</v>
      </c>
      <c r="C3" s="872">
        <f>D3-1</f>
        <v>2012</v>
      </c>
      <c r="D3" s="872">
        <f>E3-1</f>
        <v>2013</v>
      </c>
      <c r="E3" s="872">
        <v>2014</v>
      </c>
      <c r="F3" s="872">
        <f>E3+1</f>
        <v>2015</v>
      </c>
      <c r="G3" s="872">
        <f t="shared" ref="G3:P3" si="0">F3+1</f>
        <v>2016</v>
      </c>
      <c r="H3" s="872">
        <f t="shared" si="0"/>
        <v>2017</v>
      </c>
      <c r="I3" s="872">
        <f t="shared" si="0"/>
        <v>2018</v>
      </c>
      <c r="J3" s="872">
        <f t="shared" si="0"/>
        <v>2019</v>
      </c>
      <c r="K3" s="872">
        <f t="shared" si="0"/>
        <v>2020</v>
      </c>
      <c r="L3" s="872">
        <f t="shared" si="0"/>
        <v>2021</v>
      </c>
      <c r="M3" s="872">
        <f t="shared" si="0"/>
        <v>2022</v>
      </c>
      <c r="N3" s="872">
        <f t="shared" si="0"/>
        <v>2023</v>
      </c>
      <c r="O3" s="872">
        <f t="shared" si="0"/>
        <v>2024</v>
      </c>
      <c r="P3" s="872">
        <f t="shared" si="0"/>
        <v>2025</v>
      </c>
      <c r="Q3" s="872">
        <f t="shared" ref="Q3:Z3" si="1">P3+1</f>
        <v>2026</v>
      </c>
      <c r="R3" s="872">
        <f t="shared" si="1"/>
        <v>2027</v>
      </c>
      <c r="S3" s="872">
        <f t="shared" si="1"/>
        <v>2028</v>
      </c>
      <c r="T3" s="872">
        <f t="shared" si="1"/>
        <v>2029</v>
      </c>
      <c r="U3" s="872">
        <f t="shared" si="1"/>
        <v>2030</v>
      </c>
      <c r="V3" s="872">
        <f t="shared" si="1"/>
        <v>2031</v>
      </c>
      <c r="W3" s="872">
        <f t="shared" si="1"/>
        <v>2032</v>
      </c>
      <c r="X3" s="872">
        <f t="shared" si="1"/>
        <v>2033</v>
      </c>
      <c r="Y3" s="872">
        <f t="shared" si="1"/>
        <v>2034</v>
      </c>
      <c r="Z3" s="872">
        <f t="shared" si="1"/>
        <v>2035</v>
      </c>
      <c r="AA3" s="161"/>
      <c r="AB3" s="161"/>
      <c r="AC3" s="161"/>
      <c r="AD3" s="161"/>
    </row>
    <row r="4" spans="1:36">
      <c r="A4" s="161"/>
      <c r="B4" s="161" t="s">
        <v>373</v>
      </c>
      <c r="C4" s="463">
        <v>100.7754495412844</v>
      </c>
      <c r="D4" s="463">
        <v>105.10299999999999</v>
      </c>
      <c r="E4" s="463">
        <v>109.76816654808124</v>
      </c>
      <c r="F4" s="463">
        <v>113.34070499151689</v>
      </c>
      <c r="G4" s="463">
        <v>116.97855733255579</v>
      </c>
      <c r="H4" s="463">
        <v>120.68272819979359</v>
      </c>
      <c r="I4" s="463">
        <v>123.84323686800283</v>
      </c>
      <c r="J4" s="463">
        <v>126.74981384292558</v>
      </c>
      <c r="K4" s="463">
        <v>129.39309274274802</v>
      </c>
      <c r="L4" s="463">
        <v>132.07918705089156</v>
      </c>
      <c r="M4" s="463">
        <v>134.80871886959241</v>
      </c>
      <c r="N4" s="463">
        <v>137.58231880667151</v>
      </c>
      <c r="O4" s="463">
        <v>140.40062608738316</v>
      </c>
      <c r="P4" s="463">
        <v>143.26428866769481</v>
      </c>
      <c r="Q4" s="463">
        <v>143.26428866769481</v>
      </c>
      <c r="R4" s="463">
        <v>143.26428866769481</v>
      </c>
      <c r="S4" s="463">
        <v>143.26428866769481</v>
      </c>
      <c r="T4" s="463">
        <v>143.26428866769481</v>
      </c>
      <c r="U4" s="463">
        <v>143.26428866769481</v>
      </c>
      <c r="V4" s="463">
        <v>143.26428866769481</v>
      </c>
      <c r="W4" s="463">
        <v>143.26428866769481</v>
      </c>
      <c r="X4" s="463">
        <v>143.26428866769481</v>
      </c>
      <c r="Y4" s="463">
        <v>143.26428866769481</v>
      </c>
      <c r="Z4" s="463">
        <v>143.26428866769481</v>
      </c>
      <c r="AA4" s="266"/>
      <c r="AB4" s="266"/>
      <c r="AC4" s="266"/>
      <c r="AD4" s="266"/>
      <c r="AE4" s="19"/>
      <c r="AF4" s="19"/>
      <c r="AG4" s="19"/>
      <c r="AH4" s="19"/>
      <c r="AI4" s="19"/>
      <c r="AJ4" s="19"/>
    </row>
    <row r="5" spans="1:36">
      <c r="A5" s="161"/>
      <c r="B5" s="161" t="s">
        <v>374</v>
      </c>
      <c r="C5" s="463">
        <v>114.436338687926</v>
      </c>
      <c r="D5" s="463">
        <v>115.69513841349317</v>
      </c>
      <c r="E5" s="463">
        <v>116.96778493604158</v>
      </c>
      <c r="F5" s="463">
        <v>118.25443057033803</v>
      </c>
      <c r="G5" s="463">
        <v>119.55522930661174</v>
      </c>
      <c r="H5" s="463">
        <v>120.87033682898445</v>
      </c>
      <c r="I5" s="463">
        <v>122.19991053410327</v>
      </c>
      <c r="J5" s="463">
        <v>123.54410954997839</v>
      </c>
      <c r="K5" s="463">
        <v>124.90309475502814</v>
      </c>
      <c r="L5" s="463">
        <v>126.27702879733343</v>
      </c>
      <c r="M5" s="463">
        <v>127.66607611410409</v>
      </c>
      <c r="N5" s="463">
        <v>129.07040295135923</v>
      </c>
      <c r="O5" s="463">
        <v>130.49017738382418</v>
      </c>
      <c r="P5" s="463">
        <v>131.92556933504622</v>
      </c>
      <c r="Q5" s="463">
        <v>131.92556933504622</v>
      </c>
      <c r="R5" s="463">
        <v>131.92556933504622</v>
      </c>
      <c r="S5" s="463">
        <v>131.92556933504622</v>
      </c>
      <c r="T5" s="463">
        <v>131.92556933504622</v>
      </c>
      <c r="U5" s="463">
        <v>131.92556933504622</v>
      </c>
      <c r="V5" s="463">
        <v>131.92556933504622</v>
      </c>
      <c r="W5" s="463">
        <v>131.92556933504622</v>
      </c>
      <c r="X5" s="463">
        <v>131.92556933504622</v>
      </c>
      <c r="Y5" s="463">
        <v>131.92556933504622</v>
      </c>
      <c r="Z5" s="463">
        <v>131.92556933504622</v>
      </c>
      <c r="AA5" s="266"/>
      <c r="AB5" s="266"/>
      <c r="AC5" s="266"/>
      <c r="AD5" s="266"/>
      <c r="AE5" s="19"/>
      <c r="AF5" s="19"/>
      <c r="AG5" s="19"/>
      <c r="AH5" s="19"/>
      <c r="AI5" s="19"/>
      <c r="AJ5" s="19"/>
    </row>
    <row r="6" spans="1:36">
      <c r="A6" s="161"/>
      <c r="B6" s="161" t="s">
        <v>47</v>
      </c>
      <c r="C6" s="264">
        <f>C4/C5</f>
        <v>0.88062455245186089</v>
      </c>
      <c r="D6" s="264">
        <f t="shared" ref="D6:P6" si="2">D4/D5</f>
        <v>0.90844785218513691</v>
      </c>
      <c r="E6" s="264">
        <f t="shared" si="2"/>
        <v>0.93844785218513693</v>
      </c>
      <c r="F6" s="264">
        <f t="shared" si="2"/>
        <v>0.95844785218513695</v>
      </c>
      <c r="G6" s="264">
        <f t="shared" si="2"/>
        <v>0.97844785218513697</v>
      </c>
      <c r="H6" s="264">
        <f t="shared" si="2"/>
        <v>0.99844785218513699</v>
      </c>
      <c r="I6" s="264">
        <f t="shared" si="2"/>
        <v>1.0134478521851369</v>
      </c>
      <c r="J6" s="264">
        <f t="shared" si="2"/>
        <v>1.0259478521851368</v>
      </c>
      <c r="K6" s="264">
        <f t="shared" si="2"/>
        <v>1.0359478521851369</v>
      </c>
      <c r="L6" s="264">
        <f t="shared" si="2"/>
        <v>1.0459478521851366</v>
      </c>
      <c r="M6" s="264">
        <f t="shared" si="2"/>
        <v>1.0559478521851369</v>
      </c>
      <c r="N6" s="264">
        <f t="shared" si="2"/>
        <v>1.0659478521851369</v>
      </c>
      <c r="O6" s="264">
        <f t="shared" si="2"/>
        <v>1.0759478521851369</v>
      </c>
      <c r="P6" s="264">
        <f t="shared" si="2"/>
        <v>1.0859478521851369</v>
      </c>
      <c r="Q6" s="264">
        <f t="shared" ref="Q6:Z6" si="3">Q4/Q5</f>
        <v>1.0859478521851369</v>
      </c>
      <c r="R6" s="264">
        <f t="shared" si="3"/>
        <v>1.0859478521851369</v>
      </c>
      <c r="S6" s="264">
        <f t="shared" si="3"/>
        <v>1.0859478521851369</v>
      </c>
      <c r="T6" s="264">
        <f t="shared" si="3"/>
        <v>1.0859478521851369</v>
      </c>
      <c r="U6" s="264">
        <f t="shared" si="3"/>
        <v>1.0859478521851369</v>
      </c>
      <c r="V6" s="264">
        <f t="shared" si="3"/>
        <v>1.0859478521851369</v>
      </c>
      <c r="W6" s="264">
        <f t="shared" si="3"/>
        <v>1.0859478521851369</v>
      </c>
      <c r="X6" s="264">
        <f t="shared" si="3"/>
        <v>1.0859478521851369</v>
      </c>
      <c r="Y6" s="264">
        <f t="shared" si="3"/>
        <v>1.0859478521851369</v>
      </c>
      <c r="Z6" s="264">
        <f t="shared" si="3"/>
        <v>1.0859478521851369</v>
      </c>
      <c r="AA6" s="161"/>
      <c r="AB6" s="161"/>
      <c r="AC6" s="161"/>
      <c r="AD6" s="161"/>
    </row>
    <row r="7" spans="1:36">
      <c r="A7" s="161"/>
      <c r="B7" s="16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row>
    <row r="8" spans="1:36">
      <c r="A8" s="161"/>
      <c r="B8" s="161" t="s">
        <v>375</v>
      </c>
      <c r="C8" s="265">
        <v>0</v>
      </c>
      <c r="D8" s="265">
        <v>0</v>
      </c>
      <c r="E8" s="265">
        <v>0</v>
      </c>
      <c r="F8" s="265">
        <v>0</v>
      </c>
      <c r="G8" s="265">
        <v>0</v>
      </c>
      <c r="H8" s="265">
        <v>0</v>
      </c>
      <c r="I8" s="265">
        <v>0</v>
      </c>
      <c r="J8" s="776">
        <f t="shared" ref="J8:P8" si="4">J9/1000/J4</f>
        <v>0</v>
      </c>
      <c r="K8" s="776">
        <f t="shared" si="4"/>
        <v>1.3478308331862207E-3</v>
      </c>
      <c r="L8" s="776">
        <f t="shared" si="4"/>
        <v>3.2427516368265601E-3</v>
      </c>
      <c r="M8" s="776">
        <f t="shared" si="4"/>
        <v>2.6464831280321082E-3</v>
      </c>
      <c r="N8" s="776">
        <f t="shared" si="4"/>
        <v>3.1500268621652608E-3</v>
      </c>
      <c r="O8" s="776">
        <f t="shared" si="4"/>
        <v>3.9481447871535747E-3</v>
      </c>
      <c r="P8" s="776">
        <f t="shared" si="4"/>
        <v>4.7415305399354278E-3</v>
      </c>
      <c r="Q8" s="777">
        <v>5.7000000000000002E-3</v>
      </c>
      <c r="R8" s="777">
        <f t="shared" ref="R8:Z8" si="5">Q8+0.025%</f>
        <v>5.9500000000000004E-3</v>
      </c>
      <c r="S8" s="777">
        <f t="shared" si="5"/>
        <v>6.2000000000000006E-3</v>
      </c>
      <c r="T8" s="777">
        <f t="shared" si="5"/>
        <v>6.4500000000000009E-3</v>
      </c>
      <c r="U8" s="777">
        <f t="shared" si="5"/>
        <v>6.7000000000000011E-3</v>
      </c>
      <c r="V8" s="777">
        <f t="shared" si="5"/>
        <v>6.9500000000000013E-3</v>
      </c>
      <c r="W8" s="777">
        <f t="shared" si="5"/>
        <v>7.2000000000000015E-3</v>
      </c>
      <c r="X8" s="777">
        <f t="shared" si="5"/>
        <v>7.4500000000000018E-3</v>
      </c>
      <c r="Y8" s="777">
        <f t="shared" si="5"/>
        <v>7.700000000000002E-3</v>
      </c>
      <c r="Z8" s="777">
        <f t="shared" si="5"/>
        <v>7.9500000000000022E-3</v>
      </c>
      <c r="AA8" s="161"/>
      <c r="AB8" s="161"/>
      <c r="AC8" s="161"/>
      <c r="AD8" s="161"/>
    </row>
    <row r="9" spans="1:36">
      <c r="A9" s="161"/>
      <c r="B9" s="163" t="s">
        <v>376</v>
      </c>
      <c r="C9" s="778">
        <v>0</v>
      </c>
      <c r="D9" s="778">
        <v>0</v>
      </c>
      <c r="E9" s="778">
        <v>0</v>
      </c>
      <c r="F9" s="778">
        <v>0</v>
      </c>
      <c r="G9" s="778">
        <v>0</v>
      </c>
      <c r="H9" s="778">
        <v>0</v>
      </c>
      <c r="I9" s="778">
        <v>0</v>
      </c>
      <c r="J9" s="778">
        <v>0</v>
      </c>
      <c r="K9" s="778">
        <v>174.4</v>
      </c>
      <c r="L9" s="778">
        <v>428.3</v>
      </c>
      <c r="M9" s="778">
        <v>356.76900000000001</v>
      </c>
      <c r="N9" s="778">
        <v>433.38799999999998</v>
      </c>
      <c r="O9" s="778">
        <f>Quarts!BO59</f>
        <v>554.322</v>
      </c>
      <c r="P9" s="778">
        <v>679.29200000000003</v>
      </c>
      <c r="Q9" s="308">
        <f t="shared" ref="Q9:Z9" si="6">Q8*Q4*1000</f>
        <v>816.60644540586043</v>
      </c>
      <c r="R9" s="308">
        <f t="shared" si="6"/>
        <v>852.42251757278416</v>
      </c>
      <c r="S9" s="308">
        <f t="shared" si="6"/>
        <v>888.23858973970789</v>
      </c>
      <c r="T9" s="308">
        <f t="shared" si="6"/>
        <v>924.05466190663162</v>
      </c>
      <c r="U9" s="308">
        <f t="shared" si="6"/>
        <v>959.87073407355535</v>
      </c>
      <c r="V9" s="308">
        <f t="shared" si="6"/>
        <v>995.68680624047909</v>
      </c>
      <c r="W9" s="308">
        <f t="shared" si="6"/>
        <v>1031.5028784074029</v>
      </c>
      <c r="X9" s="308">
        <f t="shared" si="6"/>
        <v>1067.3189505743267</v>
      </c>
      <c r="Y9" s="308">
        <f t="shared" si="6"/>
        <v>1103.1350227412504</v>
      </c>
      <c r="Z9" s="308">
        <f t="shared" si="6"/>
        <v>1138.9510949081741</v>
      </c>
      <c r="AA9" s="161"/>
      <c r="AB9" s="161"/>
      <c r="AC9" s="161"/>
      <c r="AD9" s="161"/>
    </row>
    <row r="10" spans="1:36">
      <c r="A10" s="161"/>
      <c r="B10" s="161" t="s">
        <v>42</v>
      </c>
      <c r="C10" s="307"/>
      <c r="D10" s="307">
        <f>D9-C9</f>
        <v>0</v>
      </c>
      <c r="E10" s="307">
        <f t="shared" ref="E10:P10" si="7">E9-D9</f>
        <v>0</v>
      </c>
      <c r="F10" s="307">
        <f t="shared" si="7"/>
        <v>0</v>
      </c>
      <c r="G10" s="307">
        <f t="shared" si="7"/>
        <v>0</v>
      </c>
      <c r="H10" s="307">
        <f t="shared" si="7"/>
        <v>0</v>
      </c>
      <c r="I10" s="307">
        <f t="shared" si="7"/>
        <v>0</v>
      </c>
      <c r="J10" s="307">
        <f t="shared" si="7"/>
        <v>0</v>
      </c>
      <c r="K10" s="307">
        <f t="shared" si="7"/>
        <v>174.4</v>
      </c>
      <c r="L10" s="307">
        <f t="shared" si="7"/>
        <v>253.9</v>
      </c>
      <c r="M10" s="307">
        <f t="shared" si="7"/>
        <v>-71.531000000000006</v>
      </c>
      <c r="N10" s="307">
        <f t="shared" si="7"/>
        <v>76.618999999999971</v>
      </c>
      <c r="O10" s="307">
        <f t="shared" si="7"/>
        <v>120.93400000000003</v>
      </c>
      <c r="P10" s="307">
        <f t="shared" si="7"/>
        <v>124.97000000000003</v>
      </c>
      <c r="Q10" s="307">
        <f t="shared" ref="Q10:Z10" si="8">Q9-P9</f>
        <v>137.3144454058604</v>
      </c>
      <c r="R10" s="307">
        <f t="shared" si="8"/>
        <v>35.816072166923732</v>
      </c>
      <c r="S10" s="307">
        <f t="shared" si="8"/>
        <v>35.816072166923732</v>
      </c>
      <c r="T10" s="307">
        <f t="shared" si="8"/>
        <v>35.816072166923732</v>
      </c>
      <c r="U10" s="307">
        <f t="shared" si="8"/>
        <v>35.816072166923732</v>
      </c>
      <c r="V10" s="307">
        <f t="shared" si="8"/>
        <v>35.816072166923732</v>
      </c>
      <c r="W10" s="307">
        <f t="shared" si="8"/>
        <v>35.816072166923846</v>
      </c>
      <c r="X10" s="307">
        <f t="shared" si="8"/>
        <v>35.816072166923732</v>
      </c>
      <c r="Y10" s="307">
        <f t="shared" si="8"/>
        <v>35.816072166923732</v>
      </c>
      <c r="Z10" s="307">
        <f t="shared" si="8"/>
        <v>35.816072166923732</v>
      </c>
      <c r="AA10" s="161"/>
      <c r="AB10" s="161"/>
      <c r="AC10" s="161"/>
      <c r="AD10" s="161"/>
    </row>
    <row r="11" spans="1:36">
      <c r="A11" s="161"/>
      <c r="B11" s="161"/>
      <c r="C11" s="161"/>
      <c r="D11" s="161"/>
      <c r="E11" s="161"/>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row>
    <row r="12" spans="1:36">
      <c r="A12" s="161"/>
      <c r="B12" s="161" t="s">
        <v>377</v>
      </c>
      <c r="C12" s="307">
        <f>Fixed!G46</f>
        <v>2193</v>
      </c>
      <c r="D12" s="307">
        <f>Fixed!H46</f>
        <v>2250</v>
      </c>
      <c r="E12" s="307">
        <f>Fixed!I46</f>
        <v>2560</v>
      </c>
      <c r="F12" s="307">
        <f>Fixed!J46</f>
        <v>3050</v>
      </c>
      <c r="G12" s="307">
        <f>Fixed!K46</f>
        <v>3303</v>
      </c>
      <c r="H12" s="307">
        <f>Fixed!L46</f>
        <v>3405</v>
      </c>
      <c r="I12" s="307">
        <f>Fixed!M46</f>
        <v>3593</v>
      </c>
      <c r="J12" s="307">
        <f>Fixed!N46</f>
        <v>3628</v>
      </c>
      <c r="K12" s="307">
        <f>Fixed!O46</f>
        <v>3933</v>
      </c>
      <c r="L12" s="307">
        <f>Fixed!P46</f>
        <v>4153.0469999999996</v>
      </c>
      <c r="M12" s="307">
        <f>Fixed!Q46</f>
        <v>4397.9939999999997</v>
      </c>
      <c r="N12" s="307">
        <f>Fixed!R46</f>
        <v>4945.826</v>
      </c>
      <c r="O12" s="307">
        <f>Fixed!S46</f>
        <v>5520.1790000000001</v>
      </c>
      <c r="P12" s="307">
        <f>Fixed!T46</f>
        <v>5953.912127236581</v>
      </c>
      <c r="Q12" s="307">
        <f>Fixed!U46</f>
        <v>6250.9300198807159</v>
      </c>
      <c r="R12" s="307">
        <f>Fixed!V46</f>
        <v>6441.7848906560639</v>
      </c>
      <c r="S12" s="307">
        <f>Fixed!W46</f>
        <v>6606.7948310139163</v>
      </c>
      <c r="T12" s="307">
        <f>Fixed!X46</f>
        <v>6736.0194831013914</v>
      </c>
      <c r="U12" s="307">
        <f>Fixed!Y46</f>
        <v>6837.4111332007951</v>
      </c>
      <c r="V12" s="307">
        <f>Fixed!Z46</f>
        <v>6889.1009940357853</v>
      </c>
      <c r="W12" s="307">
        <f>Fixed!AA46</f>
        <v>6914.94592445328</v>
      </c>
      <c r="X12" s="307">
        <f>Fixed!AB46</f>
        <v>6926.8743538767394</v>
      </c>
      <c r="Y12" s="307">
        <f>Fixed!AC46</f>
        <v>6926.8743538767394</v>
      </c>
      <c r="Z12" s="307">
        <f>Fixed!AD46</f>
        <v>6926.8743538767394</v>
      </c>
      <c r="AA12" s="161"/>
      <c r="AB12" s="161"/>
      <c r="AC12" s="161"/>
      <c r="AD12" s="161"/>
    </row>
    <row r="13" spans="1:36">
      <c r="A13" s="161"/>
      <c r="B13" s="161" t="s">
        <v>378</v>
      </c>
      <c r="C13" s="265">
        <f>C9/(Fixed!G46)</f>
        <v>0</v>
      </c>
      <c r="D13" s="265">
        <f>D9/(Fixed!H46)</f>
        <v>0</v>
      </c>
      <c r="E13" s="265">
        <f>E9/(Fixed!I46)</f>
        <v>0</v>
      </c>
      <c r="F13" s="265">
        <f>F9/(Fixed!J46)</f>
        <v>0</v>
      </c>
      <c r="G13" s="265">
        <f>G9/(Fixed!K46)</f>
        <v>0</v>
      </c>
      <c r="H13" s="265">
        <f>H9/(Fixed!L46)</f>
        <v>0</v>
      </c>
      <c r="I13" s="265">
        <f>I9/(Fixed!M46)</f>
        <v>0</v>
      </c>
      <c r="J13" s="265">
        <f>J9/(Fixed!N46)</f>
        <v>0</v>
      </c>
      <c r="K13" s="265">
        <f>K9/(Fixed!O46)</f>
        <v>4.4342740910246634E-2</v>
      </c>
      <c r="L13" s="265">
        <f>L9/(Fixed!P46)</f>
        <v>0.10312910015224967</v>
      </c>
      <c r="M13" s="265">
        <f>M9/(Fixed!Q46)</f>
        <v>8.1120847368141027E-2</v>
      </c>
      <c r="N13" s="265">
        <f>N9/(Fixed!R46)</f>
        <v>8.7627021249837733E-2</v>
      </c>
      <c r="O13" s="265">
        <f>O9/(Fixed!S46)</f>
        <v>0.10041739588516967</v>
      </c>
      <c r="P13" s="265">
        <f>P9/(Fixed!T46)</f>
        <v>0.11409170734860731</v>
      </c>
      <c r="Q13" s="265">
        <f>Q9/(Fixed!U46)</f>
        <v>0.13063759197570465</v>
      </c>
      <c r="R13" s="265">
        <f>R9/(Fixed!V46)</f>
        <v>0.13232706959979987</v>
      </c>
      <c r="S13" s="265">
        <f>S9/(Fixed!W46)</f>
        <v>0.13444319257048787</v>
      </c>
      <c r="T13" s="265">
        <f>T9/(Fixed!X46)</f>
        <v>0.13718111478519349</v>
      </c>
      <c r="U13" s="265">
        <f>U9/(Fixed!Y46)</f>
        <v>0.14038511292858463</v>
      </c>
      <c r="V13" s="265">
        <f>V9/(Fixed!Z46)</f>
        <v>0.14453073152832152</v>
      </c>
      <c r="W13" s="265">
        <f>W9/(Fixed!AA46)</f>
        <v>0.14917005710192263</v>
      </c>
      <c r="X13" s="265">
        <f>X9/(Fixed!AB46)</f>
        <v>0.15408377517010743</v>
      </c>
      <c r="Y13" s="265">
        <f>Y9/(Fixed!AC46)</f>
        <v>0.15925437165232581</v>
      </c>
      <c r="Z13" s="265">
        <f>Z9/(Fixed!AD46)</f>
        <v>0.16442496813454416</v>
      </c>
      <c r="AA13" s="161"/>
      <c r="AB13" s="161"/>
      <c r="AC13" s="161"/>
      <c r="AD13" s="161"/>
    </row>
    <row r="14" spans="1:36">
      <c r="A14" s="161"/>
      <c r="B14" s="161" t="s">
        <v>379</v>
      </c>
      <c r="C14" s="265"/>
      <c r="D14" s="265"/>
      <c r="E14" s="265"/>
      <c r="F14" s="265"/>
      <c r="G14" s="265"/>
      <c r="H14" s="265"/>
      <c r="I14" s="265"/>
      <c r="J14" s="265"/>
      <c r="K14" s="265">
        <f>K9/Fixed!O25</f>
        <v>4.9686609686609685E-2</v>
      </c>
      <c r="L14" s="265">
        <f>L9/Fixed!P25</f>
        <v>0.11171412452042871</v>
      </c>
      <c r="M14" s="265">
        <f>M9/Fixed!Q25</f>
        <v>8.6220655121246256E-2</v>
      </c>
      <c r="N14" s="265">
        <f>N9/Fixed!R25</f>
        <v>9.1789309955709483E-2</v>
      </c>
      <c r="O14" s="265">
        <f>O9/Fixed!S25</f>
        <v>0.10435376839013921</v>
      </c>
      <c r="P14" s="265">
        <f>P9/Fixed!T25</f>
        <v>0.11700394042494995</v>
      </c>
      <c r="Q14" s="265">
        <f>Q9/Fixed!U25</f>
        <v>0.13158933645011325</v>
      </c>
      <c r="R14" s="265">
        <f>R9/Fixed!V25</f>
        <v>0.13307210596855468</v>
      </c>
      <c r="S14" s="265">
        <f>S9/Fixed!W25</f>
        <v>0.13497591824536315</v>
      </c>
      <c r="T14" s="265">
        <f>T9/Fixed!X25</f>
        <v>0.13728914576683882</v>
      </c>
      <c r="U14" s="265">
        <f>U9/Fixed!Y25</f>
        <v>0.14001022125812848</v>
      </c>
      <c r="V14" s="265">
        <f>V9/Fixed!Z25</f>
        <v>0.14418293102289262</v>
      </c>
      <c r="W14" s="265">
        <f>W9/Fixed!AA25</f>
        <v>0.1488305727598252</v>
      </c>
      <c r="X14" s="265">
        <f>X9/Fixed!AB25</f>
        <v>0.15377642439844152</v>
      </c>
      <c r="Y14" s="265">
        <f>Y9/Fixed!AC25</f>
        <v>0.15893670709637581</v>
      </c>
      <c r="Z14" s="265">
        <f>Z9/Fixed!AD25</f>
        <v>0.16409698979431009</v>
      </c>
      <c r="AA14" s="161"/>
      <c r="AB14" s="161"/>
      <c r="AC14" s="161"/>
      <c r="AD14" s="161"/>
    </row>
    <row r="15" spans="1:36">
      <c r="A15" s="161"/>
      <c r="B15" s="161"/>
      <c r="C15" s="161"/>
      <c r="D15" s="161"/>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row>
    <row r="16" spans="1:36">
      <c r="A16" s="161"/>
      <c r="B16" s="161" t="s">
        <v>380</v>
      </c>
      <c r="C16" s="779">
        <v>175.75</v>
      </c>
      <c r="D16" s="779">
        <v>167</v>
      </c>
      <c r="E16" s="779">
        <v>165</v>
      </c>
      <c r="F16" s="779">
        <v>153</v>
      </c>
      <c r="G16" s="779">
        <v>130.41251156574484</v>
      </c>
      <c r="H16" s="779">
        <v>136.82362723115403</v>
      </c>
      <c r="I16" s="779">
        <v>142.44015757604413</v>
      </c>
      <c r="J16" s="779">
        <v>151.01795013740227</v>
      </c>
      <c r="K16" s="779">
        <v>152.65497455002557</v>
      </c>
      <c r="L16" s="779">
        <v>159.57475681633045</v>
      </c>
      <c r="M16" s="779">
        <v>167.85611415380342</v>
      </c>
      <c r="N16" s="779">
        <v>173.17579338029236</v>
      </c>
      <c r="O16" s="779">
        <v>177.7279798208865</v>
      </c>
      <c r="P16" s="270">
        <v>184.2704338962568</v>
      </c>
      <c r="Q16" s="270">
        <v>190.66054834276756</v>
      </c>
      <c r="R16" s="270">
        <v>196.58645616353411</v>
      </c>
      <c r="S16" s="270">
        <v>202.88863338236354</v>
      </c>
      <c r="T16" s="270">
        <v>209.53227653040153</v>
      </c>
      <c r="U16" s="270">
        <v>216.54628801024111</v>
      </c>
      <c r="V16" s="270">
        <v>216.54628801024111</v>
      </c>
      <c r="W16" s="270">
        <v>216.54628801024111</v>
      </c>
      <c r="X16" s="270">
        <v>216.54628801024111</v>
      </c>
      <c r="Y16" s="270">
        <v>216.54628801024111</v>
      </c>
      <c r="Z16" s="270">
        <v>216.54628801024111</v>
      </c>
      <c r="AA16" s="161"/>
      <c r="AB16" s="161"/>
      <c r="AC16" s="161"/>
      <c r="AD16" s="161"/>
    </row>
    <row r="17" spans="1:30">
      <c r="A17" s="161"/>
      <c r="B17" s="161"/>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row>
    <row r="18" spans="1:30">
      <c r="A18" s="161"/>
      <c r="B18" s="161" t="s">
        <v>381</v>
      </c>
      <c r="C18" s="161"/>
      <c r="D18" s="161"/>
      <c r="E18" s="161"/>
      <c r="F18" s="161"/>
      <c r="G18" s="161"/>
      <c r="H18" s="161"/>
      <c r="I18" s="161"/>
      <c r="J18" s="161"/>
      <c r="K18" s="264">
        <f t="shared" ref="K18:Z18" si="9">K19/K16-1</f>
        <v>-0.18115999581109576</v>
      </c>
      <c r="L18" s="264">
        <f t="shared" si="9"/>
        <v>-0.37333446721087982</v>
      </c>
      <c r="M18" s="264">
        <f t="shared" si="9"/>
        <v>-0.31488941835846596</v>
      </c>
      <c r="N18" s="264">
        <f t="shared" si="9"/>
        <v>-0.18002396739035353</v>
      </c>
      <c r="O18" s="264">
        <f t="shared" si="9"/>
        <v>-0.35294375080447937</v>
      </c>
      <c r="P18" s="264">
        <f t="shared" si="9"/>
        <v>-0.34878321246283428</v>
      </c>
      <c r="Q18" s="264">
        <f t="shared" si="9"/>
        <v>-0.34438455628861253</v>
      </c>
      <c r="R18" s="264">
        <f t="shared" si="9"/>
        <v>-0.33871334507471318</v>
      </c>
      <c r="S18" s="264">
        <f t="shared" si="9"/>
        <v>-0.33461033400733076</v>
      </c>
      <c r="T18" s="264">
        <f t="shared" si="9"/>
        <v>-0.3318451824309413</v>
      </c>
      <c r="U18" s="264">
        <f t="shared" si="9"/>
        <v>-0.33039720360783775</v>
      </c>
      <c r="V18" s="264">
        <f t="shared" si="9"/>
        <v>-0.33039720360783775</v>
      </c>
      <c r="W18" s="264">
        <f t="shared" si="9"/>
        <v>-0.33039720360783775</v>
      </c>
      <c r="X18" s="264">
        <f t="shared" si="9"/>
        <v>-0.33039720360783775</v>
      </c>
      <c r="Y18" s="264">
        <f t="shared" si="9"/>
        <v>-0.33039720360783775</v>
      </c>
      <c r="Z18" s="264">
        <f t="shared" si="9"/>
        <v>-0.33039720360783775</v>
      </c>
      <c r="AA18" s="161"/>
      <c r="AB18" s="161"/>
      <c r="AC18" s="161"/>
      <c r="AD18" s="161"/>
    </row>
    <row r="19" spans="1:30">
      <c r="A19" s="161"/>
      <c r="B19" s="163" t="s">
        <v>382</v>
      </c>
      <c r="C19" s="294"/>
      <c r="D19" s="294"/>
      <c r="E19" s="294"/>
      <c r="F19" s="294"/>
      <c r="G19" s="294"/>
      <c r="H19" s="294"/>
      <c r="I19" s="294"/>
      <c r="J19" s="294"/>
      <c r="K19" s="296">
        <v>125</v>
      </c>
      <c r="L19" s="296">
        <v>100</v>
      </c>
      <c r="M19" s="296">
        <v>115</v>
      </c>
      <c r="N19" s="296">
        <v>142</v>
      </c>
      <c r="O19" s="296">
        <v>115</v>
      </c>
      <c r="P19" s="296">
        <v>120</v>
      </c>
      <c r="Q19" s="296">
        <v>125</v>
      </c>
      <c r="R19" s="296">
        <v>130</v>
      </c>
      <c r="S19" s="296">
        <v>135</v>
      </c>
      <c r="T19" s="296">
        <v>140</v>
      </c>
      <c r="U19" s="296">
        <v>145</v>
      </c>
      <c r="V19" s="296">
        <v>145</v>
      </c>
      <c r="W19" s="296">
        <v>145</v>
      </c>
      <c r="X19" s="296">
        <v>145</v>
      </c>
      <c r="Y19" s="296">
        <v>145</v>
      </c>
      <c r="Z19" s="296">
        <v>145</v>
      </c>
      <c r="AA19" s="161"/>
      <c r="AB19" s="264">
        <f>Fixed!AF123</f>
        <v>0.41974966346598253</v>
      </c>
      <c r="AC19" s="161"/>
      <c r="AD19" s="161"/>
    </row>
    <row r="20" spans="1:30">
      <c r="A20" s="161"/>
      <c r="B20" s="161"/>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c r="AA20" s="161"/>
      <c r="AB20" s="161">
        <f>Quarts!DV104</f>
        <v>0.10996579490503411</v>
      </c>
      <c r="AC20" s="161"/>
      <c r="AD20" s="161"/>
    </row>
    <row r="21" spans="1:30">
      <c r="A21" s="161"/>
      <c r="B21" s="161"/>
      <c r="C21" s="161"/>
      <c r="D21" s="161"/>
      <c r="E21" s="161"/>
      <c r="F21" s="161"/>
      <c r="G21" s="161"/>
      <c r="H21" s="161"/>
      <c r="I21" s="161"/>
      <c r="J21" s="161"/>
      <c r="K21" s="161"/>
      <c r="L21" s="161"/>
      <c r="M21" s="161"/>
      <c r="N21" s="161"/>
      <c r="O21" s="161"/>
      <c r="P21" s="161"/>
      <c r="Q21" s="161"/>
      <c r="R21" s="161"/>
      <c r="S21" s="161"/>
      <c r="T21" s="161"/>
      <c r="U21" s="161"/>
      <c r="V21" s="161"/>
      <c r="W21" s="161"/>
      <c r="X21" s="161"/>
      <c r="Y21" s="161"/>
      <c r="Z21" s="161"/>
      <c r="AA21" s="161"/>
      <c r="AB21" s="161"/>
      <c r="AC21" s="161"/>
      <c r="AD21" s="161"/>
    </row>
    <row r="22" spans="1:30">
      <c r="A22" s="161"/>
      <c r="B22" s="161"/>
      <c r="C22" s="161"/>
      <c r="D22" s="161"/>
      <c r="E22" s="161"/>
      <c r="F22" s="161"/>
      <c r="G22" s="161"/>
      <c r="H22" s="161"/>
      <c r="I22" s="161"/>
      <c r="J22" s="161"/>
      <c r="K22" s="161"/>
      <c r="L22" s="161"/>
      <c r="M22" s="161"/>
      <c r="N22" s="161"/>
      <c r="O22" s="161"/>
      <c r="P22" s="161"/>
      <c r="Q22" s="161"/>
      <c r="R22" s="161"/>
      <c r="S22" s="161"/>
      <c r="T22" s="161"/>
      <c r="U22" s="161"/>
      <c r="V22" s="161"/>
      <c r="W22" s="161"/>
      <c r="X22" s="161"/>
      <c r="Y22" s="161"/>
      <c r="Z22" s="161"/>
      <c r="AA22" s="161"/>
      <c r="AB22" s="161"/>
      <c r="AC22" s="161"/>
      <c r="AD22" s="161"/>
    </row>
    <row r="23" spans="1:30">
      <c r="A23" s="161"/>
      <c r="B23" s="163" t="s">
        <v>383</v>
      </c>
      <c r="C23" s="308"/>
      <c r="D23" s="308">
        <f t="shared" ref="D23:P23" si="10">D19*AVERAGE(C9,D9)*12/1000</f>
        <v>0</v>
      </c>
      <c r="E23" s="308">
        <f t="shared" si="10"/>
        <v>0</v>
      </c>
      <c r="F23" s="308">
        <f t="shared" si="10"/>
        <v>0</v>
      </c>
      <c r="G23" s="308">
        <f t="shared" si="10"/>
        <v>0</v>
      </c>
      <c r="H23" s="308">
        <f t="shared" si="10"/>
        <v>0</v>
      </c>
      <c r="I23" s="308">
        <f t="shared" si="10"/>
        <v>0</v>
      </c>
      <c r="J23" s="308">
        <f t="shared" si="10"/>
        <v>0</v>
      </c>
      <c r="K23" s="308">
        <f>K19*AVERAGE(J9,K9)*12/1000</f>
        <v>130.80000000000001</v>
      </c>
      <c r="L23" s="308">
        <f>L19*AVERAGE(K9,L9)*12/1000</f>
        <v>361.62000000000006</v>
      </c>
      <c r="M23" s="308">
        <f t="shared" si="10"/>
        <v>541.69760999999994</v>
      </c>
      <c r="N23" s="308">
        <f t="shared" si="10"/>
        <v>673.21376399999997</v>
      </c>
      <c r="O23" s="308">
        <f t="shared" si="10"/>
        <v>681.51990000000001</v>
      </c>
      <c r="P23" s="308">
        <f t="shared" si="10"/>
        <v>888.20207999999991</v>
      </c>
      <c r="Q23" s="308">
        <f t="shared" ref="Q23:Z23" si="11">Q19*AVERAGE(P9,Q9)*12/1000</f>
        <v>1121.9238340543952</v>
      </c>
      <c r="R23" s="308">
        <f t="shared" si="11"/>
        <v>1301.8425911233428</v>
      </c>
      <c r="S23" s="308">
        <f t="shared" si="11"/>
        <v>1409.9354969231185</v>
      </c>
      <c r="T23" s="308">
        <f t="shared" si="11"/>
        <v>1522.3263313829252</v>
      </c>
      <c r="U23" s="308">
        <f t="shared" si="11"/>
        <v>1639.0150945027628</v>
      </c>
      <c r="V23" s="308">
        <f t="shared" si="11"/>
        <v>1701.3350600732099</v>
      </c>
      <c r="W23" s="308">
        <f t="shared" si="11"/>
        <v>1763.6550256436574</v>
      </c>
      <c r="X23" s="308">
        <f t="shared" si="11"/>
        <v>1825.9749912141044</v>
      </c>
      <c r="Y23" s="308">
        <f t="shared" si="11"/>
        <v>1888.2949567845519</v>
      </c>
      <c r="Z23" s="308">
        <f t="shared" si="11"/>
        <v>1950.6149223549992</v>
      </c>
      <c r="AA23" s="161"/>
      <c r="AB23" s="161"/>
      <c r="AC23" s="161"/>
      <c r="AD23" s="161"/>
    </row>
    <row r="24" spans="1:30">
      <c r="A24" s="161"/>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row>
    <row r="25" spans="1:30">
      <c r="A25" s="161"/>
      <c r="B25" s="161" t="s">
        <v>384</v>
      </c>
      <c r="C25" s="161"/>
      <c r="D25" s="348"/>
      <c r="E25" s="348"/>
      <c r="F25" s="348"/>
      <c r="G25" s="348"/>
      <c r="H25" s="348"/>
      <c r="I25" s="348"/>
      <c r="J25" s="348"/>
      <c r="K25" s="348">
        <v>1</v>
      </c>
      <c r="L25" s="348">
        <v>1</v>
      </c>
      <c r="M25" s="348">
        <v>1</v>
      </c>
      <c r="N25" s="348">
        <v>1</v>
      </c>
      <c r="O25" s="348">
        <v>1</v>
      </c>
      <c r="P25" s="348">
        <v>1</v>
      </c>
      <c r="Q25" s="348">
        <v>1</v>
      </c>
      <c r="R25" s="348">
        <v>1</v>
      </c>
      <c r="S25" s="348">
        <v>1</v>
      </c>
      <c r="T25" s="348">
        <v>1</v>
      </c>
      <c r="U25" s="348">
        <v>1</v>
      </c>
      <c r="V25" s="348">
        <v>1</v>
      </c>
      <c r="W25" s="348">
        <v>1</v>
      </c>
      <c r="X25" s="348">
        <v>1</v>
      </c>
      <c r="Y25" s="348">
        <v>1</v>
      </c>
      <c r="Z25" s="348">
        <v>1</v>
      </c>
      <c r="AA25" s="161"/>
      <c r="AB25" s="161"/>
      <c r="AC25" s="161"/>
      <c r="AD25" s="161"/>
    </row>
    <row r="26" spans="1:30">
      <c r="A26" s="161"/>
      <c r="B26" s="161" t="s">
        <v>385</v>
      </c>
      <c r="C26" s="161"/>
      <c r="D26" s="348"/>
      <c r="E26" s="348"/>
      <c r="F26" s="348"/>
      <c r="G26" s="348"/>
      <c r="H26" s="348"/>
      <c r="I26" s="348"/>
      <c r="J26" s="348"/>
      <c r="K26" s="348">
        <v>-0.15</v>
      </c>
      <c r="L26" s="348">
        <v>0</v>
      </c>
      <c r="M26" s="348">
        <v>0.1</v>
      </c>
      <c r="N26" s="348">
        <v>0.1</v>
      </c>
      <c r="O26" s="348">
        <v>0.1</v>
      </c>
      <c r="P26" s="348">
        <v>0.1</v>
      </c>
      <c r="Q26" s="348">
        <v>0.1</v>
      </c>
      <c r="R26" s="348">
        <v>0.1</v>
      </c>
      <c r="S26" s="348">
        <v>0.1</v>
      </c>
      <c r="T26" s="348">
        <v>0.1</v>
      </c>
      <c r="U26" s="348">
        <v>0.1</v>
      </c>
      <c r="V26" s="348">
        <v>0.1</v>
      </c>
      <c r="W26" s="348">
        <v>0.1</v>
      </c>
      <c r="X26" s="348">
        <v>0.1</v>
      </c>
      <c r="Y26" s="348">
        <v>0.1</v>
      </c>
      <c r="Z26" s="348">
        <v>0.1</v>
      </c>
      <c r="AA26" s="161"/>
      <c r="AB26" s="161"/>
      <c r="AC26" s="161"/>
      <c r="AD26" s="161"/>
    </row>
    <row r="27" spans="1:30">
      <c r="A27" s="161"/>
      <c r="B27" s="161" t="s">
        <v>386</v>
      </c>
      <c r="C27" s="161"/>
      <c r="D27" s="348"/>
      <c r="E27" s="348"/>
      <c r="F27" s="348"/>
      <c r="G27" s="348"/>
      <c r="H27" s="348"/>
      <c r="I27" s="348"/>
      <c r="J27" s="348"/>
      <c r="K27" s="348">
        <v>0.35</v>
      </c>
      <c r="L27" s="348">
        <v>0.35</v>
      </c>
      <c r="M27" s="348">
        <v>0.35</v>
      </c>
      <c r="N27" s="348">
        <v>0.35</v>
      </c>
      <c r="O27" s="348">
        <v>0.35</v>
      </c>
      <c r="P27" s="348">
        <v>0.35</v>
      </c>
      <c r="Q27" s="348">
        <v>0.35</v>
      </c>
      <c r="R27" s="348">
        <v>0.35</v>
      </c>
      <c r="S27" s="348">
        <v>0.35</v>
      </c>
      <c r="T27" s="348">
        <v>0.35</v>
      </c>
      <c r="U27" s="348">
        <v>0.35</v>
      </c>
      <c r="V27" s="348">
        <v>0.35</v>
      </c>
      <c r="W27" s="348">
        <v>0.35</v>
      </c>
      <c r="X27" s="348">
        <v>0.35</v>
      </c>
      <c r="Y27" s="348">
        <v>0.35</v>
      </c>
      <c r="Z27" s="348">
        <v>0.35</v>
      </c>
      <c r="AA27" s="161"/>
      <c r="AB27" s="161"/>
      <c r="AC27" s="161"/>
      <c r="AD27" s="161"/>
    </row>
    <row r="28" spans="1:30">
      <c r="A28" s="161"/>
      <c r="B28" s="161" t="s">
        <v>387</v>
      </c>
      <c r="C28" s="161"/>
      <c r="D28" s="264">
        <f t="shared" ref="D28:U28" si="12">(D25*D26)+(1-D25)*D27</f>
        <v>0</v>
      </c>
      <c r="E28" s="264">
        <f t="shared" si="12"/>
        <v>0</v>
      </c>
      <c r="F28" s="264">
        <f t="shared" si="12"/>
        <v>0</v>
      </c>
      <c r="G28" s="264">
        <f t="shared" si="12"/>
        <v>0</v>
      </c>
      <c r="H28" s="264">
        <f t="shared" si="12"/>
        <v>0</v>
      </c>
      <c r="I28" s="264">
        <f t="shared" si="12"/>
        <v>0</v>
      </c>
      <c r="J28" s="264">
        <f t="shared" si="12"/>
        <v>0</v>
      </c>
      <c r="K28" s="264">
        <f t="shared" si="12"/>
        <v>-0.15</v>
      </c>
      <c r="L28" s="264">
        <f t="shared" si="12"/>
        <v>0</v>
      </c>
      <c r="M28" s="264">
        <f t="shared" si="12"/>
        <v>0.1</v>
      </c>
      <c r="N28" s="264">
        <f t="shared" si="12"/>
        <v>0.1</v>
      </c>
      <c r="O28" s="264">
        <f t="shared" si="12"/>
        <v>0.1</v>
      </c>
      <c r="P28" s="264">
        <f t="shared" si="12"/>
        <v>0.1</v>
      </c>
      <c r="Q28" s="264">
        <f t="shared" si="12"/>
        <v>0.1</v>
      </c>
      <c r="R28" s="264">
        <f t="shared" si="12"/>
        <v>0.1</v>
      </c>
      <c r="S28" s="264">
        <f t="shared" si="12"/>
        <v>0.1</v>
      </c>
      <c r="T28" s="264">
        <f t="shared" si="12"/>
        <v>0.1</v>
      </c>
      <c r="U28" s="264">
        <f t="shared" si="12"/>
        <v>0.1</v>
      </c>
      <c r="V28" s="264">
        <f>(V25*V26)+(1-V25)*V27</f>
        <v>0.1</v>
      </c>
      <c r="W28" s="264">
        <f>(W25*W26)+(1-W25)*W27</f>
        <v>0.1</v>
      </c>
      <c r="X28" s="264">
        <f>(X25*X26)+(1-X25)*X27</f>
        <v>0.1</v>
      </c>
      <c r="Y28" s="264">
        <f>(Y25*Y26)+(1-Y25)*Y27</f>
        <v>0.1</v>
      </c>
      <c r="Z28" s="264">
        <f>(Z25*Z26)+(1-Z25)*Z27</f>
        <v>0.1</v>
      </c>
      <c r="AA28" s="161"/>
      <c r="AB28" s="161"/>
      <c r="AC28" s="161"/>
      <c r="AD28" s="161"/>
    </row>
    <row r="29" spans="1:30">
      <c r="A29" s="161"/>
      <c r="B29" s="324" t="s">
        <v>295</v>
      </c>
      <c r="C29" s="324"/>
      <c r="D29" s="325">
        <f t="shared" ref="D29:U29" si="13">D28*D23</f>
        <v>0</v>
      </c>
      <c r="E29" s="325">
        <f t="shared" si="13"/>
        <v>0</v>
      </c>
      <c r="F29" s="325">
        <f t="shared" si="13"/>
        <v>0</v>
      </c>
      <c r="G29" s="325">
        <f t="shared" si="13"/>
        <v>0</v>
      </c>
      <c r="H29" s="325">
        <f t="shared" si="13"/>
        <v>0</v>
      </c>
      <c r="I29" s="325">
        <f t="shared" si="13"/>
        <v>0</v>
      </c>
      <c r="J29" s="325">
        <f t="shared" si="13"/>
        <v>0</v>
      </c>
      <c r="K29" s="325">
        <f t="shared" si="13"/>
        <v>-19.62</v>
      </c>
      <c r="L29" s="325">
        <f t="shared" si="13"/>
        <v>0</v>
      </c>
      <c r="M29" s="325">
        <f t="shared" si="13"/>
        <v>54.169760999999994</v>
      </c>
      <c r="N29" s="325">
        <f t="shared" si="13"/>
        <v>67.321376400000005</v>
      </c>
      <c r="O29" s="325">
        <f t="shared" si="13"/>
        <v>68.151989999999998</v>
      </c>
      <c r="P29" s="325">
        <f t="shared" si="13"/>
        <v>88.820207999999994</v>
      </c>
      <c r="Q29" s="325">
        <f t="shared" si="13"/>
        <v>112.19238340543953</v>
      </c>
      <c r="R29" s="325">
        <f t="shared" si="13"/>
        <v>130.18425911233427</v>
      </c>
      <c r="S29" s="325">
        <f t="shared" si="13"/>
        <v>140.99354969231186</v>
      </c>
      <c r="T29" s="325">
        <f t="shared" si="13"/>
        <v>152.23263313829253</v>
      </c>
      <c r="U29" s="325">
        <f t="shared" si="13"/>
        <v>163.90150945027631</v>
      </c>
      <c r="V29" s="325">
        <f>V28*V23</f>
        <v>170.13350600732099</v>
      </c>
      <c r="W29" s="325">
        <f>W28*W23</f>
        <v>176.36550256436576</v>
      </c>
      <c r="X29" s="325">
        <f>X28*X23</f>
        <v>182.59749912141046</v>
      </c>
      <c r="Y29" s="325">
        <f>Y28*Y23</f>
        <v>188.8294956784552</v>
      </c>
      <c r="Z29" s="325">
        <f>Z28*Z23</f>
        <v>195.06149223549994</v>
      </c>
      <c r="AA29" s="161"/>
      <c r="AB29" s="161"/>
      <c r="AC29" s="161"/>
      <c r="AD29" s="161"/>
    </row>
    <row r="30" spans="1:30">
      <c r="A30" s="161"/>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row>
    <row r="31" spans="1:30">
      <c r="A31" s="161"/>
      <c r="B31" s="161" t="s">
        <v>147</v>
      </c>
      <c r="C31" s="161"/>
      <c r="D31" s="263">
        <f t="shared" ref="D31:U31" si="14">D32*D23</f>
        <v>0</v>
      </c>
      <c r="E31" s="263">
        <f t="shared" si="14"/>
        <v>0</v>
      </c>
      <c r="F31" s="263">
        <f t="shared" si="14"/>
        <v>0</v>
      </c>
      <c r="G31" s="263">
        <f t="shared" si="14"/>
        <v>0</v>
      </c>
      <c r="H31" s="263">
        <f t="shared" si="14"/>
        <v>0</v>
      </c>
      <c r="I31" s="263">
        <f t="shared" si="14"/>
        <v>0</v>
      </c>
      <c r="J31" s="263">
        <f t="shared" si="14"/>
        <v>0</v>
      </c>
      <c r="K31" s="263">
        <f t="shared" si="14"/>
        <v>0</v>
      </c>
      <c r="L31" s="263">
        <f t="shared" si="14"/>
        <v>0</v>
      </c>
      <c r="M31" s="263">
        <f t="shared" si="14"/>
        <v>0</v>
      </c>
      <c r="N31" s="263">
        <f t="shared" si="14"/>
        <v>0</v>
      </c>
      <c r="O31" s="263">
        <f t="shared" si="14"/>
        <v>0</v>
      </c>
      <c r="P31" s="263">
        <f t="shared" si="14"/>
        <v>0</v>
      </c>
      <c r="Q31" s="263">
        <f t="shared" si="14"/>
        <v>0</v>
      </c>
      <c r="R31" s="263">
        <f t="shared" si="14"/>
        <v>0</v>
      </c>
      <c r="S31" s="263">
        <f t="shared" si="14"/>
        <v>0</v>
      </c>
      <c r="T31" s="263">
        <f t="shared" si="14"/>
        <v>0</v>
      </c>
      <c r="U31" s="263">
        <f t="shared" si="14"/>
        <v>0</v>
      </c>
      <c r="V31" s="263">
        <f>V32*V23</f>
        <v>0</v>
      </c>
      <c r="W31" s="263">
        <f>W32*W23</f>
        <v>0</v>
      </c>
      <c r="X31" s="263">
        <f>X32*X23</f>
        <v>0</v>
      </c>
      <c r="Y31" s="263">
        <f>Y32*Y23</f>
        <v>0</v>
      </c>
      <c r="Z31" s="263">
        <f>Z32*Z23</f>
        <v>0</v>
      </c>
      <c r="AA31" s="161"/>
      <c r="AB31" s="161"/>
      <c r="AC31" s="161"/>
      <c r="AD31" s="161"/>
    </row>
    <row r="32" spans="1:30">
      <c r="A32" s="161"/>
      <c r="B32" s="161" t="s">
        <v>148</v>
      </c>
      <c r="C32" s="161"/>
      <c r="D32" s="348">
        <v>0</v>
      </c>
      <c r="E32" s="348">
        <v>0</v>
      </c>
      <c r="F32" s="348">
        <v>0</v>
      </c>
      <c r="G32" s="348">
        <v>0</v>
      </c>
      <c r="H32" s="348">
        <v>0</v>
      </c>
      <c r="I32" s="348">
        <v>0</v>
      </c>
      <c r="J32" s="348">
        <v>0</v>
      </c>
      <c r="K32" s="348">
        <v>0</v>
      </c>
      <c r="L32" s="348">
        <v>0</v>
      </c>
      <c r="M32" s="348">
        <v>0</v>
      </c>
      <c r="N32" s="348">
        <v>0</v>
      </c>
      <c r="O32" s="348">
        <v>0</v>
      </c>
      <c r="P32" s="348">
        <v>0</v>
      </c>
      <c r="Q32" s="348">
        <v>0</v>
      </c>
      <c r="R32" s="348">
        <v>0</v>
      </c>
      <c r="S32" s="348">
        <v>0</v>
      </c>
      <c r="T32" s="348">
        <v>0</v>
      </c>
      <c r="U32" s="348">
        <v>0</v>
      </c>
      <c r="V32" s="348">
        <v>0</v>
      </c>
      <c r="W32" s="348">
        <v>0</v>
      </c>
      <c r="X32" s="348">
        <v>0</v>
      </c>
      <c r="Y32" s="348">
        <v>0</v>
      </c>
      <c r="Z32" s="348">
        <v>0</v>
      </c>
      <c r="AA32" s="161"/>
      <c r="AB32" s="161"/>
      <c r="AC32" s="161"/>
      <c r="AD32" s="161"/>
    </row>
    <row r="33" spans="1:30">
      <c r="A33" s="161"/>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c r="AD33" s="161"/>
    </row>
    <row r="34" spans="1:30">
      <c r="A34" s="161"/>
      <c r="B34" s="161" t="s">
        <v>92</v>
      </c>
      <c r="C34" s="161"/>
      <c r="D34" s="263">
        <f>D29-D31</f>
        <v>0</v>
      </c>
      <c r="E34" s="263">
        <f t="shared" ref="E34:P34" si="15">E29-E31</f>
        <v>0</v>
      </c>
      <c r="F34" s="263">
        <f t="shared" si="15"/>
        <v>0</v>
      </c>
      <c r="G34" s="263">
        <f t="shared" si="15"/>
        <v>0</v>
      </c>
      <c r="H34" s="263">
        <f t="shared" si="15"/>
        <v>0</v>
      </c>
      <c r="I34" s="263">
        <f t="shared" si="15"/>
        <v>0</v>
      </c>
      <c r="J34" s="263">
        <f t="shared" si="15"/>
        <v>0</v>
      </c>
      <c r="K34" s="263">
        <f t="shared" si="15"/>
        <v>-19.62</v>
      </c>
      <c r="L34" s="263">
        <f t="shared" si="15"/>
        <v>0</v>
      </c>
      <c r="M34" s="263">
        <f t="shared" si="15"/>
        <v>54.169760999999994</v>
      </c>
      <c r="N34" s="263">
        <f t="shared" si="15"/>
        <v>67.321376400000005</v>
      </c>
      <c r="O34" s="263">
        <f t="shared" si="15"/>
        <v>68.151989999999998</v>
      </c>
      <c r="P34" s="263">
        <f t="shared" si="15"/>
        <v>88.820207999999994</v>
      </c>
      <c r="Q34" s="263">
        <f t="shared" ref="Q34:Z34" si="16">Q29-Q31</f>
        <v>112.19238340543953</v>
      </c>
      <c r="R34" s="263">
        <f t="shared" si="16"/>
        <v>130.18425911233427</v>
      </c>
      <c r="S34" s="263">
        <f t="shared" si="16"/>
        <v>140.99354969231186</v>
      </c>
      <c r="T34" s="263">
        <f t="shared" si="16"/>
        <v>152.23263313829253</v>
      </c>
      <c r="U34" s="263">
        <f t="shared" si="16"/>
        <v>163.90150945027631</v>
      </c>
      <c r="V34" s="263">
        <f t="shared" si="16"/>
        <v>170.13350600732099</v>
      </c>
      <c r="W34" s="263">
        <f t="shared" si="16"/>
        <v>176.36550256436576</v>
      </c>
      <c r="X34" s="263">
        <f t="shared" si="16"/>
        <v>182.59749912141046</v>
      </c>
      <c r="Y34" s="263">
        <f t="shared" si="16"/>
        <v>188.8294956784552</v>
      </c>
      <c r="Z34" s="263">
        <f t="shared" si="16"/>
        <v>195.06149223549994</v>
      </c>
      <c r="AA34" s="161"/>
      <c r="AB34" s="161"/>
      <c r="AC34" s="161"/>
      <c r="AD34" s="161"/>
    </row>
    <row r="35" spans="1:30">
      <c r="A35" s="161"/>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row>
    <row r="36" spans="1:30">
      <c r="A36" s="161"/>
      <c r="B36" s="161" t="s">
        <v>388</v>
      </c>
      <c r="C36" s="161"/>
      <c r="D36" s="265">
        <f>D23/Fixed!H127</f>
        <v>0</v>
      </c>
      <c r="E36" s="265">
        <f>E23/Fixed!I127</f>
        <v>0</v>
      </c>
      <c r="F36" s="265">
        <f>F23/Fixed!J127</f>
        <v>0</v>
      </c>
      <c r="G36" s="265">
        <f>G23/Fixed!K127</f>
        <v>0</v>
      </c>
      <c r="H36" s="265">
        <f>H23/Fixed!L127</f>
        <v>0</v>
      </c>
      <c r="I36" s="265">
        <f>I23/Fixed!M127</f>
        <v>0</v>
      </c>
      <c r="J36" s="265">
        <f>J23/Fixed!N127</f>
        <v>0</v>
      </c>
      <c r="K36" s="265">
        <f>K23/Fixed!O127</f>
        <v>5.8416513222832329E-3</v>
      </c>
      <c r="L36" s="265">
        <f>L23/Fixed!P127</f>
        <v>1.4679474990984152E-2</v>
      </c>
      <c r="M36" s="265">
        <f>M23/Fixed!Q127</f>
        <v>1.9948142334398108E-2</v>
      </c>
      <c r="N36" s="265">
        <f>N23/Fixed!R127</f>
        <v>2.2537715805013368E-2</v>
      </c>
      <c r="O36" s="265">
        <f>O23/Fixed!S127</f>
        <v>2.0752202280288325E-2</v>
      </c>
      <c r="P36" s="265">
        <f>P23/Fixed!T127</f>
        <v>2.5069413634223544E-2</v>
      </c>
      <c r="Q36" s="265">
        <f>Q23/Fixed!U127</f>
        <v>2.9152743231032865E-2</v>
      </c>
      <c r="R36" s="265">
        <f>R23/Fixed!V127</f>
        <v>3.1699199195371751E-2</v>
      </c>
      <c r="S36" s="265">
        <f>S23/Fixed!W127</f>
        <v>3.2430799002070625E-2</v>
      </c>
      <c r="T36" s="265">
        <f>T23/Fixed!X127</f>
        <v>3.3348542996591457E-2</v>
      </c>
      <c r="U36" s="265">
        <f>U23/Fixed!Y127</f>
        <v>3.4549149516110218E-2</v>
      </c>
      <c r="V36" s="265">
        <f>V23/Fixed!Z127</f>
        <v>3.5162556319578146E-2</v>
      </c>
      <c r="W36" s="265">
        <f>W23/Fixed!AA127</f>
        <v>3.5733757352840415E-2</v>
      </c>
      <c r="X36" s="265">
        <f>X23/Fixed!AB127</f>
        <v>3.6263615447307516E-2</v>
      </c>
      <c r="Y36" s="265">
        <f>Y23/Fixed!AC127</f>
        <v>3.6752983843354528E-2</v>
      </c>
      <c r="Z36" s="265">
        <f>Z23/Fixed!AD127</f>
        <v>3.7202706862282428E-2</v>
      </c>
      <c r="AA36" s="161"/>
      <c r="AB36" s="161"/>
      <c r="AC36" s="161"/>
      <c r="AD36" s="161"/>
    </row>
    <row r="37" spans="1:30">
      <c r="A37" s="161"/>
      <c r="B37" s="161" t="s">
        <v>389</v>
      </c>
      <c r="C37" s="161"/>
      <c r="D37" s="265">
        <f>D34/Master!M53</f>
        <v>0</v>
      </c>
      <c r="E37" s="265">
        <f>E34/Master!N53</f>
        <v>0</v>
      </c>
      <c r="F37" s="265">
        <f>F34/Master!O53</f>
        <v>0</v>
      </c>
      <c r="G37" s="265">
        <f>G34/Master!P53</f>
        <v>0</v>
      </c>
      <c r="H37" s="265">
        <f>H34/Master!Q53</f>
        <v>0</v>
      </c>
      <c r="I37" s="265">
        <f>I34/Master!R53</f>
        <v>0</v>
      </c>
      <c r="J37" s="265">
        <f>J34/Master!S53</f>
        <v>0</v>
      </c>
      <c r="K37" s="265">
        <f>K34/Master!T53</f>
        <v>-6.637347767253045E-3</v>
      </c>
      <c r="L37" s="265">
        <f>L34/Master!U53</f>
        <v>0</v>
      </c>
      <c r="M37" s="265">
        <f>M34/Master!V53</f>
        <v>5.8058645170832708E-2</v>
      </c>
      <c r="N37" s="265">
        <f>N34/Master!W53</f>
        <v>0.18146265940327697</v>
      </c>
      <c r="O37" s="265">
        <f>O34/Master!X53</f>
        <v>1.5886789127739345E-2</v>
      </c>
      <c r="P37" s="265">
        <f>P34/Master!Y53</f>
        <v>1.3161197171223485E-2</v>
      </c>
      <c r="Q37" s="265">
        <f>Q34/Master!Z53</f>
        <v>1.4760882648624234E-2</v>
      </c>
      <c r="R37" s="265">
        <f>R34/Master!AA53</f>
        <v>1.4408726906987154E-2</v>
      </c>
      <c r="S37" s="265">
        <f>S34/Master!AB53</f>
        <v>1.351283291752943E-2</v>
      </c>
      <c r="T37" s="265">
        <f>T34/Master!AC53</f>
        <v>1.3077859998663318E-2</v>
      </c>
      <c r="U37" s="265">
        <f>U34/Master!AD53</f>
        <v>1.2795981302263046E-2</v>
      </c>
      <c r="V37" s="265"/>
      <c r="W37" s="265"/>
      <c r="X37" s="265"/>
      <c r="Y37" s="265"/>
      <c r="Z37" s="265"/>
      <c r="AA37" s="161"/>
      <c r="AB37" s="161"/>
      <c r="AC37" s="161"/>
      <c r="AD37" s="161"/>
    </row>
    <row r="38" spans="1:30">
      <c r="A38" s="161"/>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row>
    <row r="39" spans="1:30">
      <c r="A39" s="161"/>
      <c r="B39" s="161"/>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row>
    <row r="40" spans="1:30">
      <c r="A40" s="161"/>
      <c r="B40" s="161"/>
      <c r="C40" s="161"/>
      <c r="D40" s="161"/>
      <c r="E40" s="161"/>
      <c r="F40" s="161"/>
      <c r="G40" s="161"/>
      <c r="H40" s="161"/>
      <c r="I40" s="161"/>
      <c r="J40" s="161"/>
      <c r="K40" s="161"/>
      <c r="L40" s="161"/>
      <c r="M40" s="161"/>
      <c r="N40" s="161"/>
      <c r="O40" s="161"/>
      <c r="P40" s="161"/>
      <c r="Q40" s="161"/>
      <c r="R40" s="161"/>
      <c r="S40" s="161"/>
      <c r="T40" s="161"/>
      <c r="U40" s="161"/>
      <c r="V40" s="161"/>
      <c r="W40" s="161"/>
      <c r="X40" s="161"/>
      <c r="Y40" s="161"/>
      <c r="Z40" s="161"/>
      <c r="AA40" s="161"/>
      <c r="AB40" s="161"/>
      <c r="AC40" s="161"/>
      <c r="AD40" s="161"/>
    </row>
    <row r="41" spans="1:30">
      <c r="A41" s="161"/>
      <c r="B41" s="161"/>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row>
    <row r="42" spans="1:30">
      <c r="A42" s="161"/>
      <c r="B42" s="161"/>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row>
    <row r="43" spans="1:30">
      <c r="A43" s="161"/>
      <c r="B43" s="16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row>
    <row r="44" spans="1:30">
      <c r="A44" s="161"/>
      <c r="B44" s="161"/>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row>
    <row r="45" spans="1:30">
      <c r="A45" s="161"/>
      <c r="B45" s="161"/>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row>
    <row r="46" spans="1:30">
      <c r="A46" s="161"/>
      <c r="B46" s="161"/>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row>
    <row r="47" spans="1:30">
      <c r="A47" s="161"/>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row>
    <row r="48" spans="1:30">
      <c r="A48" s="161"/>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row>
    <row r="49" spans="1:30">
      <c r="A49" s="161"/>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row>
    <row r="50" spans="1:30">
      <c r="A50" s="161"/>
      <c r="B50" s="161"/>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row>
    <row r="51" spans="1:30">
      <c r="A51" s="161"/>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GF320"/>
  <sheetViews>
    <sheetView showGridLines="0" zoomScale="72" zoomScaleNormal="72" workbookViewId="0">
      <pane xSplit="2" ySplit="4" topLeftCell="BH5" activePane="bottomRight" state="frozen"/>
      <selection pane="topRight" activeCell="R10" sqref="R10"/>
      <selection pane="bottomLeft" activeCell="R10" sqref="R10"/>
      <selection pane="bottomRight" activeCell="BT72" sqref="BT72"/>
    </sheetView>
  </sheetViews>
  <sheetFormatPr defaultRowHeight="15" outlineLevelRow="1" outlineLevelCol="1"/>
  <cols>
    <col min="1" max="1" width="1.28515625" customWidth="1"/>
    <col min="2" max="2" width="45.7109375" customWidth="1"/>
    <col min="3" max="43" width="9.28515625" customWidth="1" outlineLevel="1"/>
    <col min="44" max="44" width="9.28515625" customWidth="1" outlineLevel="1" collapsed="1"/>
    <col min="45" max="47" width="9.28515625" customWidth="1" outlineLevel="1"/>
    <col min="48" max="53" width="9.28515625" customWidth="1"/>
    <col min="55" max="55" width="8.7109375" customWidth="1"/>
    <col min="56" max="57" width="9.42578125" bestFit="1" customWidth="1"/>
    <col min="58" max="60" width="9.7109375" bestFit="1" customWidth="1"/>
    <col min="61" max="61" width="9.7109375" customWidth="1"/>
    <col min="62" max="62" width="9.42578125" bestFit="1" customWidth="1"/>
    <col min="63" max="65" width="9.7109375" bestFit="1" customWidth="1"/>
    <col min="66" max="66" width="10" customWidth="1"/>
    <col min="67" max="67" width="9.28515625" customWidth="1"/>
    <col min="68" max="69" width="9.7109375" customWidth="1"/>
    <col min="70" max="71" width="10" customWidth="1"/>
    <col min="72" max="72" width="10.7109375" customWidth="1"/>
    <col min="73" max="78" width="10" customWidth="1"/>
    <col min="79" max="86" width="9.28515625" hidden="1" customWidth="1" outlineLevel="1"/>
    <col min="87" max="94" width="9" hidden="1" customWidth="1" outlineLevel="1"/>
    <col min="95" max="102" width="8.7109375" hidden="1" customWidth="1" outlineLevel="1"/>
    <col min="103" max="103" width="9.28515625" hidden="1" customWidth="1" outlineLevel="1" collapsed="1"/>
    <col min="104" max="106" width="9.28515625" hidden="1" customWidth="1" outlineLevel="1"/>
    <col min="107" max="107" width="9.28515625" hidden="1" customWidth="1" outlineLevel="1" collapsed="1"/>
    <col min="108" max="110" width="9.28515625" hidden="1" customWidth="1" outlineLevel="1"/>
    <col min="111" max="111" width="9.28515625" hidden="1" customWidth="1" outlineLevel="1" collapsed="1"/>
    <col min="112" max="113" width="9.28515625" hidden="1" customWidth="1" outlineLevel="1"/>
    <col min="114" max="114" width="8.7109375" hidden="1" customWidth="1" outlineLevel="1"/>
    <col min="115" max="115" width="9" style="13" customWidth="1" collapsed="1"/>
    <col min="116" max="116" width="9.28515625" style="13" customWidth="1"/>
    <col min="117" max="118" width="8.7109375" style="13" customWidth="1"/>
    <col min="119" max="124" width="9.28515625" style="13"/>
    <col min="125" max="125" width="10.7109375" style="13" customWidth="1"/>
    <col min="126" max="127" width="9.28515625" style="13"/>
    <col min="128" max="134" width="10.7109375" style="13" customWidth="1"/>
    <col min="168" max="174" width="9.28515625" hidden="1" customWidth="1"/>
    <col min="175" max="175" width="8.7109375" hidden="1" customWidth="1"/>
    <col min="176" max="180" width="9.140625" hidden="1" customWidth="1"/>
    <col min="181" max="181" width="9.7109375" hidden="1" customWidth="1"/>
    <col min="182" max="182" width="9.140625" hidden="1" customWidth="1"/>
    <col min="183" max="184" width="10" hidden="1" customWidth="1"/>
    <col min="185" max="185" width="10" style="13" hidden="1" customWidth="1"/>
    <col min="186" max="186" width="10" hidden="1" customWidth="1"/>
    <col min="187" max="187" width="10" style="13" hidden="1" customWidth="1"/>
  </cols>
  <sheetData>
    <row r="1" spans="1:187">
      <c r="A1" s="161"/>
      <c r="B1" s="1010"/>
      <c r="C1" s="1010"/>
      <c r="D1" s="1010"/>
      <c r="E1" s="1010"/>
      <c r="F1" s="1010"/>
      <c r="G1" s="1010"/>
      <c r="H1" s="1010"/>
      <c r="I1" s="1010"/>
      <c r="J1" s="1010"/>
      <c r="K1" s="1010"/>
      <c r="L1" s="1010"/>
      <c r="M1" s="1010"/>
      <c r="N1" s="1010"/>
      <c r="O1" s="1010"/>
      <c r="P1" s="1010"/>
      <c r="Q1" s="1010"/>
      <c r="R1" s="1010"/>
      <c r="S1" s="1010"/>
      <c r="T1" s="1010"/>
      <c r="U1" s="1010"/>
      <c r="V1" s="1010"/>
      <c r="W1" s="1010"/>
      <c r="X1" s="1010"/>
      <c r="Y1" s="1010"/>
      <c r="Z1" s="1010"/>
      <c r="AA1" s="1010"/>
      <c r="AB1" s="1010"/>
      <c r="AC1" s="1010"/>
      <c r="AD1" s="1010"/>
      <c r="AE1" s="1010"/>
      <c r="AF1" s="1010"/>
      <c r="AG1" s="1010"/>
      <c r="AH1" s="1010"/>
      <c r="AI1" s="1010"/>
      <c r="AJ1" s="1010"/>
      <c r="AK1" s="1010"/>
      <c r="AL1" s="1010"/>
      <c r="AM1" s="1010"/>
      <c r="AN1" s="1010"/>
      <c r="AO1" s="1010"/>
      <c r="AP1" s="1010"/>
      <c r="AQ1" s="1010"/>
      <c r="AR1" s="1010"/>
      <c r="AS1" s="1010"/>
      <c r="AT1" s="1010"/>
      <c r="AU1" s="1010"/>
      <c r="AV1" s="1010"/>
      <c r="AW1" s="1010"/>
      <c r="AX1" s="1010"/>
      <c r="AY1" s="1010"/>
      <c r="AZ1" s="1010"/>
      <c r="BA1" s="1010"/>
      <c r="BB1" s="1010"/>
      <c r="BC1" s="1010"/>
      <c r="BD1" s="1010"/>
      <c r="BE1" s="1010"/>
      <c r="BF1" s="1010"/>
      <c r="BG1" s="1010"/>
      <c r="BH1" s="1010"/>
      <c r="BI1" s="1010"/>
      <c r="BJ1" s="1010"/>
      <c r="BK1" s="1010"/>
      <c r="BL1" s="1010"/>
      <c r="BM1" s="1010"/>
      <c r="BN1" s="1010"/>
      <c r="BO1" s="1010"/>
      <c r="BP1" s="1010"/>
      <c r="BQ1" s="1010"/>
      <c r="BR1" s="1010"/>
      <c r="BS1" s="1010"/>
      <c r="BT1" s="1010"/>
      <c r="BU1" s="780"/>
      <c r="BV1" s="780"/>
      <c r="BW1" s="780"/>
      <c r="BX1" s="780"/>
      <c r="BY1" s="161"/>
      <c r="BZ1" s="161"/>
      <c r="CA1" s="161"/>
      <c r="CB1" s="161"/>
      <c r="CC1" s="161"/>
      <c r="CD1" s="161"/>
      <c r="CE1" s="161"/>
      <c r="CF1" s="161"/>
      <c r="CG1" s="161"/>
      <c r="CH1" s="161"/>
      <c r="CI1" s="161"/>
      <c r="CJ1" s="161"/>
      <c r="CK1" s="161"/>
      <c r="CL1" s="161"/>
      <c r="CM1" s="161"/>
      <c r="CN1" s="161"/>
      <c r="CO1" s="161"/>
      <c r="CP1" s="161"/>
      <c r="CQ1" s="161"/>
      <c r="CR1" s="161"/>
      <c r="CS1" s="161"/>
      <c r="CT1" s="161"/>
      <c r="CU1" s="161"/>
      <c r="CV1" s="161"/>
      <c r="CW1" s="161"/>
      <c r="CX1" s="161"/>
      <c r="CY1" s="161"/>
      <c r="CZ1" s="161"/>
      <c r="DA1" s="161"/>
      <c r="DB1" s="161"/>
      <c r="DC1" s="161"/>
      <c r="DD1" s="161"/>
      <c r="DE1" s="161"/>
      <c r="DF1" s="161"/>
      <c r="DG1" s="161"/>
      <c r="DH1" s="161"/>
      <c r="DI1" s="161"/>
      <c r="DJ1" s="161"/>
      <c r="DK1" s="177"/>
      <c r="DL1" s="177"/>
      <c r="DM1" s="177"/>
      <c r="DN1" s="177"/>
      <c r="DO1" s="177"/>
      <c r="DP1" s="177"/>
      <c r="DQ1" s="177"/>
      <c r="DR1" s="177"/>
      <c r="DS1" s="177"/>
      <c r="DT1" s="177"/>
      <c r="DU1" s="177"/>
      <c r="DV1" s="177"/>
      <c r="DW1" s="177"/>
      <c r="DX1" s="177"/>
      <c r="DY1" s="177"/>
      <c r="DZ1" s="177"/>
      <c r="EA1" s="177"/>
      <c r="EB1" s="808"/>
      <c r="EC1" s="808"/>
      <c r="ED1" s="808"/>
      <c r="EF1" s="161"/>
      <c r="EH1" s="161"/>
      <c r="EM1" s="161"/>
      <c r="EN1" s="161"/>
      <c r="EO1" s="161"/>
      <c r="EP1" s="161"/>
      <c r="FL1" s="315"/>
      <c r="FM1" s="315"/>
      <c r="FN1" s="360"/>
      <c r="FO1" s="429" t="s">
        <v>390</v>
      </c>
      <c r="FP1" s="315"/>
      <c r="FQ1" s="360"/>
      <c r="FR1" s="429" t="s">
        <v>390</v>
      </c>
      <c r="FS1" s="639"/>
      <c r="FT1" s="639"/>
      <c r="FU1" s="667"/>
      <c r="FV1" s="667"/>
      <c r="FW1" s="667"/>
      <c r="FX1" s="667"/>
      <c r="FY1" s="770" t="s">
        <v>390</v>
      </c>
      <c r="FZ1" s="747"/>
      <c r="GA1" s="780"/>
      <c r="GB1" s="780"/>
      <c r="GC1" s="808"/>
      <c r="GD1" s="780"/>
      <c r="GE1" s="808"/>
    </row>
    <row r="2" spans="1:187" hidden="1">
      <c r="A2" s="161"/>
      <c r="B2" s="1010" t="s">
        <v>391</v>
      </c>
      <c r="C2" s="1010"/>
      <c r="D2" s="1010"/>
      <c r="E2" s="1010"/>
      <c r="F2" s="1010"/>
      <c r="G2" s="1010"/>
      <c r="H2" s="1010"/>
      <c r="I2" s="1010"/>
      <c r="J2" s="1010"/>
      <c r="K2" s="1010"/>
      <c r="L2" s="1010"/>
      <c r="M2" s="1010"/>
      <c r="N2" s="1010"/>
      <c r="O2" s="1010"/>
      <c r="P2" s="1010"/>
      <c r="Q2" s="1010"/>
      <c r="R2" s="1010"/>
      <c r="S2" s="1010"/>
      <c r="T2" s="1010"/>
      <c r="U2" s="1010"/>
      <c r="V2" s="1010"/>
      <c r="W2" s="1010"/>
      <c r="X2" s="1010"/>
      <c r="Y2" s="1010"/>
      <c r="Z2" s="1010"/>
      <c r="AA2" s="1010"/>
      <c r="AB2" s="1010"/>
      <c r="AC2" s="1010"/>
      <c r="AD2" s="1010"/>
      <c r="AE2" s="1010"/>
      <c r="AF2" s="1010"/>
      <c r="AG2" s="1010"/>
      <c r="AH2" s="1010"/>
      <c r="AI2" s="1010"/>
      <c r="AJ2" s="1010"/>
      <c r="AK2" s="1010"/>
      <c r="AL2" s="1010"/>
      <c r="AM2" s="1010"/>
      <c r="AN2" s="1010"/>
      <c r="AO2" s="1010"/>
      <c r="AP2" s="1010"/>
      <c r="AQ2" s="1010"/>
      <c r="AR2" s="1010"/>
      <c r="AS2" s="1010"/>
      <c r="AT2" s="1010"/>
      <c r="AU2" s="1010"/>
      <c r="AV2" s="1010"/>
      <c r="AW2" s="1010"/>
      <c r="AX2" s="1010"/>
      <c r="AY2" s="1010"/>
      <c r="AZ2" s="1010"/>
      <c r="BA2" s="1010"/>
      <c r="BB2" s="1010"/>
      <c r="BC2" s="1010"/>
      <c r="BD2" s="1010"/>
      <c r="BE2" s="1010"/>
      <c r="BF2" s="1010"/>
      <c r="BG2" s="1010"/>
      <c r="BH2" s="1010"/>
      <c r="BI2" s="1010"/>
      <c r="BJ2" s="1010"/>
      <c r="BK2" s="1010"/>
      <c r="BL2" s="1010"/>
      <c r="BM2" s="1010"/>
      <c r="BN2" s="1010"/>
      <c r="BO2" s="1010"/>
      <c r="BP2" s="1010"/>
      <c r="BQ2" s="1010"/>
      <c r="BR2" s="1010"/>
      <c r="BS2" s="1010"/>
      <c r="BT2" s="1010"/>
      <c r="BU2" s="780"/>
      <c r="BV2" s="780"/>
      <c r="BW2" s="780"/>
      <c r="BX2" s="780"/>
      <c r="BY2" s="161"/>
      <c r="BZ2" s="161"/>
      <c r="CA2" s="161"/>
      <c r="CB2" s="161"/>
      <c r="CC2" s="161"/>
      <c r="CD2" s="161"/>
      <c r="CE2" s="161"/>
      <c r="CF2" s="161"/>
      <c r="CG2" s="161"/>
      <c r="CH2" s="161"/>
      <c r="CI2" s="161"/>
      <c r="CJ2" s="161"/>
      <c r="CK2" s="161"/>
      <c r="CL2" s="161"/>
      <c r="CM2" s="161"/>
      <c r="CN2" s="161"/>
      <c r="CO2" s="161"/>
      <c r="CP2" s="161"/>
      <c r="CQ2" s="161"/>
      <c r="CR2" s="161"/>
      <c r="CS2" s="161"/>
      <c r="CT2" s="161"/>
      <c r="CU2" s="161"/>
      <c r="CV2" s="161"/>
      <c r="CW2" s="161"/>
      <c r="CX2" s="161"/>
      <c r="CY2" s="161"/>
      <c r="CZ2" s="161"/>
      <c r="DA2" s="161"/>
      <c r="DB2" s="161"/>
      <c r="DC2" s="161"/>
      <c r="DD2" s="161"/>
      <c r="DE2" s="161"/>
      <c r="DF2" s="161"/>
      <c r="DG2" s="161"/>
      <c r="DH2" s="161"/>
      <c r="DI2" s="161"/>
      <c r="DJ2" s="161"/>
      <c r="DK2" s="177"/>
      <c r="DL2" s="177"/>
      <c r="DM2" s="177"/>
      <c r="DN2" s="177"/>
      <c r="DO2" s="177"/>
      <c r="DP2" s="177"/>
      <c r="DQ2" s="177"/>
      <c r="DR2" s="177"/>
      <c r="DS2" s="177"/>
      <c r="DT2" s="177"/>
      <c r="DU2" s="177"/>
      <c r="DV2" s="177"/>
      <c r="DW2" s="177"/>
      <c r="DX2" s="177"/>
      <c r="DY2" s="177"/>
      <c r="DZ2" s="177"/>
      <c r="EA2" s="177"/>
      <c r="EB2" s="808"/>
      <c r="EC2" s="808"/>
      <c r="ED2" s="808"/>
      <c r="EF2" s="161"/>
      <c r="EH2" s="161"/>
      <c r="EM2" s="161"/>
      <c r="EN2" s="161"/>
      <c r="EO2" s="161"/>
      <c r="EP2" s="161"/>
      <c r="FL2" s="315"/>
      <c r="FM2" s="315"/>
      <c r="FN2" s="360"/>
      <c r="FO2" s="430"/>
      <c r="FP2" s="315"/>
      <c r="FQ2" s="360"/>
      <c r="FR2" s="430"/>
      <c r="FS2" s="639"/>
      <c r="FT2" s="639"/>
      <c r="FU2" s="667"/>
      <c r="FV2" s="667"/>
      <c r="FW2" s="667"/>
      <c r="FX2" s="667"/>
      <c r="FY2" s="747"/>
      <c r="FZ2" s="747"/>
      <c r="GA2" s="780"/>
      <c r="GB2" s="780"/>
      <c r="GC2" s="808"/>
      <c r="GD2" s="780"/>
      <c r="GE2" s="808"/>
    </row>
    <row r="3" spans="1:187">
      <c r="A3" s="161"/>
      <c r="B3" s="1010"/>
      <c r="C3" s="1010"/>
      <c r="D3" s="1010"/>
      <c r="E3" s="1010"/>
      <c r="F3" s="1010"/>
      <c r="G3" s="1010"/>
      <c r="H3" s="1010"/>
      <c r="I3" s="1010"/>
      <c r="J3" s="1010"/>
      <c r="K3" s="1010"/>
      <c r="L3" s="1010"/>
      <c r="M3" s="1010"/>
      <c r="N3" s="1010"/>
      <c r="O3" s="1010"/>
      <c r="P3" s="1010"/>
      <c r="Q3" s="1010"/>
      <c r="R3" s="1010"/>
      <c r="S3" s="1010"/>
      <c r="T3" s="1010"/>
      <c r="U3" s="1010"/>
      <c r="V3" s="1010"/>
      <c r="W3" s="1010"/>
      <c r="X3" s="1010"/>
      <c r="Y3" s="1010"/>
      <c r="Z3" s="1010"/>
      <c r="AA3" s="1010"/>
      <c r="AB3" s="1010"/>
      <c r="AC3" s="1010"/>
      <c r="AD3" s="1010"/>
      <c r="AE3" s="1010"/>
      <c r="AF3" s="1010"/>
      <c r="AG3" s="1010"/>
      <c r="AH3" s="1010"/>
      <c r="AI3" s="1010"/>
      <c r="AJ3" s="1010"/>
      <c r="AK3" s="1010"/>
      <c r="AL3" s="1010"/>
      <c r="AM3" s="1010"/>
      <c r="AN3" s="1010"/>
      <c r="AO3" s="1010"/>
      <c r="AP3" s="1010"/>
      <c r="AQ3" s="1010"/>
      <c r="AR3" s="1010"/>
      <c r="AS3" s="1010"/>
      <c r="AT3" s="1010"/>
      <c r="AU3" s="1010"/>
      <c r="AV3" s="1010"/>
      <c r="AW3" s="1010"/>
      <c r="AX3" s="1010"/>
      <c r="AY3" s="1010"/>
      <c r="AZ3" s="1010"/>
      <c r="BA3" s="1010"/>
      <c r="BB3" s="1010"/>
      <c r="BC3" s="1010"/>
      <c r="BD3" s="1010"/>
      <c r="BE3" s="1010"/>
      <c r="BF3" s="1010"/>
      <c r="BG3" s="1010"/>
      <c r="BH3" s="1010"/>
      <c r="BI3" s="1010"/>
      <c r="BJ3" s="1010"/>
      <c r="BK3" s="1010"/>
      <c r="BL3" s="1010"/>
      <c r="BM3" s="1010"/>
      <c r="BN3" s="1010"/>
      <c r="BO3" s="1010"/>
      <c r="BP3" s="1010"/>
      <c r="BQ3" s="1010"/>
      <c r="BR3" s="1010"/>
      <c r="BS3" s="1010"/>
      <c r="BT3" s="1010"/>
      <c r="BU3" s="780"/>
      <c r="BV3" s="780"/>
      <c r="BW3" s="780"/>
      <c r="BX3" s="780"/>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77"/>
      <c r="DL3" s="177"/>
      <c r="DM3" s="177"/>
      <c r="DN3" s="177"/>
      <c r="DO3" s="177"/>
      <c r="DP3" s="177"/>
      <c r="DQ3" s="177"/>
      <c r="DR3" s="177"/>
      <c r="DS3" s="177"/>
      <c r="DT3" s="177"/>
      <c r="DU3" s="177"/>
      <c r="DV3" s="177"/>
      <c r="DW3" s="177"/>
      <c r="DX3" s="177"/>
      <c r="DY3" s="177"/>
      <c r="DZ3" s="177"/>
      <c r="EA3" s="177"/>
      <c r="EB3" s="808"/>
      <c r="EC3" s="808"/>
      <c r="ED3" s="808"/>
      <c r="EF3" s="161"/>
      <c r="EH3" s="161"/>
      <c r="EM3" s="161"/>
      <c r="EN3" s="161"/>
      <c r="EO3" s="161"/>
      <c r="EP3" s="161"/>
      <c r="FL3" s="315"/>
      <c r="FM3" s="315"/>
      <c r="FN3" s="360"/>
      <c r="FO3" s="430"/>
      <c r="FP3" s="315"/>
      <c r="FQ3" s="360"/>
      <c r="FR3" s="430"/>
      <c r="FS3" s="639"/>
      <c r="FT3" s="639"/>
      <c r="FU3" s="667"/>
      <c r="FV3" s="667"/>
      <c r="FW3" s="667"/>
      <c r="FX3" s="667"/>
      <c r="FY3" s="747"/>
      <c r="FZ3" s="747"/>
      <c r="GA3" s="780"/>
      <c r="GB3" s="780"/>
      <c r="GC3" s="808"/>
      <c r="GD3" s="780"/>
      <c r="GE3" s="808"/>
    </row>
    <row r="4" spans="1:187">
      <c r="A4" s="161"/>
      <c r="B4" s="1012" t="s">
        <v>392</v>
      </c>
      <c r="C4" s="1011" t="s">
        <v>3306</v>
      </c>
      <c r="D4" s="1011" t="s">
        <v>3307</v>
      </c>
      <c r="E4" s="1011" t="s">
        <v>3308</v>
      </c>
      <c r="F4" s="1011" t="s">
        <v>3309</v>
      </c>
      <c r="G4" s="1011" t="s">
        <v>3310</v>
      </c>
      <c r="H4" s="1011" t="s">
        <v>3311</v>
      </c>
      <c r="I4" s="1011" t="s">
        <v>3312</v>
      </c>
      <c r="J4" s="1011" t="s">
        <v>3313</v>
      </c>
      <c r="K4" s="1011" t="s">
        <v>3314</v>
      </c>
      <c r="L4" s="1011" t="s">
        <v>3315</v>
      </c>
      <c r="M4" s="1011" t="s">
        <v>3316</v>
      </c>
      <c r="N4" s="1011" t="s">
        <v>3317</v>
      </c>
      <c r="O4" s="1011" t="s">
        <v>3318</v>
      </c>
      <c r="P4" s="1011" t="s">
        <v>3319</v>
      </c>
      <c r="Q4" s="1011" t="s">
        <v>3320</v>
      </c>
      <c r="R4" s="1011" t="s">
        <v>3321</v>
      </c>
      <c r="S4" s="1011" t="s">
        <v>3322</v>
      </c>
      <c r="T4" s="1011" t="s">
        <v>3323</v>
      </c>
      <c r="U4" s="1011" t="s">
        <v>3324</v>
      </c>
      <c r="V4" s="1011" t="s">
        <v>3325</v>
      </c>
      <c r="W4" s="1011" t="s">
        <v>3326</v>
      </c>
      <c r="X4" s="1011" t="s">
        <v>3327</v>
      </c>
      <c r="Y4" s="1011" t="s">
        <v>3328</v>
      </c>
      <c r="Z4" s="1011" t="s">
        <v>3329</v>
      </c>
      <c r="AA4" s="1011" t="s">
        <v>3330</v>
      </c>
      <c r="AB4" s="1011" t="s">
        <v>3331</v>
      </c>
      <c r="AC4" s="1011" t="s">
        <v>3332</v>
      </c>
      <c r="AD4" s="1011" t="s">
        <v>3333</v>
      </c>
      <c r="AE4" s="1011" t="s">
        <v>3334</v>
      </c>
      <c r="AF4" s="1011" t="s">
        <v>3335</v>
      </c>
      <c r="AG4" s="1011" t="s">
        <v>3336</v>
      </c>
      <c r="AH4" s="1011" t="s">
        <v>3337</v>
      </c>
      <c r="AI4" s="1011" t="s">
        <v>3338</v>
      </c>
      <c r="AJ4" s="1011" t="s">
        <v>3339</v>
      </c>
      <c r="AK4" s="1011" t="s">
        <v>3340</v>
      </c>
      <c r="AL4" s="1011" t="s">
        <v>3341</v>
      </c>
      <c r="AM4" s="1011" t="s">
        <v>3342</v>
      </c>
      <c r="AN4" s="1011" t="s">
        <v>3343</v>
      </c>
      <c r="AO4" s="1011" t="s">
        <v>3344</v>
      </c>
      <c r="AP4" s="1011" t="s">
        <v>3345</v>
      </c>
      <c r="AQ4" s="1011" t="s">
        <v>3346</v>
      </c>
      <c r="AR4" s="1011" t="s">
        <v>3347</v>
      </c>
      <c r="AS4" s="1011" t="s">
        <v>3348</v>
      </c>
      <c r="AT4" s="1011" t="s">
        <v>3349</v>
      </c>
      <c r="AU4" s="1011" t="s">
        <v>3350</v>
      </c>
      <c r="AV4" s="1011" t="s">
        <v>3351</v>
      </c>
      <c r="AW4" s="1011" t="s">
        <v>3352</v>
      </c>
      <c r="AX4" s="1011" t="s">
        <v>3353</v>
      </c>
      <c r="AY4" s="1011" t="s">
        <v>3354</v>
      </c>
      <c r="AZ4" s="1011" t="s">
        <v>3355</v>
      </c>
      <c r="BA4" s="1011" t="s">
        <v>3356</v>
      </c>
      <c r="BB4" s="1011" t="s">
        <v>3357</v>
      </c>
      <c r="BC4" s="1011" t="s">
        <v>3358</v>
      </c>
      <c r="BD4" s="1011" t="s">
        <v>3359</v>
      </c>
      <c r="BE4" s="1011" t="s">
        <v>3360</v>
      </c>
      <c r="BF4" s="1011" t="s">
        <v>3361</v>
      </c>
      <c r="BG4" s="1011" t="s">
        <v>3362</v>
      </c>
      <c r="BH4" s="1011" t="s">
        <v>757</v>
      </c>
      <c r="BI4" s="1011" t="s">
        <v>758</v>
      </c>
      <c r="BJ4" s="1011" t="s">
        <v>759</v>
      </c>
      <c r="BK4" s="1011" t="s">
        <v>760</v>
      </c>
      <c r="BL4" s="1011" t="s">
        <v>3363</v>
      </c>
      <c r="BM4" s="1011" t="s">
        <v>3364</v>
      </c>
      <c r="BN4" s="1011" t="s">
        <v>3365</v>
      </c>
      <c r="BO4" s="1011" t="s">
        <v>3366</v>
      </c>
      <c r="BP4" s="1011" t="s">
        <v>3367</v>
      </c>
      <c r="BQ4" s="1011" t="s">
        <v>3368</v>
      </c>
      <c r="BR4" s="1011" t="s">
        <v>3369</v>
      </c>
      <c r="BS4" s="1011" t="s">
        <v>3370</v>
      </c>
      <c r="BT4" s="1011" t="s">
        <v>3371</v>
      </c>
      <c r="BU4" s="781" t="s">
        <v>3372</v>
      </c>
      <c r="BV4" s="781" t="s">
        <v>3373</v>
      </c>
      <c r="BW4" s="781" t="s">
        <v>3374</v>
      </c>
      <c r="BX4" s="781">
        <v>2026</v>
      </c>
      <c r="BY4" s="269"/>
      <c r="BZ4" s="269"/>
      <c r="CA4" s="464" t="str">
        <f t="shared" ref="CA4:DF4" si="0">T4</f>
        <v>1Q13</v>
      </c>
      <c r="CB4" s="464" t="str">
        <f t="shared" si="0"/>
        <v>2Q13</v>
      </c>
      <c r="CC4" s="464" t="str">
        <f t="shared" si="0"/>
        <v>3Q13</v>
      </c>
      <c r="CD4" s="464" t="str">
        <f t="shared" si="0"/>
        <v>4Q13</v>
      </c>
      <c r="CE4" s="464" t="str">
        <f t="shared" si="0"/>
        <v>1Q14</v>
      </c>
      <c r="CF4" s="464" t="str">
        <f t="shared" si="0"/>
        <v>2Q14</v>
      </c>
      <c r="CG4" s="464" t="str">
        <f t="shared" si="0"/>
        <v>3Q14</v>
      </c>
      <c r="CH4" s="464" t="str">
        <f t="shared" si="0"/>
        <v>4Q14</v>
      </c>
      <c r="CI4" s="464" t="str">
        <f t="shared" si="0"/>
        <v>1Q15</v>
      </c>
      <c r="CJ4" s="464" t="str">
        <f t="shared" si="0"/>
        <v>2Q15</v>
      </c>
      <c r="CK4" s="464" t="str">
        <f t="shared" si="0"/>
        <v>3Q15</v>
      </c>
      <c r="CL4" s="464" t="str">
        <f t="shared" si="0"/>
        <v>4Q15</v>
      </c>
      <c r="CM4" s="464" t="str">
        <f t="shared" si="0"/>
        <v>1Q16</v>
      </c>
      <c r="CN4" s="464" t="str">
        <f t="shared" si="0"/>
        <v>2Q16</v>
      </c>
      <c r="CO4" s="464" t="str">
        <f t="shared" si="0"/>
        <v>3Q16</v>
      </c>
      <c r="CP4" s="464" t="str">
        <f t="shared" si="0"/>
        <v>4Q16</v>
      </c>
      <c r="CQ4" s="464" t="str">
        <f t="shared" si="0"/>
        <v>1Q17</v>
      </c>
      <c r="CR4" s="464" t="str">
        <f t="shared" si="0"/>
        <v>2Q17</v>
      </c>
      <c r="CS4" s="464" t="str">
        <f t="shared" si="0"/>
        <v>3Q17</v>
      </c>
      <c r="CT4" s="464" t="str">
        <f t="shared" si="0"/>
        <v>4Q17</v>
      </c>
      <c r="CU4" s="464" t="str">
        <f t="shared" si="0"/>
        <v>1Q18</v>
      </c>
      <c r="CV4" s="464" t="str">
        <f t="shared" si="0"/>
        <v>2Q18</v>
      </c>
      <c r="CW4" s="464" t="str">
        <f t="shared" si="0"/>
        <v>3Q18</v>
      </c>
      <c r="CX4" s="464" t="str">
        <f t="shared" si="0"/>
        <v>4Q18</v>
      </c>
      <c r="CY4" s="464" t="str">
        <f t="shared" si="0"/>
        <v>1Q19</v>
      </c>
      <c r="CZ4" s="464" t="str">
        <f t="shared" si="0"/>
        <v>2Q19</v>
      </c>
      <c r="DA4" s="464" t="str">
        <f t="shared" si="0"/>
        <v>3Q19</v>
      </c>
      <c r="DB4" s="464" t="str">
        <f t="shared" si="0"/>
        <v>4Q19</v>
      </c>
      <c r="DC4" s="464" t="str">
        <f t="shared" si="0"/>
        <v>1Q20</v>
      </c>
      <c r="DD4" s="464" t="str">
        <f t="shared" si="0"/>
        <v>2Q20</v>
      </c>
      <c r="DE4" s="464" t="str">
        <f t="shared" si="0"/>
        <v>3Q20</v>
      </c>
      <c r="DF4" s="464" t="str">
        <f t="shared" si="0"/>
        <v>4Q20</v>
      </c>
      <c r="DG4" s="464" t="str">
        <f t="shared" ref="DG4:EA4" si="1">AZ4</f>
        <v>1Q21</v>
      </c>
      <c r="DH4" s="464" t="str">
        <f t="shared" si="1"/>
        <v>2Q21</v>
      </c>
      <c r="DI4" s="464" t="str">
        <f t="shared" si="1"/>
        <v>3Q21</v>
      </c>
      <c r="DJ4" s="464" t="str">
        <f t="shared" si="1"/>
        <v>4Q21</v>
      </c>
      <c r="DK4" s="464" t="str">
        <f t="shared" si="1"/>
        <v>1Q22</v>
      </c>
      <c r="DL4" s="464" t="str">
        <f t="shared" si="1"/>
        <v>2Q22</v>
      </c>
      <c r="DM4" s="464" t="str">
        <f t="shared" si="1"/>
        <v>3Q22</v>
      </c>
      <c r="DN4" s="464" t="str">
        <f t="shared" si="1"/>
        <v>4Q22</v>
      </c>
      <c r="DO4" s="464" t="str">
        <f t="shared" si="1"/>
        <v>1Q23</v>
      </c>
      <c r="DP4" s="464" t="str">
        <f t="shared" si="1"/>
        <v>2Q23</v>
      </c>
      <c r="DQ4" s="464" t="str">
        <f t="shared" si="1"/>
        <v>3Q23</v>
      </c>
      <c r="DR4" s="464" t="str">
        <f t="shared" si="1"/>
        <v>4Q23</v>
      </c>
      <c r="DS4" s="464" t="str">
        <f t="shared" si="1"/>
        <v>1Q24</v>
      </c>
      <c r="DT4" s="464" t="str">
        <f t="shared" si="1"/>
        <v>2Q24</v>
      </c>
      <c r="DU4" s="464" t="str">
        <f t="shared" si="1"/>
        <v>3Q24</v>
      </c>
      <c r="DV4" s="464" t="str">
        <f t="shared" si="1"/>
        <v>4Q24</v>
      </c>
      <c r="DW4" s="464" t="str">
        <f t="shared" si="1"/>
        <v>1Q25</v>
      </c>
      <c r="DX4" s="464" t="str">
        <f t="shared" si="1"/>
        <v>2Q25</v>
      </c>
      <c r="DY4" s="464" t="str">
        <f t="shared" si="1"/>
        <v>3Q25</v>
      </c>
      <c r="DZ4" s="464" t="str">
        <f t="shared" si="1"/>
        <v>4Q25</v>
      </c>
      <c r="EA4" s="464" t="str">
        <f t="shared" si="1"/>
        <v>1Q26</v>
      </c>
      <c r="EB4" s="781" t="str">
        <f t="shared" ref="EB4" si="2">BU4</f>
        <v>2Q26</v>
      </c>
      <c r="EC4" s="781" t="str">
        <f t="shared" ref="EC4" si="3">BV4</f>
        <v>3Q26</v>
      </c>
      <c r="ED4" s="781" t="str">
        <f t="shared" ref="ED4" si="4">BW4</f>
        <v>4Q26</v>
      </c>
      <c r="EE4" s="464"/>
      <c r="EF4" s="161"/>
      <c r="EH4" s="161"/>
      <c r="EM4" s="161"/>
      <c r="EN4" s="161"/>
      <c r="EO4" s="161"/>
      <c r="EP4" s="161"/>
      <c r="FL4" s="316" t="s">
        <v>428</v>
      </c>
      <c r="FM4" s="316" t="s">
        <v>429</v>
      </c>
      <c r="FN4" s="361" t="s">
        <v>430</v>
      </c>
      <c r="FO4" s="431" t="s">
        <v>431</v>
      </c>
      <c r="FP4" s="316" t="s">
        <v>429</v>
      </c>
      <c r="FQ4" s="361" t="s">
        <v>430</v>
      </c>
      <c r="FR4" s="431" t="s">
        <v>431</v>
      </c>
      <c r="FS4" s="640" t="s">
        <v>432</v>
      </c>
      <c r="FT4" s="640" t="s">
        <v>432</v>
      </c>
      <c r="FU4" s="700" t="s">
        <v>433</v>
      </c>
      <c r="FV4" s="700" t="s">
        <v>433</v>
      </c>
      <c r="FW4" s="700" t="s">
        <v>434</v>
      </c>
      <c r="FX4" s="700" t="s">
        <v>434</v>
      </c>
      <c r="FY4" s="748" t="s">
        <v>435</v>
      </c>
      <c r="FZ4" s="748" t="s">
        <v>435</v>
      </c>
      <c r="GA4" s="781" t="s">
        <v>425</v>
      </c>
      <c r="GB4" s="781" t="s">
        <v>426</v>
      </c>
      <c r="GC4" s="781" t="s">
        <v>426</v>
      </c>
      <c r="GD4" s="781" t="s">
        <v>427</v>
      </c>
      <c r="GE4" s="781" t="s">
        <v>427</v>
      </c>
    </row>
    <row r="5" spans="1:187">
      <c r="A5" s="161"/>
      <c r="B5" s="268"/>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161"/>
      <c r="BE5" s="161"/>
      <c r="BF5" s="161"/>
      <c r="BG5" s="161"/>
      <c r="BH5" s="263"/>
      <c r="BI5" s="161"/>
      <c r="BJ5" s="161"/>
      <c r="BK5" s="161"/>
      <c r="BL5" s="161"/>
      <c r="BM5" s="161"/>
      <c r="BN5" s="161"/>
      <c r="BO5" s="161"/>
      <c r="BP5" s="161"/>
      <c r="BQ5" s="161"/>
      <c r="BR5" s="161"/>
      <c r="BS5" s="161"/>
      <c r="BT5" s="161"/>
      <c r="BU5" s="780"/>
      <c r="BV5" s="780"/>
      <c r="BW5" s="780"/>
      <c r="BX5" s="780"/>
      <c r="BY5" s="161"/>
      <c r="BZ5" s="161"/>
      <c r="CA5" s="161"/>
      <c r="CB5" s="161"/>
      <c r="CC5" s="161"/>
      <c r="CD5" s="161"/>
      <c r="CE5" s="161"/>
      <c r="CF5" s="161"/>
      <c r="CG5" s="161"/>
      <c r="CH5" s="161"/>
      <c r="CI5" s="161"/>
      <c r="CJ5" s="161"/>
      <c r="CK5" s="161"/>
      <c r="CL5" s="161"/>
      <c r="CM5" s="161"/>
      <c r="CN5" s="161"/>
      <c r="CO5" s="161"/>
      <c r="CP5" s="161"/>
      <c r="CQ5" s="161"/>
      <c r="CR5" s="161"/>
      <c r="CS5" s="161"/>
      <c r="CT5" s="161"/>
      <c r="CU5" s="161"/>
      <c r="CV5" s="161"/>
      <c r="CW5" s="161"/>
      <c r="CX5" s="161"/>
      <c r="CY5" s="161"/>
      <c r="CZ5" s="161"/>
      <c r="DA5" s="161"/>
      <c r="DB5" s="161"/>
      <c r="DC5" s="161"/>
      <c r="DD5" s="161"/>
      <c r="DE5" s="161"/>
      <c r="DF5" s="161"/>
      <c r="DG5" s="161"/>
      <c r="DH5" s="161"/>
      <c r="DI5" s="161"/>
      <c r="DJ5" s="161"/>
      <c r="DK5" s="177"/>
      <c r="DL5" s="177"/>
      <c r="DM5" s="177"/>
      <c r="DN5" s="177"/>
      <c r="DO5" s="177"/>
      <c r="DP5" s="177"/>
      <c r="DQ5" s="177"/>
      <c r="DR5" s="177"/>
      <c r="DS5" s="177"/>
      <c r="DT5" s="177"/>
      <c r="DU5" s="177"/>
      <c r="DV5" s="177"/>
      <c r="DW5" s="177"/>
      <c r="DX5" s="177"/>
      <c r="DY5" s="177"/>
      <c r="DZ5" s="177"/>
      <c r="EA5" s="177"/>
      <c r="EB5" s="808"/>
      <c r="EC5" s="808"/>
      <c r="ED5" s="808"/>
      <c r="EF5" s="161"/>
      <c r="EH5" s="161"/>
      <c r="EM5" s="161"/>
      <c r="EN5" s="161"/>
      <c r="EO5" s="161"/>
      <c r="EP5" s="161"/>
      <c r="FL5" s="263"/>
      <c r="FM5" s="161"/>
      <c r="FN5" s="161"/>
      <c r="FO5" s="430"/>
      <c r="FP5" s="161"/>
      <c r="FQ5" s="161"/>
      <c r="FR5" s="430"/>
      <c r="FS5" s="639"/>
      <c r="FT5" s="639"/>
      <c r="FU5" s="667"/>
      <c r="FV5" s="667"/>
      <c r="FW5" s="667"/>
      <c r="FX5" s="667"/>
      <c r="FY5" s="747"/>
      <c r="FZ5" s="747"/>
      <c r="GA5" s="780"/>
      <c r="GB5" s="780"/>
      <c r="GC5" s="808"/>
      <c r="GD5" s="780"/>
      <c r="GE5" s="808"/>
    </row>
    <row r="6" spans="1:187">
      <c r="A6" s="161"/>
      <c r="B6" s="701" t="s">
        <v>436</v>
      </c>
      <c r="C6" s="161"/>
      <c r="D6" s="161"/>
      <c r="E6" s="161"/>
      <c r="F6" s="161"/>
      <c r="G6" s="161"/>
      <c r="H6" s="161"/>
      <c r="I6" s="161"/>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264"/>
      <c r="AJ6" s="264"/>
      <c r="AK6" s="264"/>
      <c r="AL6" s="264"/>
      <c r="AM6" s="264"/>
      <c r="AN6" s="264"/>
      <c r="AO6" s="264"/>
      <c r="AP6" s="264"/>
      <c r="AQ6" s="264"/>
      <c r="AR6" s="264"/>
      <c r="AS6" s="264"/>
      <c r="AT6" s="264"/>
      <c r="AU6" s="264"/>
      <c r="AV6" s="264"/>
      <c r="AW6" s="264"/>
      <c r="AX6" s="264"/>
      <c r="AY6" s="264"/>
      <c r="AZ6" s="264"/>
      <c r="BA6" s="264"/>
      <c r="BB6" s="264"/>
      <c r="BC6" s="264"/>
      <c r="BD6" s="264"/>
      <c r="BE6" s="264"/>
      <c r="BF6" s="264"/>
      <c r="BG6" s="264"/>
      <c r="BH6" s="264"/>
      <c r="BI6" s="264"/>
      <c r="BJ6" s="264"/>
      <c r="BK6" s="264"/>
      <c r="BL6" s="264"/>
      <c r="BM6" s="264"/>
      <c r="BN6" s="264"/>
      <c r="BO6" s="264"/>
      <c r="BP6" s="264"/>
      <c r="BQ6" s="264"/>
      <c r="BR6" s="264"/>
      <c r="BS6" s="264"/>
      <c r="BT6" s="264"/>
      <c r="BU6" s="782"/>
      <c r="BV6" s="782"/>
      <c r="BW6" s="782"/>
      <c r="BX6" s="782"/>
      <c r="BY6" s="161"/>
      <c r="BZ6" s="161"/>
      <c r="CA6" s="161"/>
      <c r="CB6" s="161"/>
      <c r="CC6" s="161"/>
      <c r="CD6" s="161"/>
      <c r="CE6" s="161"/>
      <c r="CF6" s="161"/>
      <c r="CG6" s="161"/>
      <c r="CH6" s="161"/>
      <c r="CI6" s="161"/>
      <c r="CJ6" s="161"/>
      <c r="CK6" s="161"/>
      <c r="CL6" s="161"/>
      <c r="CM6" s="161"/>
      <c r="CN6" s="161"/>
      <c r="CO6" s="161"/>
      <c r="CP6" s="161"/>
      <c r="CQ6" s="161"/>
      <c r="CR6" s="161"/>
      <c r="CS6" s="161"/>
      <c r="CT6" s="161"/>
      <c r="CU6" s="161"/>
      <c r="CV6" s="161"/>
      <c r="CW6" s="161"/>
      <c r="CX6" s="161"/>
      <c r="CY6" s="161"/>
      <c r="CZ6" s="161"/>
      <c r="DA6" s="161"/>
      <c r="DB6" s="161"/>
      <c r="DC6" s="161"/>
      <c r="DD6" s="161"/>
      <c r="DE6" s="161"/>
      <c r="DF6" s="161"/>
      <c r="DG6" s="161"/>
      <c r="DH6" s="161"/>
      <c r="DI6" s="161"/>
      <c r="DJ6" s="161"/>
      <c r="DK6" s="177"/>
      <c r="DL6" s="177"/>
      <c r="DM6" s="177"/>
      <c r="DN6" s="177"/>
      <c r="DO6" s="177"/>
      <c r="DP6" s="177"/>
      <c r="DQ6" s="177"/>
      <c r="DR6" s="177"/>
      <c r="DS6" s="177"/>
      <c r="DT6" s="177"/>
      <c r="DU6" s="177"/>
      <c r="DV6" s="177"/>
      <c r="DW6" s="177"/>
      <c r="DX6" s="177"/>
      <c r="DY6" s="177"/>
      <c r="DZ6" s="177"/>
      <c r="EA6" s="177"/>
      <c r="EB6" s="808"/>
      <c r="EC6" s="808"/>
      <c r="ED6" s="808"/>
      <c r="EF6" s="161"/>
      <c r="EH6" s="161"/>
      <c r="EM6" s="161"/>
      <c r="EN6" s="161"/>
      <c r="EO6" s="161"/>
      <c r="EP6" s="161"/>
      <c r="FL6" s="264"/>
      <c r="FM6" s="264"/>
      <c r="FN6" s="264"/>
      <c r="FO6" s="432"/>
      <c r="FP6" s="161"/>
      <c r="FQ6" s="161"/>
      <c r="FR6" s="430"/>
      <c r="FS6" s="641"/>
      <c r="FT6" s="639"/>
      <c r="FU6" s="668"/>
      <c r="FV6" s="667"/>
      <c r="FW6" s="668"/>
      <c r="FX6" s="667"/>
      <c r="FY6" s="749"/>
      <c r="FZ6" s="747"/>
      <c r="GA6" s="782"/>
      <c r="GB6" s="782"/>
      <c r="GC6" s="808"/>
      <c r="GD6" s="782"/>
      <c r="GE6" s="808"/>
    </row>
    <row r="7" spans="1:187">
      <c r="A7" s="161"/>
      <c r="B7" s="163"/>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264"/>
      <c r="AJ7" s="264"/>
      <c r="AK7" s="264"/>
      <c r="AL7" s="264"/>
      <c r="AM7" s="264"/>
      <c r="AN7" s="264"/>
      <c r="AO7" s="264"/>
      <c r="AP7" s="264"/>
      <c r="AQ7" s="264"/>
      <c r="AR7" s="264"/>
      <c r="AS7" s="264"/>
      <c r="AT7" s="264"/>
      <c r="AU7" s="264"/>
      <c r="AV7" s="264"/>
      <c r="AW7" s="264"/>
      <c r="AX7" s="264"/>
      <c r="AY7" s="264"/>
      <c r="AZ7" s="264"/>
      <c r="BA7" s="264"/>
      <c r="BB7" s="264"/>
      <c r="BC7" s="264"/>
      <c r="BD7" s="264"/>
      <c r="BE7" s="264"/>
      <c r="BF7" s="264"/>
      <c r="BG7" s="264"/>
      <c r="BH7" s="264"/>
      <c r="BI7" s="264"/>
      <c r="BJ7" s="264"/>
      <c r="BK7" s="264"/>
      <c r="BL7" s="264"/>
      <c r="BM7" s="264"/>
      <c r="BN7" s="264"/>
      <c r="BO7" s="264"/>
      <c r="BP7" s="264"/>
      <c r="BQ7" s="264"/>
      <c r="BR7" s="264"/>
      <c r="BS7" s="264"/>
      <c r="BT7" s="264"/>
      <c r="BU7" s="782"/>
      <c r="BV7" s="782"/>
      <c r="BW7" s="782"/>
      <c r="BX7" s="782"/>
      <c r="BY7" s="161"/>
      <c r="BZ7" s="161"/>
      <c r="CA7" s="161"/>
      <c r="CB7" s="161"/>
      <c r="CC7" s="161"/>
      <c r="CD7" s="161"/>
      <c r="CE7" s="161"/>
      <c r="CF7" s="161"/>
      <c r="CG7" s="161"/>
      <c r="CH7" s="161"/>
      <c r="CI7" s="161"/>
      <c r="CJ7" s="161"/>
      <c r="CK7" s="161"/>
      <c r="CL7" s="161"/>
      <c r="CM7" s="161"/>
      <c r="CN7" s="161"/>
      <c r="CO7" s="161"/>
      <c r="CP7" s="161"/>
      <c r="CQ7" s="161"/>
      <c r="CR7" s="161"/>
      <c r="CS7" s="161"/>
      <c r="CT7" s="161"/>
      <c r="CU7" s="161"/>
      <c r="CV7" s="161"/>
      <c r="CW7" s="161"/>
      <c r="CX7" s="161"/>
      <c r="CY7" s="161"/>
      <c r="CZ7" s="161"/>
      <c r="DA7" s="161"/>
      <c r="DB7" s="161"/>
      <c r="DC7" s="161"/>
      <c r="DD7" s="161"/>
      <c r="DE7" s="161"/>
      <c r="DF7" s="161"/>
      <c r="DG7" s="161"/>
      <c r="DH7" s="161"/>
      <c r="DI7" s="161"/>
      <c r="DJ7" s="161"/>
      <c r="DK7" s="177"/>
      <c r="DL7" s="177"/>
      <c r="DM7" s="177"/>
      <c r="DN7" s="177"/>
      <c r="DO7" s="177"/>
      <c r="DP7" s="177"/>
      <c r="DQ7" s="177"/>
      <c r="DR7" s="177"/>
      <c r="DS7" s="177"/>
      <c r="DT7" s="177"/>
      <c r="DU7" s="177"/>
      <c r="DV7" s="177"/>
      <c r="DW7" s="177"/>
      <c r="DX7" s="177"/>
      <c r="DY7" s="177"/>
      <c r="DZ7" s="177"/>
      <c r="EA7" s="177"/>
      <c r="EB7" s="808"/>
      <c r="EC7" s="808"/>
      <c r="ED7" s="808"/>
      <c r="EF7" s="161"/>
      <c r="EH7" s="161"/>
      <c r="EM7" s="161"/>
      <c r="EN7" s="161"/>
      <c r="EO7" s="161"/>
      <c r="EP7" s="161"/>
      <c r="FL7" s="264"/>
      <c r="FM7" s="264"/>
      <c r="FN7" s="264"/>
      <c r="FO7" s="432"/>
      <c r="FP7" s="161"/>
      <c r="FQ7" s="161"/>
      <c r="FR7" s="430"/>
      <c r="FS7" s="641"/>
      <c r="FT7" s="639"/>
      <c r="FU7" s="668"/>
      <c r="FV7" s="667"/>
      <c r="FW7" s="668"/>
      <c r="FX7" s="667"/>
      <c r="FY7" s="749"/>
      <c r="FZ7" s="747"/>
      <c r="GA7" s="782"/>
      <c r="GB7" s="782"/>
      <c r="GC7" s="808"/>
      <c r="GD7" s="782"/>
      <c r="GE7" s="808"/>
    </row>
    <row r="8" spans="1:187">
      <c r="A8" s="161"/>
      <c r="B8" s="163" t="s">
        <v>320</v>
      </c>
      <c r="C8" s="775">
        <v>4153</v>
      </c>
      <c r="D8" s="775">
        <v>4253</v>
      </c>
      <c r="E8" s="775">
        <v>4375</v>
      </c>
      <c r="F8" s="775">
        <v>4524</v>
      </c>
      <c r="G8" s="775">
        <v>4599</v>
      </c>
      <c r="H8" s="775">
        <v>4701</v>
      </c>
      <c r="I8" s="775">
        <v>5026.3130000000001</v>
      </c>
      <c r="J8" s="775">
        <v>5134</v>
      </c>
      <c r="K8" s="775">
        <v>5214</v>
      </c>
      <c r="L8" s="775">
        <v>5280</v>
      </c>
      <c r="M8" s="775">
        <v>5398.0020000000004</v>
      </c>
      <c r="N8" s="775">
        <v>5607</v>
      </c>
      <c r="O8" s="775">
        <v>5720</v>
      </c>
      <c r="P8" s="775">
        <v>5879</v>
      </c>
      <c r="Q8" s="775">
        <v>5999.65</v>
      </c>
      <c r="R8" s="775">
        <v>6115</v>
      </c>
      <c r="S8" s="775">
        <v>6210</v>
      </c>
      <c r="T8" s="775">
        <v>6325</v>
      </c>
      <c r="U8" s="775">
        <v>6442</v>
      </c>
      <c r="V8" s="775">
        <v>6516</v>
      </c>
      <c r="W8" s="775">
        <v>6573</v>
      </c>
      <c r="X8" s="775">
        <v>6655.26</v>
      </c>
      <c r="Y8" s="775">
        <v>6709.1610000000001</v>
      </c>
      <c r="Z8" s="775">
        <v>6821.2780000000002</v>
      </c>
      <c r="AA8" s="775">
        <v>7174.2719999999999</v>
      </c>
      <c r="AB8" s="775">
        <v>7208.4</v>
      </c>
      <c r="AC8" s="775">
        <v>7334.6</v>
      </c>
      <c r="AD8" s="775">
        <v>7430.8</v>
      </c>
      <c r="AE8" s="775">
        <v>7487.165</v>
      </c>
      <c r="AF8" s="775">
        <v>7542.98</v>
      </c>
      <c r="AG8" s="775">
        <v>7627.1120000000001</v>
      </c>
      <c r="AH8" s="775">
        <v>7748.6</v>
      </c>
      <c r="AI8" s="775">
        <v>7867.9949999999999</v>
      </c>
      <c r="AJ8" s="775">
        <v>7914.0609999999997</v>
      </c>
      <c r="AK8" s="775">
        <v>7987.9669999999996</v>
      </c>
      <c r="AL8" s="775">
        <v>8058.6750000000002</v>
      </c>
      <c r="AM8" s="775">
        <v>8135.4279999999999</v>
      </c>
      <c r="AN8" s="775">
        <v>8207</v>
      </c>
      <c r="AO8" s="775">
        <v>8283</v>
      </c>
      <c r="AP8" s="775">
        <v>8362</v>
      </c>
      <c r="AQ8" s="775">
        <v>8427.9169999999995</v>
      </c>
      <c r="AR8" s="775">
        <v>8057</v>
      </c>
      <c r="AS8" s="775">
        <v>8702.1319999999996</v>
      </c>
      <c r="AT8" s="775">
        <v>8764</v>
      </c>
      <c r="AU8" s="775">
        <v>8836.6749999999993</v>
      </c>
      <c r="AV8" s="775">
        <v>8853.7849999999999</v>
      </c>
      <c r="AW8" s="775">
        <v>8876.2999999999993</v>
      </c>
      <c r="AX8" s="775">
        <v>8901.7469999999994</v>
      </c>
      <c r="AY8" s="775">
        <v>8955.4570000000003</v>
      </c>
      <c r="AZ8" s="775">
        <v>9007.223</v>
      </c>
      <c r="BA8" s="775">
        <v>9097</v>
      </c>
      <c r="BB8" s="775">
        <v>9292.1260000000002</v>
      </c>
      <c r="BC8" s="775">
        <f>Fixed!P5</f>
        <v>9568.6</v>
      </c>
      <c r="BD8" s="775">
        <v>9686.3050000000003</v>
      </c>
      <c r="BE8" s="775">
        <v>10114.51</v>
      </c>
      <c r="BF8" s="775">
        <v>10566.498</v>
      </c>
      <c r="BG8" s="775">
        <v>11560.218000000001</v>
      </c>
      <c r="BH8" s="775">
        <v>12487.578</v>
      </c>
      <c r="BI8" s="775">
        <v>13450.7</v>
      </c>
      <c r="BJ8" s="775">
        <v>14552.598</v>
      </c>
      <c r="BK8" s="775">
        <v>15437.906999999999</v>
      </c>
      <c r="BL8" s="775">
        <v>15951.418</v>
      </c>
      <c r="BM8" s="775">
        <v>16508.645</v>
      </c>
      <c r="BN8" s="775">
        <v>16998.134999999998</v>
      </c>
      <c r="BO8" s="775">
        <v>17429.384999999998</v>
      </c>
      <c r="BP8" s="775">
        <v>17571.868999999999</v>
      </c>
      <c r="BQ8" s="775">
        <v>18110.415000000001</v>
      </c>
      <c r="BR8" s="775">
        <v>18707.485000000001</v>
      </c>
      <c r="BS8" s="775">
        <v>19246.286</v>
      </c>
      <c r="BT8" s="775">
        <v>19525.855</v>
      </c>
      <c r="BU8" s="1009">
        <f>BT8+275</f>
        <v>19800.855</v>
      </c>
      <c r="BV8" s="1009">
        <f>BU8+275</f>
        <v>20075.855</v>
      </c>
      <c r="BW8" s="1009">
        <f>BX8</f>
        <v>20351.286</v>
      </c>
      <c r="BX8" s="1009">
        <f>Fixed!U5</f>
        <v>20351.286</v>
      </c>
      <c r="BY8" s="263"/>
      <c r="BZ8" s="263"/>
      <c r="CA8" s="264">
        <f t="shared" ref="CA8:DF8" si="5">T8/P8-1</f>
        <v>7.5863242047967239E-2</v>
      </c>
      <c r="CB8" s="264">
        <f t="shared" si="5"/>
        <v>7.3729300875884585E-2</v>
      </c>
      <c r="CC8" s="264">
        <f t="shared" si="5"/>
        <v>6.5576451349141474E-2</v>
      </c>
      <c r="CD8" s="264">
        <f t="shared" si="5"/>
        <v>5.8454106280193319E-2</v>
      </c>
      <c r="CE8" s="264">
        <f t="shared" si="5"/>
        <v>5.2215019762845927E-2</v>
      </c>
      <c r="CF8" s="264">
        <f t="shared" si="5"/>
        <v>4.1471747904377576E-2</v>
      </c>
      <c r="CG8" s="264">
        <f t="shared" si="5"/>
        <v>4.6850521792510813E-2</v>
      </c>
      <c r="CH8" s="264">
        <f t="shared" si="5"/>
        <v>9.1476038338658139E-2</v>
      </c>
      <c r="CI8" s="264">
        <f t="shared" si="5"/>
        <v>8.3113206696657782E-2</v>
      </c>
      <c r="CJ8" s="264">
        <f t="shared" si="5"/>
        <v>9.3221641275265332E-2</v>
      </c>
      <c r="CK8" s="264">
        <f t="shared" si="5"/>
        <v>8.9355982852480142E-2</v>
      </c>
      <c r="CL8" s="264">
        <f t="shared" si="5"/>
        <v>4.3613205632571539E-2</v>
      </c>
      <c r="CM8" s="264">
        <f t="shared" si="5"/>
        <v>4.6415293268963875E-2</v>
      </c>
      <c r="CN8" s="264">
        <f t="shared" si="5"/>
        <v>3.9881111444386885E-2</v>
      </c>
      <c r="CO8" s="264">
        <f t="shared" si="5"/>
        <v>4.2767938849114451E-2</v>
      </c>
      <c r="CP8" s="264">
        <f t="shared" si="5"/>
        <v>5.0864379241007729E-2</v>
      </c>
      <c r="CQ8" s="264">
        <f t="shared" si="5"/>
        <v>4.9195543405921915E-2</v>
      </c>
      <c r="CR8" s="264">
        <f t="shared" si="5"/>
        <v>4.7312141214131742E-2</v>
      </c>
      <c r="CS8" s="264">
        <f t="shared" si="5"/>
        <v>4.0016906279844111E-2</v>
      </c>
      <c r="CT8" s="264">
        <f t="shared" si="5"/>
        <v>3.3989980929067798E-2</v>
      </c>
      <c r="CU8" s="264">
        <f t="shared" si="5"/>
        <v>3.701500405417657E-2</v>
      </c>
      <c r="CV8" s="264">
        <f t="shared" si="5"/>
        <v>3.6934679374614365E-2</v>
      </c>
      <c r="CW8" s="264">
        <f t="shared" si="5"/>
        <v>3.763956233499921E-2</v>
      </c>
      <c r="CX8" s="264">
        <f t="shared" si="5"/>
        <v>3.5952503052082863E-2</v>
      </c>
      <c r="CY8" s="264">
        <f t="shared" si="5"/>
        <v>-1.8277080541001633E-2</v>
      </c>
      <c r="CZ8" s="264">
        <f t="shared" si="5"/>
        <v>5.0601472896293576E-2</v>
      </c>
      <c r="DA8" s="264">
        <f t="shared" si="5"/>
        <v>4.8074623295862207E-2</v>
      </c>
      <c r="DB8" s="264">
        <f t="shared" si="5"/>
        <v>4.8500477638780737E-2</v>
      </c>
      <c r="DC8" s="264">
        <f t="shared" si="5"/>
        <v>9.8893508750155235E-2</v>
      </c>
      <c r="DD8" s="264">
        <f t="shared" si="5"/>
        <v>2.0014405665186308E-2</v>
      </c>
      <c r="DE8" s="264">
        <f t="shared" si="5"/>
        <v>1.5717366499315322E-2</v>
      </c>
      <c r="DF8" s="264">
        <f t="shared" si="5"/>
        <v>1.3441933759021474E-2</v>
      </c>
      <c r="DG8" s="264">
        <f t="shared" ref="DG8:EA8" si="6">AZ8/AV8-1</f>
        <v>1.7330215269514726E-2</v>
      </c>
      <c r="DH8" s="264">
        <f t="shared" si="6"/>
        <v>2.4863963588432236E-2</v>
      </c>
      <c r="DI8" s="264">
        <f t="shared" si="6"/>
        <v>4.3854200754076755E-2</v>
      </c>
      <c r="DJ8" s="264">
        <f t="shared" si="6"/>
        <v>6.8465852719743925E-2</v>
      </c>
      <c r="DK8" s="467">
        <f t="shared" si="6"/>
        <v>7.5393048445675293E-2</v>
      </c>
      <c r="DL8" s="467">
        <f t="shared" si="6"/>
        <v>0.11185115972298565</v>
      </c>
      <c r="DM8" s="467">
        <f t="shared" si="6"/>
        <v>0.13714536371977726</v>
      </c>
      <c r="DN8" s="467">
        <f t="shared" si="6"/>
        <v>0.20814100286353288</v>
      </c>
      <c r="DO8" s="467">
        <f t="shared" si="6"/>
        <v>0.28919933865390357</v>
      </c>
      <c r="DP8" s="467">
        <f t="shared" si="6"/>
        <v>0.32984197949282756</v>
      </c>
      <c r="DQ8" s="467">
        <f t="shared" si="6"/>
        <v>0.37723946003680697</v>
      </c>
      <c r="DR8" s="467">
        <f t="shared" si="6"/>
        <v>0.33543389925691702</v>
      </c>
      <c r="DS8" s="467">
        <f t="shared" si="6"/>
        <v>0.27738285198298662</v>
      </c>
      <c r="DT8" s="467">
        <f t="shared" si="6"/>
        <v>0.22734467351141574</v>
      </c>
      <c r="DU8" s="467">
        <f t="shared" si="6"/>
        <v>0.16804813820872377</v>
      </c>
      <c r="DV8" s="467">
        <f t="shared" si="6"/>
        <v>0.12899922249823104</v>
      </c>
      <c r="DW8" s="467">
        <f t="shared" si="6"/>
        <v>0.10158664264205219</v>
      </c>
      <c r="DX8" s="467">
        <f t="shared" si="6"/>
        <v>9.7026133883186594E-2</v>
      </c>
      <c r="DY8" s="467">
        <f t="shared" si="6"/>
        <v>0.10056103213676093</v>
      </c>
      <c r="DZ8" s="467">
        <f t="shared" si="6"/>
        <v>0.10424355190960566</v>
      </c>
      <c r="EA8" s="467">
        <f t="shared" si="6"/>
        <v>0.11119966806035264</v>
      </c>
      <c r="EB8" s="809">
        <f t="shared" ref="EB8" si="7">BU8/BQ8-1</f>
        <v>9.3340765520834257E-2</v>
      </c>
      <c r="EC8" s="809">
        <f t="shared" ref="EC8" si="8">BV8/BR8-1</f>
        <v>7.3145588517109505E-2</v>
      </c>
      <c r="ED8" s="809">
        <f t="shared" ref="ED8" si="9">BW8/BS8-1</f>
        <v>5.7413674513617785E-2</v>
      </c>
      <c r="EF8" s="161"/>
      <c r="EH8" s="161"/>
      <c r="EM8" s="161"/>
      <c r="EN8" s="161"/>
      <c r="EO8" s="161"/>
      <c r="EP8" s="161"/>
      <c r="FL8" s="263">
        <v>12060.218000000001</v>
      </c>
      <c r="FM8" s="263">
        <v>13387.218000000001</v>
      </c>
      <c r="FN8" s="263">
        <v>14060.7</v>
      </c>
      <c r="FO8" s="433">
        <v>15560.218000000001</v>
      </c>
      <c r="FP8" s="264">
        <v>0.32356564974477275</v>
      </c>
      <c r="FQ8" s="264">
        <v>0.33068685575864398</v>
      </c>
      <c r="FR8" s="432">
        <v>0.3460142360637144</v>
      </c>
      <c r="FS8" s="642">
        <v>16351.418</v>
      </c>
      <c r="FT8" s="641">
        <v>0.21565554209074622</v>
      </c>
      <c r="FU8" s="669">
        <v>16858.645</v>
      </c>
      <c r="FV8" s="668">
        <v>0.15846290813502861</v>
      </c>
      <c r="FW8" s="708">
        <v>17387.906999999999</v>
      </c>
      <c r="FX8" s="668">
        <v>0.12631245932495894</v>
      </c>
      <c r="FY8" s="750">
        <v>17779.384999999998</v>
      </c>
      <c r="FZ8" s="749">
        <v>0.11459589360644928</v>
      </c>
      <c r="GA8" s="783">
        <v>17821.868999999999</v>
      </c>
      <c r="GB8" s="783">
        <v>18410.415000000001</v>
      </c>
      <c r="GC8" s="809">
        <v>8.3084408966042522E-2</v>
      </c>
      <c r="GD8" s="784">
        <v>19079.384999999998</v>
      </c>
      <c r="GE8" s="809">
        <v>9.4667712027704853E-2</v>
      </c>
    </row>
    <row r="9" spans="1:187">
      <c r="A9" s="161"/>
      <c r="B9" s="161" t="s">
        <v>42</v>
      </c>
      <c r="C9" s="161"/>
      <c r="D9" s="263">
        <f t="shared" ref="D9:AI9" si="10">D8-C8</f>
        <v>100</v>
      </c>
      <c r="E9" s="263">
        <f t="shared" si="10"/>
        <v>122</v>
      </c>
      <c r="F9" s="263">
        <f t="shared" si="10"/>
        <v>149</v>
      </c>
      <c r="G9" s="263">
        <f t="shared" si="10"/>
        <v>75</v>
      </c>
      <c r="H9" s="263">
        <f t="shared" si="10"/>
        <v>102</v>
      </c>
      <c r="I9" s="263">
        <f t="shared" si="10"/>
        <v>325.3130000000001</v>
      </c>
      <c r="J9" s="263">
        <f t="shared" si="10"/>
        <v>107.6869999999999</v>
      </c>
      <c r="K9" s="263">
        <f t="shared" si="10"/>
        <v>80</v>
      </c>
      <c r="L9" s="263">
        <f t="shared" si="10"/>
        <v>66</v>
      </c>
      <c r="M9" s="263">
        <f t="shared" si="10"/>
        <v>118.00200000000041</v>
      </c>
      <c r="N9" s="263">
        <f t="shared" si="10"/>
        <v>208.99799999999959</v>
      </c>
      <c r="O9" s="263">
        <f t="shared" si="10"/>
        <v>113</v>
      </c>
      <c r="P9" s="263">
        <f t="shared" si="10"/>
        <v>159</v>
      </c>
      <c r="Q9" s="263">
        <f t="shared" si="10"/>
        <v>120.64999999999964</v>
      </c>
      <c r="R9" s="263">
        <f t="shared" si="10"/>
        <v>115.35000000000036</v>
      </c>
      <c r="S9" s="263">
        <f t="shared" si="10"/>
        <v>95</v>
      </c>
      <c r="T9" s="263">
        <f t="shared" si="10"/>
        <v>115</v>
      </c>
      <c r="U9" s="263">
        <f t="shared" si="10"/>
        <v>117</v>
      </c>
      <c r="V9" s="263">
        <f t="shared" si="10"/>
        <v>74</v>
      </c>
      <c r="W9" s="263">
        <f t="shared" si="10"/>
        <v>57</v>
      </c>
      <c r="X9" s="263">
        <f t="shared" si="10"/>
        <v>82.260000000000218</v>
      </c>
      <c r="Y9" s="263">
        <f t="shared" si="10"/>
        <v>53.90099999999984</v>
      </c>
      <c r="Z9" s="263">
        <f t="shared" si="10"/>
        <v>112.11700000000019</v>
      </c>
      <c r="AA9" s="263">
        <f t="shared" si="10"/>
        <v>352.99399999999969</v>
      </c>
      <c r="AB9" s="263">
        <f t="shared" si="10"/>
        <v>34.127999999999702</v>
      </c>
      <c r="AC9" s="263">
        <f t="shared" si="10"/>
        <v>126.20000000000073</v>
      </c>
      <c r="AD9" s="263">
        <f t="shared" si="10"/>
        <v>96.199999999999818</v>
      </c>
      <c r="AE9" s="263">
        <f t="shared" si="10"/>
        <v>56.364999999999782</v>
      </c>
      <c r="AF9" s="263">
        <f t="shared" si="10"/>
        <v>55.8149999999996</v>
      </c>
      <c r="AG9" s="263">
        <f t="shared" si="10"/>
        <v>84.132000000000517</v>
      </c>
      <c r="AH9" s="263">
        <f t="shared" si="10"/>
        <v>121.48800000000028</v>
      </c>
      <c r="AI9" s="263">
        <f t="shared" si="10"/>
        <v>119.39499999999953</v>
      </c>
      <c r="AJ9" s="263">
        <f t="shared" ref="AJ9:BA9" si="11">AJ8-AI8</f>
        <v>46.065999999999804</v>
      </c>
      <c r="AK9" s="263">
        <f t="shared" si="11"/>
        <v>73.905999999999949</v>
      </c>
      <c r="AL9" s="263">
        <f t="shared" si="11"/>
        <v>70.708000000000538</v>
      </c>
      <c r="AM9" s="263">
        <f t="shared" si="11"/>
        <v>76.752999999999702</v>
      </c>
      <c r="AN9" s="263">
        <f t="shared" si="11"/>
        <v>71.572000000000116</v>
      </c>
      <c r="AO9" s="263">
        <f t="shared" si="11"/>
        <v>76</v>
      </c>
      <c r="AP9" s="263">
        <f t="shared" si="11"/>
        <v>79</v>
      </c>
      <c r="AQ9" s="263">
        <f t="shared" si="11"/>
        <v>65.916999999999462</v>
      </c>
      <c r="AR9" s="263">
        <f t="shared" si="11"/>
        <v>-370.91699999999946</v>
      </c>
      <c r="AS9" s="263">
        <f t="shared" si="11"/>
        <v>645.13199999999961</v>
      </c>
      <c r="AT9" s="263">
        <f t="shared" si="11"/>
        <v>61.868000000000393</v>
      </c>
      <c r="AU9" s="263">
        <f t="shared" si="11"/>
        <v>72.674999999999272</v>
      </c>
      <c r="AV9" s="263">
        <f t="shared" si="11"/>
        <v>17.110000000000582</v>
      </c>
      <c r="AW9" s="263">
        <f t="shared" si="11"/>
        <v>22.514999999999418</v>
      </c>
      <c r="AX9" s="263">
        <f t="shared" si="11"/>
        <v>25.447000000000116</v>
      </c>
      <c r="AY9" s="263">
        <f t="shared" si="11"/>
        <v>53.710000000000946</v>
      </c>
      <c r="AZ9" s="263">
        <f t="shared" si="11"/>
        <v>51.765999999999622</v>
      </c>
      <c r="BA9" s="263">
        <f t="shared" si="11"/>
        <v>89.777000000000044</v>
      </c>
      <c r="BB9" s="263">
        <v>9.5</v>
      </c>
      <c r="BC9" s="263">
        <f t="shared" ref="BC9:BJ9" si="12">BC8-BB8</f>
        <v>276.47400000000016</v>
      </c>
      <c r="BD9" s="263">
        <f t="shared" si="12"/>
        <v>117.70499999999993</v>
      </c>
      <c r="BE9" s="263">
        <f t="shared" si="12"/>
        <v>428.20499999999993</v>
      </c>
      <c r="BF9" s="263">
        <f t="shared" si="12"/>
        <v>451.98799999999937</v>
      </c>
      <c r="BG9" s="263">
        <f t="shared" si="12"/>
        <v>993.72000000000116</v>
      </c>
      <c r="BH9" s="263">
        <f t="shared" si="12"/>
        <v>927.35999999999876</v>
      </c>
      <c r="BI9" s="263">
        <f t="shared" si="12"/>
        <v>963.12200000000121</v>
      </c>
      <c r="BJ9" s="263">
        <f t="shared" si="12"/>
        <v>1101.8979999999992</v>
      </c>
      <c r="BK9" s="263">
        <f t="shared" ref="BK9:BP9" si="13">BK8-BJ8</f>
        <v>885.30899999999929</v>
      </c>
      <c r="BL9" s="263">
        <f t="shared" si="13"/>
        <v>513.51100000000042</v>
      </c>
      <c r="BM9" s="263">
        <f t="shared" si="13"/>
        <v>557.22700000000077</v>
      </c>
      <c r="BN9" s="263">
        <f t="shared" si="13"/>
        <v>489.48999999999796</v>
      </c>
      <c r="BO9" s="263">
        <f t="shared" si="13"/>
        <v>431.25</v>
      </c>
      <c r="BP9" s="263">
        <f t="shared" si="13"/>
        <v>142.48400000000038</v>
      </c>
      <c r="BQ9" s="263">
        <f t="shared" ref="BQ9:BW9" si="14">BQ8-BP8</f>
        <v>538.5460000000021</v>
      </c>
      <c r="BR9" s="263">
        <f t="shared" si="14"/>
        <v>597.06999999999971</v>
      </c>
      <c r="BS9" s="263">
        <f t="shared" si="14"/>
        <v>538.80099999999948</v>
      </c>
      <c r="BT9" s="263">
        <f t="shared" si="14"/>
        <v>279.56899999999951</v>
      </c>
      <c r="BU9" s="1009">
        <f t="shared" si="14"/>
        <v>275</v>
      </c>
      <c r="BV9" s="1009">
        <f t="shared" si="14"/>
        <v>275</v>
      </c>
      <c r="BW9" s="1009">
        <f t="shared" si="14"/>
        <v>275.43100000000049</v>
      </c>
      <c r="BX9" s="1009">
        <f>BX8-BS8</f>
        <v>1105</v>
      </c>
      <c r="BY9" s="161"/>
      <c r="BZ9" s="161"/>
      <c r="CA9" s="161"/>
      <c r="CB9" s="161"/>
      <c r="CC9" s="161"/>
      <c r="CD9" s="161"/>
      <c r="CE9" s="161"/>
      <c r="CF9" s="161"/>
      <c r="CG9" s="161"/>
      <c r="CH9" s="161"/>
      <c r="CI9" s="161"/>
      <c r="CJ9" s="161"/>
      <c r="CK9" s="161"/>
      <c r="CL9" s="161"/>
      <c r="CM9" s="161"/>
      <c r="CN9" s="161"/>
      <c r="CO9" s="161"/>
      <c r="CP9" s="161"/>
      <c r="CQ9" s="161"/>
      <c r="CR9" s="161"/>
      <c r="CS9" s="161"/>
      <c r="CT9" s="161"/>
      <c r="CU9" s="161"/>
      <c r="CV9" s="161"/>
      <c r="CW9" s="161"/>
      <c r="CX9" s="161"/>
      <c r="CY9" s="161"/>
      <c r="CZ9" s="161"/>
      <c r="DA9" s="161"/>
      <c r="DB9" s="161"/>
      <c r="DC9" s="161"/>
      <c r="DD9" s="161"/>
      <c r="DE9" s="161"/>
      <c r="DF9" s="161"/>
      <c r="DG9" s="161"/>
      <c r="DH9" s="161"/>
      <c r="DI9" s="161"/>
      <c r="DJ9" s="161"/>
      <c r="DK9" s="177"/>
      <c r="DL9" s="177"/>
      <c r="DM9" s="177"/>
      <c r="DN9" s="177"/>
      <c r="DO9" s="177"/>
      <c r="DP9" s="177"/>
      <c r="DQ9" s="177"/>
      <c r="DR9" s="177"/>
      <c r="DS9" s="177"/>
      <c r="DT9" s="177"/>
      <c r="DU9" s="177"/>
      <c r="DV9" s="177"/>
      <c r="DW9" s="177"/>
      <c r="DX9" s="177"/>
      <c r="DY9" s="177"/>
      <c r="DZ9" s="177"/>
      <c r="EA9" s="177"/>
      <c r="EB9" s="808"/>
      <c r="EC9" s="808"/>
      <c r="ED9" s="808"/>
      <c r="EF9" s="161"/>
      <c r="EH9" s="161"/>
      <c r="EM9" s="161"/>
      <c r="EN9" s="161"/>
      <c r="EO9" s="161"/>
      <c r="EP9" s="161"/>
      <c r="FL9" s="271">
        <v>500</v>
      </c>
      <c r="FM9" s="271">
        <v>900</v>
      </c>
      <c r="FN9" s="271">
        <v>610</v>
      </c>
      <c r="FO9" s="433">
        <v>1007.6200000000008</v>
      </c>
      <c r="FP9" s="161"/>
      <c r="FQ9" s="161"/>
      <c r="FR9" s="430"/>
      <c r="FS9" s="643">
        <v>400</v>
      </c>
      <c r="FT9" s="639"/>
      <c r="FU9" s="670">
        <v>350</v>
      </c>
      <c r="FV9" s="667"/>
      <c r="FW9" s="670">
        <v>389.77200000000084</v>
      </c>
      <c r="FX9" s="667"/>
      <c r="FY9" s="751">
        <v>350</v>
      </c>
      <c r="FZ9" s="747"/>
      <c r="GA9" s="784">
        <v>250</v>
      </c>
      <c r="GB9" s="784">
        <v>300</v>
      </c>
      <c r="GC9" s="808"/>
      <c r="GD9" s="784">
        <v>371.89999999999782</v>
      </c>
      <c r="GE9" s="808"/>
    </row>
    <row r="10" spans="1:187">
      <c r="A10" s="161"/>
      <c r="B10" s="161"/>
      <c r="C10" s="161"/>
      <c r="D10" s="263"/>
      <c r="E10" s="263"/>
      <c r="F10" s="263"/>
      <c r="G10" s="263"/>
      <c r="H10" s="263"/>
      <c r="I10" s="263"/>
      <c r="J10" s="263"/>
      <c r="K10" s="263"/>
      <c r="L10" s="263"/>
      <c r="M10" s="263"/>
      <c r="N10" s="263"/>
      <c r="O10" s="263"/>
      <c r="P10" s="263"/>
      <c r="Q10" s="263"/>
      <c r="R10" s="263"/>
      <c r="S10" s="263"/>
      <c r="T10" s="263"/>
      <c r="U10" s="263"/>
      <c r="V10" s="263"/>
      <c r="W10" s="263"/>
      <c r="X10" s="263"/>
      <c r="Y10" s="263"/>
      <c r="Z10" s="263"/>
      <c r="AA10" s="263"/>
      <c r="AB10" s="161"/>
      <c r="AC10" s="161"/>
      <c r="AD10" s="161"/>
      <c r="AE10" s="161"/>
      <c r="AF10" s="161"/>
      <c r="AG10" s="161"/>
      <c r="AH10" s="161"/>
      <c r="AI10" s="161"/>
      <c r="AJ10" s="161"/>
      <c r="AK10" s="161"/>
      <c r="AL10" s="161"/>
      <c r="AM10" s="161"/>
      <c r="AN10" s="161"/>
      <c r="AO10" s="161"/>
      <c r="AP10" s="161"/>
      <c r="AQ10" s="161"/>
      <c r="AR10" s="161"/>
      <c r="AS10" s="161"/>
      <c r="AT10" s="161"/>
      <c r="AU10" s="161"/>
      <c r="AV10" s="161"/>
      <c r="AW10" s="161"/>
      <c r="AX10" s="161"/>
      <c r="AY10" s="161"/>
      <c r="AZ10" s="161"/>
      <c r="BA10" s="161"/>
      <c r="BB10" s="161"/>
      <c r="BC10" s="161"/>
      <c r="BD10" s="161"/>
      <c r="BE10" s="161"/>
      <c r="BF10" s="161"/>
      <c r="BG10" s="161"/>
      <c r="BH10" s="161"/>
      <c r="BI10" s="161"/>
      <c r="BJ10" s="161"/>
      <c r="BK10" s="161"/>
      <c r="BL10" s="161"/>
      <c r="BM10" s="161"/>
      <c r="BN10" s="161"/>
      <c r="BO10" s="161"/>
      <c r="BP10" s="161"/>
      <c r="BQ10" s="161"/>
      <c r="BR10" s="161"/>
      <c r="BS10" s="161"/>
      <c r="BT10" s="161"/>
      <c r="BU10" s="1009"/>
      <c r="BV10" s="1009"/>
      <c r="BW10" s="1009"/>
      <c r="BX10" s="1009"/>
      <c r="BY10" s="161"/>
      <c r="BZ10" s="161"/>
      <c r="CA10" s="161"/>
      <c r="CB10" s="161"/>
      <c r="CC10" s="161"/>
      <c r="CD10" s="161"/>
      <c r="CE10" s="161"/>
      <c r="CF10" s="161"/>
      <c r="CG10" s="161"/>
      <c r="CH10" s="161"/>
      <c r="CI10" s="161"/>
      <c r="CJ10" s="161"/>
      <c r="CK10" s="161"/>
      <c r="CL10" s="161"/>
      <c r="CM10" s="161"/>
      <c r="CN10" s="161"/>
      <c r="CO10" s="161"/>
      <c r="CP10" s="161"/>
      <c r="CQ10" s="161"/>
      <c r="CR10" s="161"/>
      <c r="CS10" s="161"/>
      <c r="CT10" s="161"/>
      <c r="CU10" s="161"/>
      <c r="CV10" s="161"/>
      <c r="CW10" s="161"/>
      <c r="CX10" s="161"/>
      <c r="CY10" s="161"/>
      <c r="CZ10" s="161"/>
      <c r="DA10" s="161"/>
      <c r="DB10" s="161"/>
      <c r="DC10" s="161"/>
      <c r="DD10" s="161"/>
      <c r="DE10" s="161"/>
      <c r="DF10" s="161"/>
      <c r="DG10" s="161"/>
      <c r="DH10" s="161"/>
      <c r="DI10" s="161"/>
      <c r="DJ10" s="161"/>
      <c r="DK10" s="177"/>
      <c r="DL10" s="177"/>
      <c r="DM10" s="177"/>
      <c r="DN10" s="177"/>
      <c r="DO10" s="177"/>
      <c r="DP10" s="177"/>
      <c r="DQ10" s="177"/>
      <c r="DR10" s="177"/>
      <c r="DS10" s="177"/>
      <c r="DT10" s="177"/>
      <c r="DU10" s="177"/>
      <c r="DV10" s="177"/>
      <c r="DW10" s="177"/>
      <c r="DX10" s="177"/>
      <c r="DY10" s="177"/>
      <c r="DZ10" s="177"/>
      <c r="EA10" s="177"/>
      <c r="EB10" s="808"/>
      <c r="EC10" s="808"/>
      <c r="ED10" s="808"/>
      <c r="EF10" s="161"/>
      <c r="EH10" s="161"/>
      <c r="EM10" s="161"/>
      <c r="EN10" s="161"/>
      <c r="EO10" s="161"/>
      <c r="EP10" s="161"/>
      <c r="FL10" s="161"/>
      <c r="FM10" s="161"/>
      <c r="FN10" s="161"/>
      <c r="FO10" s="430"/>
      <c r="FP10" s="161"/>
      <c r="FQ10" s="161"/>
      <c r="FR10" s="430"/>
      <c r="FS10" s="639"/>
      <c r="FT10" s="639"/>
      <c r="FU10" s="667"/>
      <c r="FV10" s="667"/>
      <c r="FW10" s="667"/>
      <c r="FX10" s="667"/>
      <c r="FY10" s="747"/>
      <c r="FZ10" s="747"/>
      <c r="GA10" s="780"/>
      <c r="GB10" s="780"/>
      <c r="GC10" s="808"/>
      <c r="GD10" s="780"/>
      <c r="GE10" s="808"/>
    </row>
    <row r="11" spans="1:187">
      <c r="A11" s="161"/>
      <c r="B11" s="163" t="s">
        <v>437</v>
      </c>
      <c r="C11" s="161"/>
      <c r="D11" s="263"/>
      <c r="E11" s="263"/>
      <c r="F11" s="263"/>
      <c r="G11" s="263"/>
      <c r="H11" s="263"/>
      <c r="I11" s="263"/>
      <c r="J11" s="263"/>
      <c r="K11" s="263"/>
      <c r="L11" s="263"/>
      <c r="M11" s="263"/>
      <c r="N11" s="263"/>
      <c r="O11" s="263"/>
      <c r="P11" s="263"/>
      <c r="Q11" s="263"/>
      <c r="R11" s="263"/>
      <c r="S11" s="263"/>
      <c r="T11" s="263"/>
      <c r="U11" s="263"/>
      <c r="V11" s="263"/>
      <c r="W11" s="263"/>
      <c r="X11" s="263"/>
      <c r="Y11" s="263"/>
      <c r="Z11" s="264"/>
      <c r="AA11" s="264"/>
      <c r="AB11" s="161"/>
      <c r="AC11" s="263"/>
      <c r="AD11" s="263"/>
      <c r="AE11" s="263"/>
      <c r="AF11" s="263"/>
      <c r="AG11" s="263">
        <f>AG12</f>
        <v>3007.0169999999998</v>
      </c>
      <c r="AH11" s="263">
        <f>AH12-(AH13-AH14)</f>
        <v>3011.9</v>
      </c>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1009"/>
      <c r="BV11" s="1009"/>
      <c r="BW11" s="1009"/>
      <c r="BX11" s="1009"/>
      <c r="BY11" s="272"/>
      <c r="BZ11" s="272"/>
      <c r="CA11" s="161"/>
      <c r="CB11" s="161"/>
      <c r="CC11" s="161"/>
      <c r="CD11" s="161"/>
      <c r="CE11" s="161"/>
      <c r="CF11" s="161"/>
      <c r="CG11" s="161"/>
      <c r="CH11" s="161"/>
      <c r="CI11" s="161"/>
      <c r="CJ11" s="161"/>
      <c r="CK11" s="161"/>
      <c r="CL11" s="161"/>
      <c r="CM11" s="161"/>
      <c r="CN11" s="161"/>
      <c r="CO11" s="161"/>
      <c r="CP11" s="161"/>
      <c r="CQ11" s="161"/>
      <c r="CR11" s="161"/>
      <c r="CS11" s="161"/>
      <c r="CT11" s="161"/>
      <c r="CU11" s="161"/>
      <c r="CV11" s="161"/>
      <c r="CW11" s="161"/>
      <c r="CX11" s="161"/>
      <c r="CY11" s="161"/>
      <c r="CZ11" s="161"/>
      <c r="DA11" s="161"/>
      <c r="DB11" s="161"/>
      <c r="DC11" s="161"/>
      <c r="DD11" s="161"/>
      <c r="DE11" s="161"/>
      <c r="DF11" s="161"/>
      <c r="DG11" s="161"/>
      <c r="DH11" s="161"/>
      <c r="DI11" s="161"/>
      <c r="DJ11" s="161"/>
      <c r="DK11" s="177"/>
      <c r="DL11" s="177"/>
      <c r="DM11" s="177"/>
      <c r="DN11" s="177"/>
      <c r="DO11" s="177"/>
      <c r="DP11" s="177"/>
      <c r="DQ11" s="177"/>
      <c r="DR11" s="177"/>
      <c r="DS11" s="177"/>
      <c r="DT11" s="177"/>
      <c r="DU11" s="177"/>
      <c r="DV11" s="177"/>
      <c r="DW11" s="177"/>
      <c r="DX11" s="177"/>
      <c r="DY11" s="177"/>
      <c r="DZ11" s="177"/>
      <c r="EA11" s="177"/>
      <c r="EB11" s="808"/>
      <c r="EC11" s="808"/>
      <c r="ED11" s="808"/>
      <c r="EF11" s="161"/>
      <c r="EH11" s="161"/>
      <c r="EM11" s="161"/>
      <c r="EN11" s="161"/>
      <c r="EO11" s="161"/>
      <c r="EP11" s="161"/>
      <c r="FL11" s="263"/>
      <c r="FM11" s="263"/>
      <c r="FN11" s="263"/>
      <c r="FO11" s="433"/>
      <c r="FP11" s="161"/>
      <c r="FQ11" s="161"/>
      <c r="FR11" s="430"/>
      <c r="FS11" s="643"/>
      <c r="FT11" s="639"/>
      <c r="FU11" s="670"/>
      <c r="FV11" s="667"/>
      <c r="FW11" s="670"/>
      <c r="FX11" s="667"/>
      <c r="FY11" s="751"/>
      <c r="FZ11" s="747"/>
      <c r="GA11" s="784"/>
      <c r="GB11" s="784"/>
      <c r="GC11" s="808"/>
      <c r="GD11" s="784"/>
      <c r="GE11" s="808"/>
    </row>
    <row r="12" spans="1:187">
      <c r="A12" s="161"/>
      <c r="B12" s="161" t="s">
        <v>326</v>
      </c>
      <c r="C12" s="775">
        <v>1483</v>
      </c>
      <c r="D12" s="775">
        <v>1491</v>
      </c>
      <c r="E12" s="775">
        <v>1506</v>
      </c>
      <c r="F12" s="775">
        <v>1545</v>
      </c>
      <c r="G12" s="775">
        <v>1593</v>
      </c>
      <c r="H12" s="775">
        <v>1607</v>
      </c>
      <c r="I12" s="775">
        <v>1727.3679999999999</v>
      </c>
      <c r="J12" s="775">
        <v>1746</v>
      </c>
      <c r="K12" s="775">
        <v>1757</v>
      </c>
      <c r="L12" s="775">
        <v>1731</v>
      </c>
      <c r="M12" s="775">
        <v>1770.279</v>
      </c>
      <c r="N12" s="775">
        <v>1864</v>
      </c>
      <c r="O12" s="775">
        <v>1944</v>
      </c>
      <c r="P12" s="775">
        <v>1988</v>
      </c>
      <c r="Q12" s="775">
        <v>2010</v>
      </c>
      <c r="R12" s="775">
        <v>2037</v>
      </c>
      <c r="S12" s="775">
        <v>2100</v>
      </c>
      <c r="T12" s="775">
        <v>2112</v>
      </c>
      <c r="U12" s="775">
        <v>2127</v>
      </c>
      <c r="V12" s="775">
        <v>2134</v>
      </c>
      <c r="W12" s="775">
        <v>2143</v>
      </c>
      <c r="X12" s="775">
        <v>2180.6</v>
      </c>
      <c r="Y12" s="775">
        <v>2249.0459999999998</v>
      </c>
      <c r="Z12" s="775">
        <v>2298.8000000000002</v>
      </c>
      <c r="AA12" s="775">
        <v>2406.0500000000002</v>
      </c>
      <c r="AB12" s="775">
        <v>2490.6999999999998</v>
      </c>
      <c r="AC12" s="775">
        <v>2570</v>
      </c>
      <c r="AD12" s="775">
        <v>2646.5</v>
      </c>
      <c r="AE12" s="775">
        <v>2834.1509999999998</v>
      </c>
      <c r="AF12" s="775">
        <v>2967.4</v>
      </c>
      <c r="AG12" s="775">
        <v>3007.0169999999998</v>
      </c>
      <c r="AH12" s="775">
        <v>3029.9</v>
      </c>
      <c r="AI12" s="775">
        <v>2971.2</v>
      </c>
      <c r="AJ12" s="775">
        <v>2907.9940000000001</v>
      </c>
      <c r="AK12" s="775">
        <v>2923</v>
      </c>
      <c r="AL12" s="775">
        <v>2969.3490000000002</v>
      </c>
      <c r="AM12" s="775">
        <v>3040.2779999999998</v>
      </c>
      <c r="AN12" s="775">
        <v>3101</v>
      </c>
      <c r="AO12" s="775">
        <v>3153.7</v>
      </c>
      <c r="AP12" s="775">
        <v>3179.4</v>
      </c>
      <c r="AQ12" s="775">
        <v>3202.1840000000002</v>
      </c>
      <c r="AR12" s="775">
        <v>3196.8</v>
      </c>
      <c r="AS12" s="775">
        <v>3217.5610000000001</v>
      </c>
      <c r="AT12" s="775">
        <v>3224</v>
      </c>
      <c r="AU12" s="775">
        <v>3224.7979999999998</v>
      </c>
      <c r="AV12" s="775">
        <v>3233.5030000000002</v>
      </c>
      <c r="AW12" s="775">
        <v>3261.4</v>
      </c>
      <c r="AX12" s="775">
        <v>3361.4720000000002</v>
      </c>
      <c r="AY12" s="775">
        <v>3412.6469999999999</v>
      </c>
      <c r="AZ12" s="775">
        <v>3436.2669999999998</v>
      </c>
      <c r="BA12" s="775">
        <v>3458</v>
      </c>
      <c r="BB12" s="775">
        <v>3516.194</v>
      </c>
      <c r="BC12" s="775">
        <f>Fixed!P15</f>
        <v>3539.82</v>
      </c>
      <c r="BD12" s="775">
        <v>3541.998</v>
      </c>
      <c r="BE12" s="775">
        <v>3543.4780000000001</v>
      </c>
      <c r="BF12" s="775">
        <v>3592.1880000000001</v>
      </c>
      <c r="BG12" s="775">
        <v>3675.6149999999998</v>
      </c>
      <c r="BH12" s="775">
        <v>3761.9119999999998</v>
      </c>
      <c r="BI12" s="775">
        <v>3845.8440000000001</v>
      </c>
      <c r="BJ12" s="775">
        <v>3888.886</v>
      </c>
      <c r="BK12" s="775">
        <v>3914.09</v>
      </c>
      <c r="BL12" s="775">
        <v>3928.9389999999999</v>
      </c>
      <c r="BM12" s="775">
        <v>3868.9279999999999</v>
      </c>
      <c r="BN12" s="775">
        <v>3856.636</v>
      </c>
      <c r="BO12" s="775">
        <v>3849.1570000000002</v>
      </c>
      <c r="BP12" s="775">
        <v>3828.2950000000001</v>
      </c>
      <c r="BQ12" s="775">
        <v>3873.42</v>
      </c>
      <c r="BR12" s="775">
        <v>3994.049</v>
      </c>
      <c r="BS12" s="775">
        <v>4029.6190000000001</v>
      </c>
      <c r="BT12" s="775">
        <v>4077.1149999999998</v>
      </c>
      <c r="BU12" s="1009">
        <f>BT12+40</f>
        <v>4117.1149999999998</v>
      </c>
      <c r="BV12" s="1009">
        <f>BU12+40</f>
        <v>4157.1149999999998</v>
      </c>
      <c r="BW12" s="1009">
        <f>BX12</f>
        <v>4181.6190000000006</v>
      </c>
      <c r="BX12" s="1009">
        <f>Fixed!U15</f>
        <v>4181.6190000000006</v>
      </c>
      <c r="BY12" s="273"/>
      <c r="BZ12" s="273"/>
      <c r="CA12" s="264">
        <f t="shared" ref="CA12:DF12" si="15">T12/P12-1</f>
        <v>6.2374245472837098E-2</v>
      </c>
      <c r="CB12" s="264">
        <f t="shared" si="15"/>
        <v>5.8208955223880698E-2</v>
      </c>
      <c r="CC12" s="264">
        <f t="shared" si="15"/>
        <v>4.7619047619047672E-2</v>
      </c>
      <c r="CD12" s="264">
        <f t="shared" si="15"/>
        <v>2.0476190476190537E-2</v>
      </c>
      <c r="CE12" s="264">
        <f t="shared" si="15"/>
        <v>3.2481060606060597E-2</v>
      </c>
      <c r="CF12" s="264">
        <f t="shared" si="15"/>
        <v>5.7379407616360956E-2</v>
      </c>
      <c r="CG12" s="264">
        <f t="shared" si="15"/>
        <v>7.7225866916588615E-2</v>
      </c>
      <c r="CH12" s="264">
        <f t="shared" si="15"/>
        <v>0.12274848343443789</v>
      </c>
      <c r="CI12" s="264">
        <f t="shared" si="15"/>
        <v>0.14220856644960089</v>
      </c>
      <c r="CJ12" s="264">
        <f t="shared" si="15"/>
        <v>0.14270672987568966</v>
      </c>
      <c r="CK12" s="264">
        <f t="shared" si="15"/>
        <v>0.15125282756220626</v>
      </c>
      <c r="CL12" s="264">
        <f t="shared" si="15"/>
        <v>0.1779268926248414</v>
      </c>
      <c r="CM12" s="264">
        <f t="shared" si="15"/>
        <v>0.19139197815875075</v>
      </c>
      <c r="CN12" s="264">
        <f t="shared" si="15"/>
        <v>0.1700455252918287</v>
      </c>
      <c r="CO12" s="264">
        <f t="shared" si="15"/>
        <v>0.14487058378991113</v>
      </c>
      <c r="CP12" s="264">
        <f t="shared" si="15"/>
        <v>4.835628024053773E-2</v>
      </c>
      <c r="CQ12" s="264">
        <f t="shared" si="15"/>
        <v>-2.0019545730268873E-2</v>
      </c>
      <c r="CR12" s="264">
        <f t="shared" si="15"/>
        <v>-2.7940314271585387E-2</v>
      </c>
      <c r="CS12" s="264">
        <f t="shared" si="15"/>
        <v>-1.9984487936895556E-2</v>
      </c>
      <c r="CT12" s="264">
        <f t="shared" si="15"/>
        <v>2.3249192245557326E-2</v>
      </c>
      <c r="CU12" s="264">
        <f t="shared" si="15"/>
        <v>6.6370838454274717E-2</v>
      </c>
      <c r="CV12" s="264">
        <f t="shared" si="15"/>
        <v>7.8925761204242217E-2</v>
      </c>
      <c r="CW12" s="264">
        <f t="shared" si="15"/>
        <v>7.0739748005370862E-2</v>
      </c>
      <c r="CX12" s="264">
        <f t="shared" si="15"/>
        <v>5.3253682722435469E-2</v>
      </c>
      <c r="CY12" s="264">
        <f t="shared" si="15"/>
        <v>3.0893260238632703E-2</v>
      </c>
      <c r="CZ12" s="264">
        <f t="shared" si="15"/>
        <v>2.0249548149792407E-2</v>
      </c>
      <c r="DA12" s="264">
        <f t="shared" si="15"/>
        <v>1.4027803988173826E-2</v>
      </c>
      <c r="DB12" s="264">
        <f t="shared" si="15"/>
        <v>7.0620551473616899E-3</v>
      </c>
      <c r="DC12" s="264">
        <f t="shared" si="15"/>
        <v>1.1481168668668662E-2</v>
      </c>
      <c r="DD12" s="264">
        <f t="shared" si="15"/>
        <v>1.362491651284925E-2</v>
      </c>
      <c r="DE12" s="264">
        <f t="shared" si="15"/>
        <v>4.2640198511166405E-2</v>
      </c>
      <c r="DF12" s="264">
        <f t="shared" si="15"/>
        <v>5.8251400552840948E-2</v>
      </c>
      <c r="DG12" s="264">
        <f t="shared" ref="DG12:EA12" si="16">AZ12/AV12-1</f>
        <v>6.2707224950773188E-2</v>
      </c>
      <c r="DH12" s="264">
        <f t="shared" si="16"/>
        <v>6.0280860979947226E-2</v>
      </c>
      <c r="DI12" s="264">
        <f t="shared" si="16"/>
        <v>4.6028049616358535E-2</v>
      </c>
      <c r="DJ12" s="264">
        <f t="shared" si="16"/>
        <v>3.7265207916318488E-2</v>
      </c>
      <c r="DK12" s="467">
        <f t="shared" si="16"/>
        <v>3.0769145703753553E-2</v>
      </c>
      <c r="DL12" s="467">
        <f t="shared" si="16"/>
        <v>2.4718912666281012E-2</v>
      </c>
      <c r="DM12" s="467">
        <f t="shared" si="16"/>
        <v>2.1612573140162405E-2</v>
      </c>
      <c r="DN12" s="467">
        <f t="shared" si="16"/>
        <v>3.8362120107801934E-2</v>
      </c>
      <c r="DO12" s="467">
        <f t="shared" si="16"/>
        <v>6.2087556232386376E-2</v>
      </c>
      <c r="DP12" s="467">
        <f t="shared" si="16"/>
        <v>8.5330288490573336E-2</v>
      </c>
      <c r="DQ12" s="467">
        <f t="shared" si="16"/>
        <v>8.259534300543292E-2</v>
      </c>
      <c r="DR12" s="467">
        <f t="shared" si="16"/>
        <v>6.4880298943170267E-2</v>
      </c>
      <c r="DS12" s="467">
        <f t="shared" si="16"/>
        <v>4.439949685160105E-2</v>
      </c>
      <c r="DT12" s="467">
        <f t="shared" si="16"/>
        <v>6.0023235471848846E-3</v>
      </c>
      <c r="DU12" s="467">
        <f t="shared" si="16"/>
        <v>-8.2928633032698373E-3</v>
      </c>
      <c r="DV12" s="467">
        <f t="shared" si="16"/>
        <v>-1.658955210534252E-2</v>
      </c>
      <c r="DW12" s="467">
        <f t="shared" si="16"/>
        <v>-2.5616075994053356E-2</v>
      </c>
      <c r="DX12" s="467">
        <f t="shared" si="16"/>
        <v>1.1610451267121125E-3</v>
      </c>
      <c r="DY12" s="467">
        <f t="shared" si="16"/>
        <v>3.5630274674612883E-2</v>
      </c>
      <c r="DZ12" s="467">
        <f t="shared" si="16"/>
        <v>4.6883512415835549E-2</v>
      </c>
      <c r="EA12" s="467">
        <f t="shared" si="16"/>
        <v>6.4994991242837807E-2</v>
      </c>
      <c r="EB12" s="809">
        <f t="shared" ref="EB12" si="17">BU12/BQ12-1</f>
        <v>6.2914685213583788E-2</v>
      </c>
      <c r="EC12" s="809">
        <f t="shared" ref="EC12" si="18">BV12/BR12-1</f>
        <v>4.0827240727392189E-2</v>
      </c>
      <c r="ED12" s="809">
        <f t="shared" ref="ED12" si="19">BW12/BS12-1</f>
        <v>3.7720687737476055E-2</v>
      </c>
      <c r="EF12" s="161"/>
      <c r="EH12" s="161"/>
      <c r="EM12" s="161"/>
      <c r="EN12" s="161"/>
      <c r="EO12" s="161"/>
      <c r="EP12" s="161"/>
      <c r="FL12" s="263">
        <v>3725.6149999999998</v>
      </c>
      <c r="FM12" s="263">
        <v>3831.9119999999998</v>
      </c>
      <c r="FN12" s="263">
        <v>3920.8440000000001</v>
      </c>
      <c r="FO12" s="433">
        <v>3940.6149999999998</v>
      </c>
      <c r="FP12" s="264">
        <v>8.1398558139771149E-2</v>
      </c>
      <c r="FQ12" s="264">
        <v>9.1491870692736565E-2</v>
      </c>
      <c r="FR12" s="432">
        <v>7.2096778362260361E-2</v>
      </c>
      <c r="FS12" s="644">
        <v>3978.9389999999999</v>
      </c>
      <c r="FT12" s="641">
        <v>3.4607487979231522E-2</v>
      </c>
      <c r="FU12" s="671">
        <v>3890</v>
      </c>
      <c r="FV12" s="668">
        <v>2.8645735565402397E-4</v>
      </c>
      <c r="FW12" s="670">
        <v>3854.09</v>
      </c>
      <c r="FX12" s="668">
        <v>-1.532923361496541E-2</v>
      </c>
      <c r="FY12" s="750">
        <v>3859.1570000000002</v>
      </c>
      <c r="FZ12" s="749">
        <v>-1.7761029122620564E-2</v>
      </c>
      <c r="GA12" s="783">
        <v>3818.2950000000001</v>
      </c>
      <c r="GB12" s="783">
        <v>3863.42</v>
      </c>
      <c r="GC12" s="809">
        <v>1.7590459664849067E-3</v>
      </c>
      <c r="GD12" s="784">
        <v>4049.1570000000002</v>
      </c>
      <c r="GE12" s="809">
        <v>5.1959429038618055E-2</v>
      </c>
    </row>
    <row r="13" spans="1:187">
      <c r="A13" s="161"/>
      <c r="B13" s="161" t="s">
        <v>42</v>
      </c>
      <c r="C13" s="161"/>
      <c r="D13" s="263">
        <f t="shared" ref="D13:AI13" si="20">D12-C12</f>
        <v>8</v>
      </c>
      <c r="E13" s="263">
        <f t="shared" si="20"/>
        <v>15</v>
      </c>
      <c r="F13" s="263">
        <f t="shared" si="20"/>
        <v>39</v>
      </c>
      <c r="G13" s="263">
        <f t="shared" si="20"/>
        <v>48</v>
      </c>
      <c r="H13" s="263">
        <f t="shared" si="20"/>
        <v>14</v>
      </c>
      <c r="I13" s="263">
        <f t="shared" si="20"/>
        <v>120.36799999999994</v>
      </c>
      <c r="J13" s="263">
        <f t="shared" si="20"/>
        <v>18.632000000000062</v>
      </c>
      <c r="K13" s="263">
        <f t="shared" si="20"/>
        <v>11</v>
      </c>
      <c r="L13" s="263">
        <f t="shared" si="20"/>
        <v>-26</v>
      </c>
      <c r="M13" s="263">
        <f t="shared" si="20"/>
        <v>39.278999999999996</v>
      </c>
      <c r="N13" s="263">
        <f t="shared" si="20"/>
        <v>93.721000000000004</v>
      </c>
      <c r="O13" s="263">
        <f t="shared" si="20"/>
        <v>80</v>
      </c>
      <c r="P13" s="263">
        <f t="shared" si="20"/>
        <v>44</v>
      </c>
      <c r="Q13" s="263">
        <f t="shared" si="20"/>
        <v>22</v>
      </c>
      <c r="R13" s="263">
        <f t="shared" si="20"/>
        <v>27</v>
      </c>
      <c r="S13" s="263">
        <f t="shared" si="20"/>
        <v>63</v>
      </c>
      <c r="T13" s="263">
        <f t="shared" si="20"/>
        <v>12</v>
      </c>
      <c r="U13" s="263">
        <f t="shared" si="20"/>
        <v>15</v>
      </c>
      <c r="V13" s="263">
        <f t="shared" si="20"/>
        <v>7</v>
      </c>
      <c r="W13" s="263">
        <f t="shared" si="20"/>
        <v>9</v>
      </c>
      <c r="X13" s="263">
        <f t="shared" si="20"/>
        <v>37.599999999999909</v>
      </c>
      <c r="Y13" s="263">
        <f t="shared" si="20"/>
        <v>68.445999999999913</v>
      </c>
      <c r="Z13" s="263">
        <f t="shared" si="20"/>
        <v>49.75400000000036</v>
      </c>
      <c r="AA13" s="263">
        <f t="shared" si="20"/>
        <v>107.25</v>
      </c>
      <c r="AB13" s="263">
        <f t="shared" si="20"/>
        <v>84.649999999999636</v>
      </c>
      <c r="AC13" s="263">
        <f t="shared" si="20"/>
        <v>79.300000000000182</v>
      </c>
      <c r="AD13" s="263">
        <f t="shared" si="20"/>
        <v>76.5</v>
      </c>
      <c r="AE13" s="263">
        <f t="shared" si="20"/>
        <v>187.65099999999984</v>
      </c>
      <c r="AF13" s="263">
        <f t="shared" si="20"/>
        <v>133.24900000000025</v>
      </c>
      <c r="AG13" s="263">
        <f t="shared" si="20"/>
        <v>39.616999999999734</v>
      </c>
      <c r="AH13" s="263">
        <f t="shared" si="20"/>
        <v>22.883000000000266</v>
      </c>
      <c r="AI13" s="263">
        <f t="shared" si="20"/>
        <v>-58.700000000000273</v>
      </c>
      <c r="AJ13" s="263">
        <f t="shared" ref="AJ13:BJ13" si="21">AJ12-AI12</f>
        <v>-63.205999999999676</v>
      </c>
      <c r="AK13" s="263">
        <f t="shared" si="21"/>
        <v>15.005999999999858</v>
      </c>
      <c r="AL13" s="263">
        <f t="shared" si="21"/>
        <v>46.34900000000016</v>
      </c>
      <c r="AM13" s="263">
        <f t="shared" si="21"/>
        <v>70.928999999999633</v>
      </c>
      <c r="AN13" s="263">
        <f t="shared" si="21"/>
        <v>60.722000000000207</v>
      </c>
      <c r="AO13" s="263">
        <f t="shared" si="21"/>
        <v>52.699999999999818</v>
      </c>
      <c r="AP13" s="263">
        <f t="shared" si="21"/>
        <v>25.700000000000273</v>
      </c>
      <c r="AQ13" s="263">
        <f t="shared" si="21"/>
        <v>22.784000000000106</v>
      </c>
      <c r="AR13" s="263">
        <f t="shared" si="21"/>
        <v>-5.3840000000000146</v>
      </c>
      <c r="AS13" s="263">
        <f t="shared" si="21"/>
        <v>20.760999999999967</v>
      </c>
      <c r="AT13" s="263">
        <f t="shared" si="21"/>
        <v>6.4389999999998508</v>
      </c>
      <c r="AU13" s="263">
        <f t="shared" si="21"/>
        <v>0.79799999999977445</v>
      </c>
      <c r="AV13" s="263">
        <f t="shared" si="21"/>
        <v>8.705000000000382</v>
      </c>
      <c r="AW13" s="263">
        <f t="shared" si="21"/>
        <v>27.896999999999935</v>
      </c>
      <c r="AX13" s="263">
        <f t="shared" si="21"/>
        <v>100.07200000000012</v>
      </c>
      <c r="AY13" s="263">
        <f t="shared" si="21"/>
        <v>51.174999999999727</v>
      </c>
      <c r="AZ13" s="263">
        <f t="shared" si="21"/>
        <v>23.619999999999891</v>
      </c>
      <c r="BA13" s="263">
        <f t="shared" si="21"/>
        <v>21.733000000000175</v>
      </c>
      <c r="BB13" s="263">
        <f t="shared" si="21"/>
        <v>58.19399999999996</v>
      </c>
      <c r="BC13" s="263">
        <f t="shared" si="21"/>
        <v>23.626000000000204</v>
      </c>
      <c r="BD13" s="263">
        <f t="shared" si="21"/>
        <v>2.1779999999998836</v>
      </c>
      <c r="BE13" s="263">
        <f t="shared" si="21"/>
        <v>1.4800000000000182</v>
      </c>
      <c r="BF13" s="263">
        <f t="shared" si="21"/>
        <v>48.710000000000036</v>
      </c>
      <c r="BG13" s="263">
        <f t="shared" si="21"/>
        <v>83.42699999999968</v>
      </c>
      <c r="BH13" s="263">
        <f t="shared" si="21"/>
        <v>86.297000000000025</v>
      </c>
      <c r="BI13" s="263">
        <f t="shared" si="21"/>
        <v>83.932000000000244</v>
      </c>
      <c r="BJ13" s="263">
        <f t="shared" si="21"/>
        <v>43.041999999999916</v>
      </c>
      <c r="BK13" s="263">
        <f t="shared" ref="BK13:BP13" si="22">BK12-BJ12</f>
        <v>25.204000000000178</v>
      </c>
      <c r="BL13" s="263">
        <f t="shared" si="22"/>
        <v>14.848999999999705</v>
      </c>
      <c r="BM13" s="263">
        <f t="shared" si="22"/>
        <v>-60.010999999999967</v>
      </c>
      <c r="BN13" s="263">
        <f t="shared" si="22"/>
        <v>-12.291999999999916</v>
      </c>
      <c r="BO13" s="263">
        <f t="shared" si="22"/>
        <v>-7.4789999999998145</v>
      </c>
      <c r="BP13" s="263">
        <f t="shared" si="22"/>
        <v>-20.86200000000008</v>
      </c>
      <c r="BQ13" s="263">
        <f t="shared" ref="BQ13:BW13" si="23">BQ12-BP12</f>
        <v>45.125</v>
      </c>
      <c r="BR13" s="263">
        <f t="shared" si="23"/>
        <v>120.62899999999991</v>
      </c>
      <c r="BS13" s="263">
        <f t="shared" si="23"/>
        <v>35.570000000000164</v>
      </c>
      <c r="BT13" s="263">
        <f t="shared" si="23"/>
        <v>47.49599999999964</v>
      </c>
      <c r="BU13" s="1009">
        <f t="shared" si="23"/>
        <v>40</v>
      </c>
      <c r="BV13" s="1009">
        <f t="shared" si="23"/>
        <v>40</v>
      </c>
      <c r="BW13" s="1009">
        <f t="shared" si="23"/>
        <v>24.504000000000815</v>
      </c>
      <c r="BX13" s="1009">
        <f>BX12-BS12</f>
        <v>152.00000000000045</v>
      </c>
      <c r="BY13" s="273"/>
      <c r="BZ13" s="273"/>
      <c r="CA13" s="161"/>
      <c r="CB13" s="161"/>
      <c r="CC13" s="161"/>
      <c r="CD13" s="161"/>
      <c r="CE13" s="161"/>
      <c r="CF13" s="161"/>
      <c r="CG13" s="161"/>
      <c r="CH13" s="161"/>
      <c r="CI13" s="263">
        <f>BY13-AJ13</f>
        <v>63.205999999999676</v>
      </c>
      <c r="CJ13" s="161"/>
      <c r="CK13" s="161"/>
      <c r="CL13" s="161"/>
      <c r="CM13" s="161"/>
      <c r="CN13" s="161"/>
      <c r="CO13" s="161"/>
      <c r="CP13" s="161"/>
      <c r="CQ13" s="161"/>
      <c r="CR13" s="161"/>
      <c r="CS13" s="161"/>
      <c r="CT13" s="161"/>
      <c r="CU13" s="161"/>
      <c r="CV13" s="161"/>
      <c r="CW13" s="161"/>
      <c r="CX13" s="161"/>
      <c r="CY13" s="161"/>
      <c r="CZ13" s="161"/>
      <c r="DA13" s="161"/>
      <c r="DB13" s="161"/>
      <c r="DC13" s="161"/>
      <c r="DD13" s="161"/>
      <c r="DE13" s="161"/>
      <c r="DF13" s="161"/>
      <c r="DG13" s="161"/>
      <c r="DH13" s="161"/>
      <c r="DI13" s="161"/>
      <c r="DJ13" s="161"/>
      <c r="DK13" s="177"/>
      <c r="DL13" s="177"/>
      <c r="DM13" s="177"/>
      <c r="DN13" s="177"/>
      <c r="DO13" s="177"/>
      <c r="DP13" s="177"/>
      <c r="DQ13" s="177"/>
      <c r="DR13" s="177"/>
      <c r="DS13" s="177"/>
      <c r="DT13" s="177"/>
      <c r="DU13" s="177"/>
      <c r="DV13" s="177"/>
      <c r="DW13" s="177"/>
      <c r="DX13" s="177"/>
      <c r="DY13" s="177"/>
      <c r="DZ13" s="177"/>
      <c r="EA13" s="177"/>
      <c r="EB13" s="808"/>
      <c r="EC13" s="808"/>
      <c r="ED13" s="808"/>
      <c r="EF13" s="161"/>
      <c r="EH13" s="161"/>
      <c r="EM13" s="161"/>
      <c r="EN13" s="161"/>
      <c r="EO13" s="161"/>
      <c r="EP13" s="161"/>
      <c r="FL13" s="271">
        <v>50</v>
      </c>
      <c r="FM13" s="271">
        <v>70</v>
      </c>
      <c r="FN13" s="271">
        <v>75</v>
      </c>
      <c r="FO13" s="433">
        <v>51.728999999999814</v>
      </c>
      <c r="FP13" s="161"/>
      <c r="FQ13" s="161"/>
      <c r="FR13" s="430"/>
      <c r="FS13" s="643">
        <v>50</v>
      </c>
      <c r="FT13" s="639"/>
      <c r="FU13" s="670">
        <v>21.072000000000116</v>
      </c>
      <c r="FV13" s="667"/>
      <c r="FW13" s="670">
        <v>-2.5459999999998217</v>
      </c>
      <c r="FX13" s="667"/>
      <c r="FY13" s="751">
        <v>10</v>
      </c>
      <c r="FZ13" s="747"/>
      <c r="GA13" s="784">
        <v>-10</v>
      </c>
      <c r="GB13" s="784">
        <v>-10</v>
      </c>
      <c r="GC13" s="808"/>
      <c r="GD13" s="784">
        <v>55.108000000000175</v>
      </c>
      <c r="GE13" s="808"/>
    </row>
    <row r="14" spans="1:187" hidden="1" outlineLevel="1">
      <c r="A14" s="161"/>
      <c r="B14" s="274" t="s">
        <v>438</v>
      </c>
      <c r="C14" s="161"/>
      <c r="D14" s="161"/>
      <c r="E14" s="161"/>
      <c r="F14" s="161"/>
      <c r="G14" s="161"/>
      <c r="H14" s="161"/>
      <c r="I14" s="263"/>
      <c r="J14" s="263"/>
      <c r="K14" s="263"/>
      <c r="L14" s="775">
        <v>590</v>
      </c>
      <c r="M14" s="775">
        <v>738</v>
      </c>
      <c r="N14" s="775">
        <v>834</v>
      </c>
      <c r="O14" s="775">
        <v>976</v>
      </c>
      <c r="P14" s="775">
        <v>1048</v>
      </c>
      <c r="Q14" s="775">
        <v>1069</v>
      </c>
      <c r="R14" s="775">
        <v>1093</v>
      </c>
      <c r="S14" s="775">
        <v>1171</v>
      </c>
      <c r="T14" s="775">
        <v>1211</v>
      </c>
      <c r="U14" s="775">
        <v>1217</v>
      </c>
      <c r="V14" s="775">
        <v>1251</v>
      </c>
      <c r="W14" s="775">
        <v>1324</v>
      </c>
      <c r="X14" s="775">
        <v>1358</v>
      </c>
      <c r="Y14" s="775">
        <v>1432</v>
      </c>
      <c r="Z14" s="775">
        <f>V14+270</f>
        <v>1521</v>
      </c>
      <c r="AA14" s="263"/>
      <c r="AB14" s="161"/>
      <c r="AC14" s="161"/>
      <c r="AD14" s="161"/>
      <c r="AE14" s="161"/>
      <c r="AF14" s="161"/>
      <c r="AG14" s="161"/>
      <c r="AH14" s="775">
        <f>AH13-18</f>
        <v>4.8830000000002656</v>
      </c>
      <c r="AI14" s="263"/>
      <c r="AJ14" s="263"/>
      <c r="AK14" s="264"/>
      <c r="AL14" s="264"/>
      <c r="AM14" s="264"/>
      <c r="AN14" s="264"/>
      <c r="AO14" s="264"/>
      <c r="AP14" s="264"/>
      <c r="AQ14" s="264"/>
      <c r="AR14" s="264"/>
      <c r="AS14" s="775">
        <f>AS13-20</f>
        <v>0.76099999999996726</v>
      </c>
      <c r="AT14" s="263"/>
      <c r="AU14" s="263"/>
      <c r="AV14" s="263"/>
      <c r="AW14" s="263"/>
      <c r="AX14" s="263"/>
      <c r="AY14" s="263"/>
      <c r="AZ14" s="263"/>
      <c r="BA14" s="263"/>
      <c r="BB14" s="263"/>
      <c r="BC14" s="264"/>
      <c r="BD14" s="264"/>
      <c r="BE14" s="264"/>
      <c r="BF14" s="264"/>
      <c r="BG14" s="264"/>
      <c r="BH14" s="264"/>
      <c r="BI14" s="264"/>
      <c r="BJ14" s="264"/>
      <c r="BK14" s="263"/>
      <c r="BL14" s="263"/>
      <c r="BM14" s="263"/>
      <c r="BN14" s="263"/>
      <c r="BO14" s="263"/>
      <c r="BP14" s="263"/>
      <c r="BQ14" s="263"/>
      <c r="BR14" s="263"/>
      <c r="BS14" s="263"/>
      <c r="BT14" s="263"/>
      <c r="BU14" s="784"/>
      <c r="BV14" s="784"/>
      <c r="BW14" s="784"/>
      <c r="BX14" s="784"/>
      <c r="BY14" s="273"/>
      <c r="BZ14" s="273"/>
      <c r="CA14" s="161"/>
      <c r="CB14" s="161"/>
      <c r="CC14" s="161"/>
      <c r="CD14" s="161"/>
      <c r="CE14" s="161"/>
      <c r="CF14" s="161"/>
      <c r="CG14" s="161"/>
      <c r="CH14" s="161"/>
      <c r="CI14" s="161"/>
      <c r="CJ14" s="161"/>
      <c r="CK14" s="161"/>
      <c r="CL14" s="161"/>
      <c r="CM14" s="161"/>
      <c r="CN14" s="161"/>
      <c r="CO14" s="161"/>
      <c r="CP14" s="161"/>
      <c r="CQ14" s="161"/>
      <c r="CR14" s="161"/>
      <c r="CS14" s="161"/>
      <c r="CT14" s="161"/>
      <c r="CU14" s="161"/>
      <c r="CV14" s="161"/>
      <c r="CW14" s="161"/>
      <c r="CX14" s="161"/>
      <c r="CY14" s="161"/>
      <c r="CZ14" s="161"/>
      <c r="DA14" s="161"/>
      <c r="DB14" s="161"/>
      <c r="DC14" s="161"/>
      <c r="DD14" s="161"/>
      <c r="DE14" s="161"/>
      <c r="DF14" s="161"/>
      <c r="DG14" s="161"/>
      <c r="DH14" s="161"/>
      <c r="DI14" s="161"/>
      <c r="DJ14" s="161"/>
      <c r="DK14" s="177"/>
      <c r="DL14" s="177"/>
      <c r="DM14" s="177"/>
      <c r="DN14" s="177"/>
      <c r="DO14" s="177"/>
      <c r="DP14" s="177"/>
      <c r="DQ14" s="177"/>
      <c r="DR14" s="177"/>
      <c r="DS14" s="177"/>
      <c r="DT14" s="177"/>
      <c r="DU14" s="177"/>
      <c r="DV14" s="177"/>
      <c r="DW14" s="177"/>
      <c r="DX14" s="177"/>
      <c r="DY14" s="177"/>
      <c r="DZ14" s="177"/>
      <c r="EA14" s="177"/>
      <c r="EB14" s="808"/>
      <c r="EC14" s="808"/>
      <c r="ED14" s="808"/>
      <c r="EF14" s="161"/>
      <c r="EH14" s="161"/>
      <c r="EM14" s="161"/>
      <c r="EN14" s="161"/>
      <c r="EO14" s="161"/>
      <c r="EP14" s="161"/>
      <c r="FL14" s="264"/>
      <c r="FM14" s="264"/>
      <c r="FN14" s="264"/>
      <c r="FO14" s="433"/>
      <c r="FP14" s="161"/>
      <c r="FQ14" s="161"/>
      <c r="FR14" s="430"/>
      <c r="FS14" s="643"/>
      <c r="FT14" s="639"/>
      <c r="FU14" s="670"/>
      <c r="FV14" s="667"/>
      <c r="FW14" s="670"/>
      <c r="FX14" s="667"/>
      <c r="FY14" s="751"/>
      <c r="FZ14" s="747"/>
      <c r="GA14" s="784"/>
      <c r="GB14" s="784"/>
      <c r="GC14" s="808"/>
      <c r="GD14" s="784"/>
      <c r="GE14" s="808"/>
    </row>
    <row r="15" spans="1:187" collapsed="1">
      <c r="A15" s="161"/>
      <c r="B15" s="161" t="s">
        <v>439</v>
      </c>
      <c r="C15" s="161"/>
      <c r="D15" s="263"/>
      <c r="E15" s="263"/>
      <c r="F15" s="263"/>
      <c r="G15" s="264">
        <f t="shared" ref="G15:AL15" si="24">G12/C12-1</f>
        <v>7.417397167902906E-2</v>
      </c>
      <c r="H15" s="264">
        <f t="shared" si="24"/>
        <v>7.7800134138162225E-2</v>
      </c>
      <c r="I15" s="264">
        <f t="shared" si="24"/>
        <v>0.14699070385126167</v>
      </c>
      <c r="J15" s="264">
        <f t="shared" si="24"/>
        <v>0.13009708737864067</v>
      </c>
      <c r="K15" s="264">
        <f t="shared" si="24"/>
        <v>0.10295040803515376</v>
      </c>
      <c r="L15" s="264">
        <f t="shared" si="24"/>
        <v>7.71624144368388E-2</v>
      </c>
      <c r="M15" s="264">
        <f t="shared" si="24"/>
        <v>2.4841840302703311E-2</v>
      </c>
      <c r="N15" s="264">
        <f t="shared" si="24"/>
        <v>6.7583046964490245E-2</v>
      </c>
      <c r="O15" s="264">
        <f t="shared" si="24"/>
        <v>0.10643141718838933</v>
      </c>
      <c r="P15" s="264">
        <f t="shared" si="24"/>
        <v>0.14846909300982092</v>
      </c>
      <c r="Q15" s="264">
        <f t="shared" si="24"/>
        <v>0.13541424826256199</v>
      </c>
      <c r="R15" s="264">
        <f t="shared" si="24"/>
        <v>9.2811158798283167E-2</v>
      </c>
      <c r="S15" s="264">
        <f t="shared" si="24"/>
        <v>8.0246913580246826E-2</v>
      </c>
      <c r="T15" s="264">
        <f t="shared" si="24"/>
        <v>6.2374245472837098E-2</v>
      </c>
      <c r="U15" s="264">
        <f t="shared" si="24"/>
        <v>5.8208955223880698E-2</v>
      </c>
      <c r="V15" s="264">
        <f t="shared" si="24"/>
        <v>4.7619047619047672E-2</v>
      </c>
      <c r="W15" s="264">
        <f t="shared" si="24"/>
        <v>2.0476190476190537E-2</v>
      </c>
      <c r="X15" s="264">
        <f t="shared" si="24"/>
        <v>3.2481060606060597E-2</v>
      </c>
      <c r="Y15" s="264">
        <f t="shared" si="24"/>
        <v>5.7379407616360956E-2</v>
      </c>
      <c r="Z15" s="264">
        <f t="shared" si="24"/>
        <v>7.7225866916588615E-2</v>
      </c>
      <c r="AA15" s="264">
        <f t="shared" si="24"/>
        <v>0.12274848343443789</v>
      </c>
      <c r="AB15" s="264">
        <f t="shared" si="24"/>
        <v>0.14220856644960089</v>
      </c>
      <c r="AC15" s="264">
        <f t="shared" si="24"/>
        <v>0.14270672987568966</v>
      </c>
      <c r="AD15" s="264">
        <f t="shared" si="24"/>
        <v>0.15125282756220626</v>
      </c>
      <c r="AE15" s="264">
        <f t="shared" si="24"/>
        <v>0.1779268926248414</v>
      </c>
      <c r="AF15" s="264">
        <f t="shared" si="24"/>
        <v>0.19139197815875075</v>
      </c>
      <c r="AG15" s="264">
        <f t="shared" si="24"/>
        <v>0.1700455252918287</v>
      </c>
      <c r="AH15" s="264">
        <f t="shared" si="24"/>
        <v>0.14487058378991113</v>
      </c>
      <c r="AI15" s="264">
        <f t="shared" si="24"/>
        <v>4.835628024053773E-2</v>
      </c>
      <c r="AJ15" s="264">
        <f t="shared" si="24"/>
        <v>-2.0019545730268873E-2</v>
      </c>
      <c r="AK15" s="264">
        <f t="shared" si="24"/>
        <v>-2.7940314271585387E-2</v>
      </c>
      <c r="AL15" s="264">
        <f t="shared" si="24"/>
        <v>-1.9984487936895556E-2</v>
      </c>
      <c r="AM15" s="264">
        <f t="shared" ref="AM15:BN15" si="25">AM12/AI12-1</f>
        <v>2.3249192245557326E-2</v>
      </c>
      <c r="AN15" s="264">
        <f t="shared" si="25"/>
        <v>6.6370838454274717E-2</v>
      </c>
      <c r="AO15" s="264">
        <f t="shared" si="25"/>
        <v>7.8925761204242217E-2</v>
      </c>
      <c r="AP15" s="264">
        <f t="shared" si="25"/>
        <v>7.0739748005370862E-2</v>
      </c>
      <c r="AQ15" s="264">
        <f t="shared" si="25"/>
        <v>5.3253682722435469E-2</v>
      </c>
      <c r="AR15" s="264">
        <f t="shared" si="25"/>
        <v>3.0893260238632703E-2</v>
      </c>
      <c r="AS15" s="264">
        <f t="shared" si="25"/>
        <v>2.0249548149792407E-2</v>
      </c>
      <c r="AT15" s="264">
        <f t="shared" si="25"/>
        <v>1.4027803988173826E-2</v>
      </c>
      <c r="AU15" s="264">
        <f t="shared" si="25"/>
        <v>7.0620551473616899E-3</v>
      </c>
      <c r="AV15" s="264">
        <f t="shared" si="25"/>
        <v>1.1481168668668662E-2</v>
      </c>
      <c r="AW15" s="264">
        <f t="shared" si="25"/>
        <v>1.362491651284925E-2</v>
      </c>
      <c r="AX15" s="264">
        <f t="shared" si="25"/>
        <v>4.2640198511166405E-2</v>
      </c>
      <c r="AY15" s="264">
        <f t="shared" si="25"/>
        <v>5.8251400552840948E-2</v>
      </c>
      <c r="AZ15" s="264">
        <f t="shared" si="25"/>
        <v>6.2707224950773188E-2</v>
      </c>
      <c r="BA15" s="264">
        <f t="shared" si="25"/>
        <v>6.0280860979947226E-2</v>
      </c>
      <c r="BB15" s="264">
        <f t="shared" si="25"/>
        <v>4.6028049616358535E-2</v>
      </c>
      <c r="BC15" s="264">
        <f t="shared" si="25"/>
        <v>3.7265207916318488E-2</v>
      </c>
      <c r="BD15" s="264">
        <f t="shared" si="25"/>
        <v>3.0769145703753553E-2</v>
      </c>
      <c r="BE15" s="264">
        <f t="shared" si="25"/>
        <v>2.4718912666281012E-2</v>
      </c>
      <c r="BF15" s="264">
        <f t="shared" si="25"/>
        <v>2.1612573140162405E-2</v>
      </c>
      <c r="BG15" s="264">
        <f t="shared" si="25"/>
        <v>3.8362120107801934E-2</v>
      </c>
      <c r="BH15" s="264">
        <f t="shared" si="25"/>
        <v>6.2087556232386376E-2</v>
      </c>
      <c r="BI15" s="264">
        <f t="shared" si="25"/>
        <v>8.5330288490573336E-2</v>
      </c>
      <c r="BJ15" s="264">
        <f t="shared" si="25"/>
        <v>8.259534300543292E-2</v>
      </c>
      <c r="BK15" s="264">
        <f t="shared" si="25"/>
        <v>6.4880298943170267E-2</v>
      </c>
      <c r="BL15" s="264">
        <f t="shared" si="25"/>
        <v>4.439949685160105E-2</v>
      </c>
      <c r="BM15" s="264">
        <f t="shared" si="25"/>
        <v>6.0023235471848846E-3</v>
      </c>
      <c r="BN15" s="264">
        <f t="shared" si="25"/>
        <v>-8.2928633032698373E-3</v>
      </c>
      <c r="BO15" s="264">
        <f t="shared" ref="BO15:BT15" si="26">BO12/BK12-1</f>
        <v>-1.658955210534252E-2</v>
      </c>
      <c r="BP15" s="264">
        <f t="shared" si="26"/>
        <v>-2.5616075994053356E-2</v>
      </c>
      <c r="BQ15" s="264">
        <f t="shared" si="26"/>
        <v>1.1610451267121125E-3</v>
      </c>
      <c r="BR15" s="264">
        <f t="shared" si="26"/>
        <v>3.5630274674612883E-2</v>
      </c>
      <c r="BS15" s="264">
        <f t="shared" si="26"/>
        <v>4.6883512415835549E-2</v>
      </c>
      <c r="BT15" s="264">
        <f t="shared" si="26"/>
        <v>6.4994991242837807E-2</v>
      </c>
      <c r="BU15" s="782">
        <f>BU12/BQ12-1</f>
        <v>6.2914685213583788E-2</v>
      </c>
      <c r="BV15" s="782">
        <f>BV12/BR12-1</f>
        <v>4.0827240727392189E-2</v>
      </c>
      <c r="BW15" s="782">
        <f>BW12/BS12-1</f>
        <v>3.7720687737476055E-2</v>
      </c>
      <c r="BX15" s="782">
        <f>BX12/BS12-1</f>
        <v>3.7720687737476055E-2</v>
      </c>
      <c r="BY15" s="273"/>
      <c r="BZ15" s="273"/>
      <c r="CA15" s="161"/>
      <c r="CB15" s="161"/>
      <c r="CC15" s="161"/>
      <c r="CD15" s="161"/>
      <c r="CE15" s="161"/>
      <c r="CF15" s="161"/>
      <c r="CG15" s="161"/>
      <c r="CH15" s="161"/>
      <c r="CI15" s="161"/>
      <c r="CJ15" s="161"/>
      <c r="CK15" s="161"/>
      <c r="CL15" s="161"/>
      <c r="CM15" s="161"/>
      <c r="CN15" s="161"/>
      <c r="CO15" s="161"/>
      <c r="CP15" s="161"/>
      <c r="CQ15" s="161"/>
      <c r="CR15" s="161"/>
      <c r="CS15" s="161"/>
      <c r="CT15" s="161"/>
      <c r="CU15" s="161"/>
      <c r="CV15" s="161"/>
      <c r="CW15" s="161"/>
      <c r="CX15" s="161"/>
      <c r="CY15" s="161"/>
      <c r="CZ15" s="161"/>
      <c r="DA15" s="161"/>
      <c r="DB15" s="161"/>
      <c r="DC15" s="161"/>
      <c r="DD15" s="161"/>
      <c r="DE15" s="161"/>
      <c r="DF15" s="161"/>
      <c r="DG15" s="161"/>
      <c r="DH15" s="161"/>
      <c r="DI15" s="161"/>
      <c r="DJ15" s="161"/>
      <c r="DK15" s="177"/>
      <c r="DL15" s="177"/>
      <c r="DM15" s="177"/>
      <c r="DN15" s="177"/>
      <c r="DO15" s="177"/>
      <c r="DP15" s="177"/>
      <c r="DQ15" s="177"/>
      <c r="DR15" s="177"/>
      <c r="DS15" s="177"/>
      <c r="DT15" s="177"/>
      <c r="DU15" s="177"/>
      <c r="DV15" s="177"/>
      <c r="DW15" s="177"/>
      <c r="DX15" s="177"/>
      <c r="DY15" s="177"/>
      <c r="DZ15" s="177"/>
      <c r="EA15" s="177"/>
      <c r="EB15" s="808"/>
      <c r="EC15" s="808"/>
      <c r="ED15" s="808"/>
      <c r="EF15" s="161"/>
      <c r="EH15" s="161"/>
      <c r="EM15" s="161"/>
      <c r="EN15" s="161"/>
      <c r="EO15" s="161"/>
      <c r="EP15" s="161"/>
      <c r="FL15" s="264"/>
      <c r="FM15" s="264"/>
      <c r="FN15" s="264"/>
      <c r="FO15" s="433"/>
      <c r="FP15" s="161"/>
      <c r="FQ15" s="161"/>
      <c r="FR15" s="430"/>
      <c r="FS15" s="641">
        <v>3.4607487979231522E-2</v>
      </c>
      <c r="FT15" s="639"/>
      <c r="FU15" s="668">
        <v>2.8645735565402397E-4</v>
      </c>
      <c r="FV15" s="667"/>
      <c r="FW15" s="668">
        <v>-1.532923361496541E-2</v>
      </c>
      <c r="FX15" s="667"/>
      <c r="FY15" s="749">
        <v>-1.7761029122620564E-2</v>
      </c>
      <c r="FZ15" s="747"/>
      <c r="GA15" s="782">
        <v>-1.3087087689406474E-2</v>
      </c>
      <c r="GB15" s="782">
        <v>1.7590459664849067E-3</v>
      </c>
      <c r="GC15" s="808"/>
      <c r="GD15" s="782">
        <v>5.1959429038618055E-2</v>
      </c>
      <c r="GE15" s="808"/>
    </row>
    <row r="16" spans="1:187" hidden="1" outlineLevel="1">
      <c r="A16" s="161"/>
      <c r="B16" s="274" t="s">
        <v>440</v>
      </c>
      <c r="C16" s="161"/>
      <c r="D16" s="161"/>
      <c r="E16" s="161"/>
      <c r="F16" s="161"/>
      <c r="G16" s="161"/>
      <c r="H16" s="161"/>
      <c r="I16" s="263"/>
      <c r="J16" s="263"/>
      <c r="K16" s="263"/>
      <c r="L16" s="263"/>
      <c r="M16" s="263"/>
      <c r="N16" s="161"/>
      <c r="O16" s="161"/>
      <c r="P16" s="263"/>
      <c r="Q16" s="263"/>
      <c r="R16" s="263"/>
      <c r="S16" s="263"/>
      <c r="T16" s="263"/>
      <c r="U16" s="263"/>
      <c r="V16" s="263"/>
      <c r="W16" s="263"/>
      <c r="X16" s="263"/>
      <c r="Y16" s="263"/>
      <c r="Z16" s="263"/>
      <c r="AA16" s="263"/>
      <c r="AB16" s="161"/>
      <c r="AC16" s="161"/>
      <c r="AD16" s="161"/>
      <c r="AE16" s="161"/>
      <c r="AF16" s="161"/>
      <c r="AG16" s="161"/>
      <c r="AH16" s="263"/>
      <c r="AI16" s="263"/>
      <c r="AJ16" s="263"/>
      <c r="AK16" s="264"/>
      <c r="AL16" s="264"/>
      <c r="AM16" s="264"/>
      <c r="AN16" s="264"/>
      <c r="AO16" s="264"/>
      <c r="AP16" s="264"/>
      <c r="AQ16" s="264"/>
      <c r="AR16" s="263">
        <v>503</v>
      </c>
      <c r="AS16" s="263">
        <v>503</v>
      </c>
      <c r="AT16" s="263"/>
      <c r="AU16" s="263"/>
      <c r="AV16" s="263">
        <v>874</v>
      </c>
      <c r="AW16" s="263"/>
      <c r="AX16" s="263"/>
      <c r="AY16" s="263"/>
      <c r="AZ16" s="263">
        <v>1404</v>
      </c>
      <c r="BA16" s="263"/>
      <c r="BB16" s="263"/>
      <c r="BC16" s="264"/>
      <c r="BD16" s="264"/>
      <c r="BE16" s="264"/>
      <c r="BF16" s="264"/>
      <c r="BG16" s="264"/>
      <c r="BH16" s="264"/>
      <c r="BI16" s="264"/>
      <c r="BJ16" s="264"/>
      <c r="BK16" s="263"/>
      <c r="BL16" s="263"/>
      <c r="BM16" s="263"/>
      <c r="BN16" s="263"/>
      <c r="BO16" s="263"/>
      <c r="BP16" s="263"/>
      <c r="BQ16" s="263"/>
      <c r="BR16" s="263"/>
      <c r="BS16" s="263"/>
      <c r="BT16" s="263"/>
      <c r="BU16" s="784"/>
      <c r="BV16" s="784"/>
      <c r="BW16" s="784"/>
      <c r="BX16" s="784"/>
      <c r="BY16" s="273"/>
      <c r="BZ16" s="273"/>
      <c r="CA16" s="161"/>
      <c r="CB16" s="161"/>
      <c r="CC16" s="161"/>
      <c r="CD16" s="161"/>
      <c r="CE16" s="161"/>
      <c r="CF16" s="161"/>
      <c r="CG16" s="161"/>
      <c r="CH16" s="161"/>
      <c r="CI16" s="161"/>
      <c r="CJ16" s="161"/>
      <c r="CK16" s="161"/>
      <c r="CL16" s="161"/>
      <c r="CM16" s="161"/>
      <c r="CN16" s="161"/>
      <c r="CO16" s="161"/>
      <c r="CP16" s="161"/>
      <c r="CQ16" s="161"/>
      <c r="CR16" s="161"/>
      <c r="CS16" s="161"/>
      <c r="CT16" s="161"/>
      <c r="CU16" s="161"/>
      <c r="CV16" s="161"/>
      <c r="CW16" s="161"/>
      <c r="CX16" s="161"/>
      <c r="CY16" s="161"/>
      <c r="CZ16" s="161"/>
      <c r="DA16" s="161"/>
      <c r="DB16" s="161"/>
      <c r="DC16" s="161"/>
      <c r="DD16" s="161"/>
      <c r="DE16" s="161"/>
      <c r="DF16" s="161"/>
      <c r="DG16" s="161"/>
      <c r="DH16" s="161"/>
      <c r="DI16" s="161"/>
      <c r="DJ16" s="161"/>
      <c r="DK16" s="177"/>
      <c r="DL16" s="177"/>
      <c r="DM16" s="177"/>
      <c r="DN16" s="177"/>
      <c r="DO16" s="177"/>
      <c r="DP16" s="177"/>
      <c r="DQ16" s="177"/>
      <c r="DR16" s="177"/>
      <c r="DS16" s="177"/>
      <c r="DT16" s="177"/>
      <c r="DU16" s="177"/>
      <c r="DV16" s="177"/>
      <c r="DW16" s="177"/>
      <c r="DX16" s="177"/>
      <c r="DY16" s="177"/>
      <c r="DZ16" s="177"/>
      <c r="EA16" s="177"/>
      <c r="EB16" s="808"/>
      <c r="EC16" s="808"/>
      <c r="ED16" s="808"/>
      <c r="EF16" s="161"/>
      <c r="EH16" s="161"/>
      <c r="EM16" s="161"/>
      <c r="EN16" s="161"/>
      <c r="EO16" s="161"/>
      <c r="EP16" s="161"/>
      <c r="FL16" s="264"/>
      <c r="FM16" s="264"/>
      <c r="FN16" s="264"/>
      <c r="FO16" s="433"/>
      <c r="FP16" s="161"/>
      <c r="FQ16" s="161"/>
      <c r="FR16" s="430"/>
      <c r="FS16" s="643"/>
      <c r="FT16" s="639"/>
      <c r="FU16" s="670"/>
      <c r="FV16" s="667"/>
      <c r="FW16" s="670"/>
      <c r="FX16" s="667"/>
      <c r="FY16" s="751"/>
      <c r="FZ16" s="747"/>
      <c r="GA16" s="784"/>
      <c r="GB16" s="784"/>
      <c r="GC16" s="808"/>
      <c r="GD16" s="784"/>
      <c r="GE16" s="808"/>
    </row>
    <row r="17" spans="1:187" hidden="1" outlineLevel="1">
      <c r="A17" s="161"/>
      <c r="B17" s="274" t="s">
        <v>441</v>
      </c>
      <c r="C17" s="161"/>
      <c r="D17" s="161"/>
      <c r="E17" s="161"/>
      <c r="F17" s="161"/>
      <c r="G17" s="161"/>
      <c r="H17" s="161"/>
      <c r="I17" s="263"/>
      <c r="J17" s="263"/>
      <c r="K17" s="263"/>
      <c r="L17" s="263"/>
      <c r="M17" s="263"/>
      <c r="N17" s="161"/>
      <c r="O17" s="161"/>
      <c r="P17" s="263"/>
      <c r="Q17" s="263"/>
      <c r="R17" s="263"/>
      <c r="S17" s="263"/>
      <c r="T17" s="263"/>
      <c r="U17" s="263"/>
      <c r="V17" s="263"/>
      <c r="W17" s="263"/>
      <c r="X17" s="263"/>
      <c r="Y17" s="263"/>
      <c r="Z17" s="263"/>
      <c r="AA17" s="263"/>
      <c r="AB17" s="161"/>
      <c r="AC17" s="161"/>
      <c r="AD17" s="161"/>
      <c r="AE17" s="161"/>
      <c r="AF17" s="161"/>
      <c r="AG17" s="161"/>
      <c r="AH17" s="263"/>
      <c r="AI17" s="263"/>
      <c r="AJ17" s="263"/>
      <c r="AK17" s="264"/>
      <c r="AL17" s="264"/>
      <c r="AM17" s="264"/>
      <c r="AN17" s="264"/>
      <c r="AO17" s="264"/>
      <c r="AP17" s="264"/>
      <c r="AQ17" s="264"/>
      <c r="AR17" s="264">
        <f>AR16/AR12</f>
        <v>0.15734484484484484</v>
      </c>
      <c r="AS17" s="264">
        <f>AS16/AS12</f>
        <v>0.15632959250811407</v>
      </c>
      <c r="AT17" s="264"/>
      <c r="AU17" s="264"/>
      <c r="AV17" s="264">
        <f>AV16/AV12</f>
        <v>0.27029509482440561</v>
      </c>
      <c r="AW17" s="264"/>
      <c r="AX17" s="264"/>
      <c r="AY17" s="264"/>
      <c r="AZ17" s="264">
        <f>AZ16/AZ12</f>
        <v>0.40858291861488066</v>
      </c>
      <c r="BA17" s="264"/>
      <c r="BB17" s="264"/>
      <c r="BC17" s="264"/>
      <c r="BD17" s="264"/>
      <c r="BE17" s="264"/>
      <c r="BF17" s="264"/>
      <c r="BG17" s="264"/>
      <c r="BH17" s="264"/>
      <c r="BI17" s="264"/>
      <c r="BJ17" s="264"/>
      <c r="BK17" s="263"/>
      <c r="BL17" s="263"/>
      <c r="BM17" s="263"/>
      <c r="BN17" s="263"/>
      <c r="BO17" s="263"/>
      <c r="BP17" s="263"/>
      <c r="BQ17" s="263"/>
      <c r="BR17" s="263"/>
      <c r="BS17" s="263"/>
      <c r="BT17" s="263"/>
      <c r="BU17" s="784"/>
      <c r="BV17" s="784"/>
      <c r="BW17" s="784"/>
      <c r="BX17" s="784"/>
      <c r="BY17" s="273"/>
      <c r="BZ17" s="273"/>
      <c r="CA17" s="161"/>
      <c r="CB17" s="161"/>
      <c r="CC17" s="161"/>
      <c r="CD17" s="161"/>
      <c r="CE17" s="161"/>
      <c r="CF17" s="161"/>
      <c r="CG17" s="161"/>
      <c r="CH17" s="161"/>
      <c r="CI17" s="161"/>
      <c r="CJ17" s="161"/>
      <c r="CK17" s="161"/>
      <c r="CL17" s="161"/>
      <c r="CM17" s="161"/>
      <c r="CN17" s="161"/>
      <c r="CO17" s="161"/>
      <c r="CP17" s="161"/>
      <c r="CQ17" s="161"/>
      <c r="CR17" s="161"/>
      <c r="CS17" s="161"/>
      <c r="CT17" s="161"/>
      <c r="CU17" s="161"/>
      <c r="CV17" s="161"/>
      <c r="CW17" s="161"/>
      <c r="CX17" s="161"/>
      <c r="CY17" s="161"/>
      <c r="CZ17" s="161"/>
      <c r="DA17" s="161"/>
      <c r="DB17" s="161"/>
      <c r="DC17" s="161"/>
      <c r="DD17" s="161"/>
      <c r="DE17" s="161"/>
      <c r="DF17" s="161"/>
      <c r="DG17" s="161"/>
      <c r="DH17" s="161"/>
      <c r="DI17" s="161"/>
      <c r="DJ17" s="161"/>
      <c r="DK17" s="177"/>
      <c r="DL17" s="177"/>
      <c r="DM17" s="177"/>
      <c r="DN17" s="177"/>
      <c r="DO17" s="177"/>
      <c r="DP17" s="177"/>
      <c r="DQ17" s="177"/>
      <c r="DR17" s="177"/>
      <c r="DS17" s="177"/>
      <c r="DT17" s="177"/>
      <c r="DU17" s="177"/>
      <c r="DV17" s="177"/>
      <c r="DW17" s="177"/>
      <c r="DX17" s="177"/>
      <c r="DY17" s="177"/>
      <c r="DZ17" s="177"/>
      <c r="EA17" s="177"/>
      <c r="EB17" s="808"/>
      <c r="EC17" s="808"/>
      <c r="ED17" s="808"/>
      <c r="EF17" s="161"/>
      <c r="EH17" s="161"/>
      <c r="EM17" s="161"/>
      <c r="EN17" s="161"/>
      <c r="EO17" s="161"/>
      <c r="EP17" s="161"/>
      <c r="FL17" s="264"/>
      <c r="FM17" s="264"/>
      <c r="FN17" s="264"/>
      <c r="FO17" s="433"/>
      <c r="FP17" s="161"/>
      <c r="FQ17" s="161"/>
      <c r="FR17" s="430"/>
      <c r="FS17" s="643"/>
      <c r="FT17" s="639"/>
      <c r="FU17" s="670"/>
      <c r="FV17" s="667"/>
      <c r="FW17" s="670"/>
      <c r="FX17" s="667"/>
      <c r="FY17" s="751"/>
      <c r="FZ17" s="747"/>
      <c r="GA17" s="784"/>
      <c r="GB17" s="784"/>
      <c r="GC17" s="808"/>
      <c r="GD17" s="784"/>
      <c r="GE17" s="808"/>
    </row>
    <row r="18" spans="1:187" collapsed="1">
      <c r="A18" s="161"/>
      <c r="B18" s="267"/>
      <c r="C18" s="161"/>
      <c r="D18" s="161"/>
      <c r="E18" s="161"/>
      <c r="F18" s="161"/>
      <c r="G18" s="161"/>
      <c r="H18" s="161"/>
      <c r="I18" s="263"/>
      <c r="J18" s="263"/>
      <c r="K18" s="263"/>
      <c r="L18" s="263"/>
      <c r="M18" s="263"/>
      <c r="N18" s="161"/>
      <c r="O18" s="161"/>
      <c r="P18" s="263"/>
      <c r="Q18" s="161"/>
      <c r="R18" s="161"/>
      <c r="S18" s="161"/>
      <c r="T18" s="161"/>
      <c r="U18" s="161"/>
      <c r="V18" s="161"/>
      <c r="W18" s="161"/>
      <c r="X18" s="161"/>
      <c r="Y18" s="161"/>
      <c r="Z18" s="263"/>
      <c r="AA18" s="263"/>
      <c r="AB18" s="161"/>
      <c r="AC18" s="161"/>
      <c r="AD18" s="161"/>
      <c r="AE18" s="161"/>
      <c r="AF18" s="161"/>
      <c r="AG18" s="263">
        <f>AG19</f>
        <v>1976.549</v>
      </c>
      <c r="AH18" s="263">
        <f>AH19-(AH20-AH21)</f>
        <v>2075.3000000000002</v>
      </c>
      <c r="AI18" s="263"/>
      <c r="AJ18" s="263"/>
      <c r="AK18" s="263"/>
      <c r="AL18" s="263"/>
      <c r="AM18" s="263"/>
      <c r="AN18" s="263"/>
      <c r="AO18" s="263"/>
      <c r="AP18" s="263"/>
      <c r="AQ18" s="263"/>
      <c r="AR18" s="263"/>
      <c r="AS18" s="263"/>
      <c r="AT18" s="263"/>
      <c r="AU18" s="263"/>
      <c r="AV18" s="263"/>
      <c r="AW18" s="263"/>
      <c r="AX18" s="263"/>
      <c r="AY18" s="263"/>
      <c r="AZ18" s="263"/>
      <c r="BA18" s="263"/>
      <c r="BB18" s="263"/>
      <c r="BC18" s="263"/>
      <c r="BD18" s="263"/>
      <c r="BE18" s="263"/>
      <c r="BF18" s="263"/>
      <c r="BG18" s="263"/>
      <c r="BH18" s="263"/>
      <c r="BI18" s="263"/>
      <c r="BJ18" s="263"/>
      <c r="BK18" s="263"/>
      <c r="BL18" s="263"/>
      <c r="BM18" s="263"/>
      <c r="BN18" s="263"/>
      <c r="BO18" s="263"/>
      <c r="BP18" s="263"/>
      <c r="BQ18" s="263"/>
      <c r="BR18" s="263"/>
      <c r="BS18" s="263"/>
      <c r="BT18" s="263"/>
      <c r="BU18" s="784"/>
      <c r="BV18" s="784"/>
      <c r="BW18" s="784"/>
      <c r="BX18" s="784"/>
      <c r="BY18" s="272"/>
      <c r="BZ18" s="272"/>
      <c r="CA18" s="161"/>
      <c r="CB18" s="161"/>
      <c r="CC18" s="161"/>
      <c r="CD18" s="161"/>
      <c r="CE18" s="161"/>
      <c r="CF18" s="161"/>
      <c r="CG18" s="161"/>
      <c r="CH18" s="161"/>
      <c r="CI18" s="161"/>
      <c r="CJ18" s="161"/>
      <c r="CK18" s="161"/>
      <c r="CL18" s="161"/>
      <c r="CM18" s="161"/>
      <c r="CN18" s="161"/>
      <c r="CO18" s="161"/>
      <c r="CP18" s="161"/>
      <c r="CQ18" s="161"/>
      <c r="CR18" s="161"/>
      <c r="CS18" s="161"/>
      <c r="CT18" s="161"/>
      <c r="CU18" s="161"/>
      <c r="CV18" s="161"/>
      <c r="CW18" s="161"/>
      <c r="CX18" s="161"/>
      <c r="CY18" s="161"/>
      <c r="CZ18" s="161"/>
      <c r="DA18" s="161"/>
      <c r="DB18" s="161"/>
      <c r="DC18" s="161"/>
      <c r="DD18" s="161"/>
      <c r="DE18" s="161"/>
      <c r="DF18" s="161"/>
      <c r="DG18" s="161"/>
      <c r="DH18" s="161"/>
      <c r="DI18" s="161"/>
      <c r="DJ18" s="161"/>
      <c r="DK18" s="177"/>
      <c r="DL18" s="177"/>
      <c r="DM18" s="177"/>
      <c r="DN18" s="177"/>
      <c r="DO18" s="177"/>
      <c r="DP18" s="177"/>
      <c r="DQ18" s="177"/>
      <c r="DR18" s="177"/>
      <c r="DS18" s="177"/>
      <c r="DT18" s="177"/>
      <c r="DU18" s="177"/>
      <c r="DV18" s="177"/>
      <c r="DW18" s="177"/>
      <c r="DX18" s="177"/>
      <c r="DY18" s="177"/>
      <c r="DZ18" s="177"/>
      <c r="EA18" s="177"/>
      <c r="EB18" s="808"/>
      <c r="EC18" s="808"/>
      <c r="ED18" s="808"/>
      <c r="EF18" s="161"/>
      <c r="EH18" s="161"/>
      <c r="EM18" s="161"/>
      <c r="EN18" s="161"/>
      <c r="EO18" s="161"/>
      <c r="EP18" s="161"/>
      <c r="FL18" s="263"/>
      <c r="FM18" s="263"/>
      <c r="FN18" s="263"/>
      <c r="FO18" s="433"/>
      <c r="FP18" s="161"/>
      <c r="FQ18" s="161"/>
      <c r="FR18" s="430"/>
      <c r="FS18" s="643"/>
      <c r="FT18" s="639"/>
      <c r="FU18" s="670"/>
      <c r="FV18" s="667"/>
      <c r="FW18" s="670"/>
      <c r="FX18" s="667"/>
      <c r="FY18" s="751"/>
      <c r="FZ18" s="747"/>
      <c r="GA18" s="784"/>
      <c r="GB18" s="784"/>
      <c r="GC18" s="808"/>
      <c r="GD18" s="784"/>
      <c r="GE18" s="808"/>
    </row>
    <row r="19" spans="1:187">
      <c r="A19" s="161"/>
      <c r="B19" s="161" t="s">
        <v>38</v>
      </c>
      <c r="C19" s="775">
        <v>427</v>
      </c>
      <c r="D19" s="775">
        <v>437</v>
      </c>
      <c r="E19" s="775">
        <v>454</v>
      </c>
      <c r="F19" s="775">
        <v>495</v>
      </c>
      <c r="G19" s="775">
        <v>516</v>
      </c>
      <c r="H19" s="775">
        <v>532</v>
      </c>
      <c r="I19" s="775">
        <v>542.745</v>
      </c>
      <c r="J19" s="775">
        <v>585</v>
      </c>
      <c r="K19" s="775">
        <v>594</v>
      </c>
      <c r="L19" s="775">
        <v>590.52599999999995</v>
      </c>
      <c r="M19" s="775">
        <v>593.76499999999999</v>
      </c>
      <c r="N19" s="775">
        <v>645</v>
      </c>
      <c r="O19" s="775">
        <v>683</v>
      </c>
      <c r="P19" s="775">
        <v>720</v>
      </c>
      <c r="Q19" s="775">
        <v>739</v>
      </c>
      <c r="R19" s="775">
        <v>800</v>
      </c>
      <c r="S19" s="775">
        <v>835</v>
      </c>
      <c r="T19" s="775">
        <v>870</v>
      </c>
      <c r="U19" s="775">
        <v>884</v>
      </c>
      <c r="V19" s="775">
        <v>900</v>
      </c>
      <c r="W19" s="775">
        <v>951</v>
      </c>
      <c r="X19" s="775">
        <v>1032</v>
      </c>
      <c r="Y19" s="775">
        <v>1099.665</v>
      </c>
      <c r="Z19" s="775">
        <v>1208.3969999999999</v>
      </c>
      <c r="AA19" s="775">
        <v>1330.6</v>
      </c>
      <c r="AB19" s="775">
        <v>1453.6</v>
      </c>
      <c r="AC19" s="775">
        <v>1556</v>
      </c>
      <c r="AD19" s="775">
        <v>1701.3</v>
      </c>
      <c r="AE19" s="775">
        <v>1830.9659999999999</v>
      </c>
      <c r="AF19" s="775">
        <v>1924.58</v>
      </c>
      <c r="AG19" s="775">
        <v>1976.549</v>
      </c>
      <c r="AH19" s="775">
        <v>2115.3000000000002</v>
      </c>
      <c r="AI19" s="775">
        <v>2227.6</v>
      </c>
      <c r="AJ19" s="775">
        <v>2303.3910000000001</v>
      </c>
      <c r="AK19" s="775">
        <v>2412.6089999999999</v>
      </c>
      <c r="AL19" s="775">
        <v>2513.8150000000001</v>
      </c>
      <c r="AM19" s="775">
        <v>2625.0410000000002</v>
      </c>
      <c r="AN19" s="775">
        <v>2736</v>
      </c>
      <c r="AO19" s="775">
        <v>2815.8670000000002</v>
      </c>
      <c r="AP19" s="775">
        <v>2893.8</v>
      </c>
      <c r="AQ19" s="775">
        <v>2942.4029999999998</v>
      </c>
      <c r="AR19" s="775">
        <v>2953.6</v>
      </c>
      <c r="AS19" s="775">
        <v>3022.9630000000002</v>
      </c>
      <c r="AT19" s="775">
        <v>3067</v>
      </c>
      <c r="AU19" s="775">
        <v>3097.6280000000002</v>
      </c>
      <c r="AV19" s="775">
        <v>3146.3809999999999</v>
      </c>
      <c r="AW19" s="775">
        <v>3229.4</v>
      </c>
      <c r="AX19" s="775">
        <v>3413.9949999999999</v>
      </c>
      <c r="AY19" s="775">
        <v>3510.3240000000001</v>
      </c>
      <c r="AZ19" s="775">
        <v>3589.74</v>
      </c>
      <c r="BA19" s="775">
        <v>3647.9</v>
      </c>
      <c r="BB19" s="775">
        <v>3752.9119999999998</v>
      </c>
      <c r="BC19" s="775">
        <f>Fixed!P25</f>
        <v>3833.893</v>
      </c>
      <c r="BD19" s="775">
        <v>3893.297</v>
      </c>
      <c r="BE19" s="775">
        <v>3912.4749999999999</v>
      </c>
      <c r="BF19" s="775">
        <v>4013.1320000000001</v>
      </c>
      <c r="BG19" s="775">
        <v>4137.8599999999997</v>
      </c>
      <c r="BH19" s="775">
        <v>4285.165</v>
      </c>
      <c r="BI19" s="775">
        <v>4448.4769999999999</v>
      </c>
      <c r="BJ19" s="775">
        <v>4565.6040000000003</v>
      </c>
      <c r="BK19" s="775">
        <v>4721.5519999999997</v>
      </c>
      <c r="BL19" s="775">
        <v>4872.8819999999996</v>
      </c>
      <c r="BM19" s="775">
        <v>4963.6469999999999</v>
      </c>
      <c r="BN19" s="775">
        <v>5145.4470000000001</v>
      </c>
      <c r="BO19" s="775">
        <v>5311.95</v>
      </c>
      <c r="BP19" s="775">
        <v>5412.1009999999997</v>
      </c>
      <c r="BQ19" s="775">
        <v>5544.5460000000003</v>
      </c>
      <c r="BR19" s="775">
        <v>5673.0879999999997</v>
      </c>
      <c r="BS19" s="775">
        <v>5805.7190000000001</v>
      </c>
      <c r="BT19" s="775">
        <v>5906.982</v>
      </c>
      <c r="BU19" s="1009">
        <f>BT19+100</f>
        <v>6006.982</v>
      </c>
      <c r="BV19" s="1009">
        <f>BU19+100</f>
        <v>6106.982</v>
      </c>
      <c r="BW19" s="1009">
        <f>BX19</f>
        <v>6205.7190000000001</v>
      </c>
      <c r="BX19" s="1009">
        <f>Fixed!U25</f>
        <v>6205.7190000000001</v>
      </c>
      <c r="BY19" s="273"/>
      <c r="BZ19" s="273"/>
      <c r="CA19" s="264">
        <f t="shared" ref="CA19:DF19" si="27">T19/P19-1</f>
        <v>0.20833333333333326</v>
      </c>
      <c r="CB19" s="264">
        <f t="shared" si="27"/>
        <v>0.19621109607577814</v>
      </c>
      <c r="CC19" s="264">
        <f t="shared" si="27"/>
        <v>0.125</v>
      </c>
      <c r="CD19" s="264">
        <f t="shared" si="27"/>
        <v>0.13892215568862265</v>
      </c>
      <c r="CE19" s="264">
        <f t="shared" si="27"/>
        <v>0.18620689655172407</v>
      </c>
      <c r="CF19" s="264">
        <f t="shared" si="27"/>
        <v>0.24396493212669679</v>
      </c>
      <c r="CG19" s="264">
        <f t="shared" si="27"/>
        <v>0.34266333333333332</v>
      </c>
      <c r="CH19" s="264">
        <f t="shared" si="27"/>
        <v>0.39915878023133544</v>
      </c>
      <c r="CI19" s="264">
        <f t="shared" si="27"/>
        <v>0.40852713178294575</v>
      </c>
      <c r="CJ19" s="264">
        <f t="shared" si="27"/>
        <v>0.41497637917002006</v>
      </c>
      <c r="CK19" s="264">
        <f t="shared" si="27"/>
        <v>0.40789823212073517</v>
      </c>
      <c r="CL19" s="264">
        <f t="shared" si="27"/>
        <v>0.37604539305576434</v>
      </c>
      <c r="CM19" s="264">
        <f t="shared" si="27"/>
        <v>0.32400935608145298</v>
      </c>
      <c r="CN19" s="264">
        <f t="shared" si="27"/>
        <v>0.27027570694087411</v>
      </c>
      <c r="CO19" s="264">
        <f t="shared" si="27"/>
        <v>0.24334332569211803</v>
      </c>
      <c r="CP19" s="264">
        <f t="shared" si="27"/>
        <v>0.21662554083472885</v>
      </c>
      <c r="CQ19" s="264">
        <f t="shared" si="27"/>
        <v>0.19682787932951618</v>
      </c>
      <c r="CR19" s="264">
        <f t="shared" si="27"/>
        <v>0.2206168427901356</v>
      </c>
      <c r="CS19" s="264">
        <f t="shared" si="27"/>
        <v>0.188396444948707</v>
      </c>
      <c r="CT19" s="264">
        <f t="shared" si="27"/>
        <v>0.17841668163045443</v>
      </c>
      <c r="CU19" s="264">
        <f t="shared" si="27"/>
        <v>0.18781396645206994</v>
      </c>
      <c r="CV19" s="264">
        <f t="shared" si="27"/>
        <v>0.16714602324703276</v>
      </c>
      <c r="CW19" s="264">
        <f t="shared" si="27"/>
        <v>0.15115869704015616</v>
      </c>
      <c r="CX19" s="264">
        <f t="shared" si="27"/>
        <v>0.12089792121342091</v>
      </c>
      <c r="CY19" s="264">
        <f t="shared" si="27"/>
        <v>7.953216374269001E-2</v>
      </c>
      <c r="CZ19" s="264">
        <f t="shared" si="27"/>
        <v>7.3546087226420864E-2</v>
      </c>
      <c r="DA19" s="264">
        <f t="shared" si="27"/>
        <v>5.9852097587946629E-2</v>
      </c>
      <c r="DB19" s="264">
        <f t="shared" si="27"/>
        <v>5.2754500318277442E-2</v>
      </c>
      <c r="DC19" s="264">
        <f t="shared" si="27"/>
        <v>6.5269840195016249E-2</v>
      </c>
      <c r="DD19" s="264">
        <f t="shared" si="27"/>
        <v>6.828962180483189E-2</v>
      </c>
      <c r="DE19" s="264">
        <f t="shared" si="27"/>
        <v>0.11313824584284315</v>
      </c>
      <c r="DF19" s="264">
        <f t="shared" si="27"/>
        <v>0.13322968413250402</v>
      </c>
      <c r="DG19" s="264">
        <f t="shared" ref="DG19:EA19" si="28">AZ19/AV19-1</f>
        <v>0.14091077971803156</v>
      </c>
      <c r="DH19" s="264">
        <f t="shared" si="28"/>
        <v>0.12959063603146093</v>
      </c>
      <c r="DI19" s="264">
        <f t="shared" si="28"/>
        <v>9.92728460352168E-2</v>
      </c>
      <c r="DJ19" s="264">
        <f t="shared" si="28"/>
        <v>9.2176391694897664E-2</v>
      </c>
      <c r="DK19" s="467">
        <f t="shared" si="28"/>
        <v>8.4562391705248929E-2</v>
      </c>
      <c r="DL19" s="467">
        <f t="shared" si="28"/>
        <v>7.2528029825378981E-2</v>
      </c>
      <c r="DM19" s="467">
        <f t="shared" si="28"/>
        <v>6.9338156610120327E-2</v>
      </c>
      <c r="DN19" s="467">
        <f t="shared" si="28"/>
        <v>7.9284163642542982E-2</v>
      </c>
      <c r="DO19" s="467">
        <f t="shared" si="28"/>
        <v>0.10065196670071663</v>
      </c>
      <c r="DP19" s="467">
        <f t="shared" si="28"/>
        <v>0.13699819168173599</v>
      </c>
      <c r="DQ19" s="467">
        <f t="shared" si="28"/>
        <v>0.13766604238285707</v>
      </c>
      <c r="DR19" s="467">
        <f t="shared" si="28"/>
        <v>0.14106132155268658</v>
      </c>
      <c r="DS19" s="467">
        <f t="shared" si="28"/>
        <v>0.13715154492300763</v>
      </c>
      <c r="DT19" s="467">
        <f t="shared" si="28"/>
        <v>0.11580817434820956</v>
      </c>
      <c r="DU19" s="467">
        <f t="shared" si="28"/>
        <v>0.12700247327626313</v>
      </c>
      <c r="DV19" s="467">
        <f t="shared" si="28"/>
        <v>0.12504320613222086</v>
      </c>
      <c r="DW19" s="467">
        <f t="shared" si="28"/>
        <v>0.11065710189575695</v>
      </c>
      <c r="DX19" s="467">
        <f t="shared" si="28"/>
        <v>0.1170306832858985</v>
      </c>
      <c r="DY19" s="467">
        <f t="shared" si="28"/>
        <v>0.10254522104687891</v>
      </c>
      <c r="DZ19" s="467">
        <f t="shared" si="28"/>
        <v>9.2954376453091569E-2</v>
      </c>
      <c r="EA19" s="467">
        <f t="shared" si="28"/>
        <v>9.1439719990443757E-2</v>
      </c>
      <c r="EB19" s="809">
        <f t="shared" ref="EB19" si="29">BU19/BQ19-1</f>
        <v>8.3403762905024159E-2</v>
      </c>
      <c r="EC19" s="809">
        <f t="shared" ref="EC19" si="30">BV19/BR19-1</f>
        <v>7.6482860833464894E-2</v>
      </c>
      <c r="ED19" s="809">
        <f t="shared" ref="ED19" si="31">BW19/BS19-1</f>
        <v>6.8897581849896694E-2</v>
      </c>
      <c r="EF19" s="161"/>
      <c r="EH19" s="161"/>
      <c r="EM19" s="161"/>
      <c r="EN19" s="161"/>
      <c r="EO19" s="161"/>
      <c r="EP19" s="161"/>
      <c r="FL19" s="263">
        <v>4217.8599999999997</v>
      </c>
      <c r="FM19" s="263">
        <v>4415.165</v>
      </c>
      <c r="FN19" s="263">
        <v>4573.4769999999999</v>
      </c>
      <c r="FO19" s="433">
        <v>4697.8599999999997</v>
      </c>
      <c r="FP19" s="264">
        <v>0.12848388807596223</v>
      </c>
      <c r="FQ19" s="264">
        <v>0.13962785176266324</v>
      </c>
      <c r="FR19" s="432">
        <v>0.13533565659543823</v>
      </c>
      <c r="FS19" s="644">
        <v>5012.8819999999996</v>
      </c>
      <c r="FT19" s="641">
        <v>0.12687600722674297</v>
      </c>
      <c r="FU19" s="671">
        <v>5080</v>
      </c>
      <c r="FV19" s="668">
        <v>0.11266767770485564</v>
      </c>
      <c r="FW19" s="670">
        <v>5291.5519999999997</v>
      </c>
      <c r="FX19" s="668">
        <v>0.12072301649965955</v>
      </c>
      <c r="FY19" s="750">
        <v>5441.95</v>
      </c>
      <c r="FZ19" s="749">
        <v>0.11678263499916475</v>
      </c>
      <c r="GA19" s="783">
        <v>5522.1009999999997</v>
      </c>
      <c r="GB19" s="783">
        <v>5654.5460000000003</v>
      </c>
      <c r="GC19" s="809">
        <v>9.8941646857892085E-2</v>
      </c>
      <c r="GD19" s="784">
        <v>5791.95</v>
      </c>
      <c r="GE19" s="809">
        <v>9.0362296331855552E-2</v>
      </c>
    </row>
    <row r="20" spans="1:187">
      <c r="A20" s="161"/>
      <c r="B20" s="161" t="s">
        <v>42</v>
      </c>
      <c r="C20" s="161"/>
      <c r="D20" s="263">
        <f t="shared" ref="D20:AI20" si="32">D19-C19</f>
        <v>10</v>
      </c>
      <c r="E20" s="263">
        <f t="shared" si="32"/>
        <v>17</v>
      </c>
      <c r="F20" s="263">
        <f t="shared" si="32"/>
        <v>41</v>
      </c>
      <c r="G20" s="263">
        <f t="shared" si="32"/>
        <v>21</v>
      </c>
      <c r="H20" s="263">
        <f t="shared" si="32"/>
        <v>16</v>
      </c>
      <c r="I20" s="263">
        <f t="shared" si="32"/>
        <v>10.745000000000005</v>
      </c>
      <c r="J20" s="263">
        <f t="shared" si="32"/>
        <v>42.254999999999995</v>
      </c>
      <c r="K20" s="263">
        <f t="shared" si="32"/>
        <v>9</v>
      </c>
      <c r="L20" s="263">
        <f t="shared" si="32"/>
        <v>-3.4740000000000464</v>
      </c>
      <c r="M20" s="263">
        <f t="shared" si="32"/>
        <v>3.2390000000000327</v>
      </c>
      <c r="N20" s="263">
        <f t="shared" si="32"/>
        <v>51.235000000000014</v>
      </c>
      <c r="O20" s="263">
        <f t="shared" si="32"/>
        <v>38</v>
      </c>
      <c r="P20" s="263">
        <f t="shared" si="32"/>
        <v>37</v>
      </c>
      <c r="Q20" s="263">
        <f t="shared" si="32"/>
        <v>19</v>
      </c>
      <c r="R20" s="263">
        <f t="shared" si="32"/>
        <v>61</v>
      </c>
      <c r="S20" s="263">
        <f t="shared" si="32"/>
        <v>35</v>
      </c>
      <c r="T20" s="263">
        <f t="shared" si="32"/>
        <v>35</v>
      </c>
      <c r="U20" s="263">
        <f t="shared" si="32"/>
        <v>14</v>
      </c>
      <c r="V20" s="263">
        <f t="shared" si="32"/>
        <v>16</v>
      </c>
      <c r="W20" s="263">
        <f t="shared" si="32"/>
        <v>51</v>
      </c>
      <c r="X20" s="263">
        <f t="shared" si="32"/>
        <v>81</v>
      </c>
      <c r="Y20" s="263">
        <f t="shared" si="32"/>
        <v>67.664999999999964</v>
      </c>
      <c r="Z20" s="263">
        <f t="shared" si="32"/>
        <v>108.73199999999997</v>
      </c>
      <c r="AA20" s="263">
        <f t="shared" si="32"/>
        <v>122.20299999999997</v>
      </c>
      <c r="AB20" s="263">
        <f t="shared" si="32"/>
        <v>123</v>
      </c>
      <c r="AC20" s="263">
        <f t="shared" si="32"/>
        <v>102.40000000000009</v>
      </c>
      <c r="AD20" s="263">
        <f t="shared" si="32"/>
        <v>145.29999999999995</v>
      </c>
      <c r="AE20" s="263">
        <f t="shared" si="32"/>
        <v>129.66599999999994</v>
      </c>
      <c r="AF20" s="263">
        <f t="shared" si="32"/>
        <v>93.614000000000033</v>
      </c>
      <c r="AG20" s="263">
        <f t="shared" si="32"/>
        <v>51.969000000000051</v>
      </c>
      <c r="AH20" s="263">
        <f t="shared" si="32"/>
        <v>138.7510000000002</v>
      </c>
      <c r="AI20" s="263">
        <f t="shared" si="32"/>
        <v>112.29999999999973</v>
      </c>
      <c r="AJ20" s="263">
        <f t="shared" ref="AJ20:BJ20" si="33">AJ19-AI19</f>
        <v>75.791000000000167</v>
      </c>
      <c r="AK20" s="263">
        <f t="shared" si="33"/>
        <v>109.21799999999985</v>
      </c>
      <c r="AL20" s="263">
        <f t="shared" si="33"/>
        <v>101.20600000000013</v>
      </c>
      <c r="AM20" s="263">
        <f t="shared" si="33"/>
        <v>111.22600000000011</v>
      </c>
      <c r="AN20" s="263">
        <f t="shared" si="33"/>
        <v>110.95899999999983</v>
      </c>
      <c r="AO20" s="263">
        <f t="shared" si="33"/>
        <v>79.867000000000189</v>
      </c>
      <c r="AP20" s="263">
        <f t="shared" si="33"/>
        <v>77.932999999999993</v>
      </c>
      <c r="AQ20" s="263">
        <f t="shared" si="33"/>
        <v>48.602999999999611</v>
      </c>
      <c r="AR20" s="263">
        <f t="shared" si="33"/>
        <v>11.197000000000116</v>
      </c>
      <c r="AS20" s="263">
        <f t="shared" si="33"/>
        <v>69.363000000000284</v>
      </c>
      <c r="AT20" s="263">
        <f t="shared" si="33"/>
        <v>44.036999999999807</v>
      </c>
      <c r="AU20" s="263">
        <f t="shared" si="33"/>
        <v>30.628000000000156</v>
      </c>
      <c r="AV20" s="263">
        <f t="shared" si="33"/>
        <v>48.752999999999702</v>
      </c>
      <c r="AW20" s="263">
        <f t="shared" si="33"/>
        <v>83.019000000000233</v>
      </c>
      <c r="AX20" s="263">
        <f t="shared" si="33"/>
        <v>184.5949999999998</v>
      </c>
      <c r="AY20" s="263">
        <f t="shared" si="33"/>
        <v>96.329000000000178</v>
      </c>
      <c r="AZ20" s="263">
        <f t="shared" si="33"/>
        <v>79.415999999999713</v>
      </c>
      <c r="BA20" s="263">
        <f t="shared" si="33"/>
        <v>58.160000000000309</v>
      </c>
      <c r="BB20" s="263">
        <f t="shared" si="33"/>
        <v>105.01199999999972</v>
      </c>
      <c r="BC20" s="263">
        <f t="shared" si="33"/>
        <v>80.981000000000222</v>
      </c>
      <c r="BD20" s="263">
        <f t="shared" si="33"/>
        <v>59.403999999999996</v>
      </c>
      <c r="BE20" s="263">
        <f t="shared" si="33"/>
        <v>19.177999999999884</v>
      </c>
      <c r="BF20" s="263">
        <f t="shared" si="33"/>
        <v>100.65700000000015</v>
      </c>
      <c r="BG20" s="263">
        <f t="shared" si="33"/>
        <v>124.72799999999961</v>
      </c>
      <c r="BH20" s="263">
        <f t="shared" si="33"/>
        <v>147.30500000000029</v>
      </c>
      <c r="BI20" s="263">
        <f t="shared" si="33"/>
        <v>163.3119999999999</v>
      </c>
      <c r="BJ20" s="263">
        <f t="shared" si="33"/>
        <v>117.12700000000041</v>
      </c>
      <c r="BK20" s="263">
        <f t="shared" ref="BK20:BP20" si="34">BK19-BJ19</f>
        <v>155.94799999999941</v>
      </c>
      <c r="BL20" s="263">
        <f t="shared" si="34"/>
        <v>151.32999999999993</v>
      </c>
      <c r="BM20" s="263">
        <f t="shared" si="34"/>
        <v>90.765000000000327</v>
      </c>
      <c r="BN20" s="263">
        <f t="shared" si="34"/>
        <v>181.80000000000018</v>
      </c>
      <c r="BO20" s="263">
        <f t="shared" si="34"/>
        <v>166.5029999999997</v>
      </c>
      <c r="BP20" s="263">
        <f t="shared" si="34"/>
        <v>100.15099999999984</v>
      </c>
      <c r="BQ20" s="263">
        <f t="shared" ref="BQ20:BW20" si="35">BQ19-BP19</f>
        <v>132.44500000000062</v>
      </c>
      <c r="BR20" s="263">
        <f t="shared" si="35"/>
        <v>128.54199999999946</v>
      </c>
      <c r="BS20" s="263">
        <f t="shared" si="35"/>
        <v>132.63100000000031</v>
      </c>
      <c r="BT20" s="263">
        <f t="shared" si="35"/>
        <v>101.26299999999992</v>
      </c>
      <c r="BU20" s="1009">
        <f t="shared" si="35"/>
        <v>100</v>
      </c>
      <c r="BV20" s="1009">
        <f t="shared" si="35"/>
        <v>100</v>
      </c>
      <c r="BW20" s="1009">
        <f t="shared" si="35"/>
        <v>98.73700000000008</v>
      </c>
      <c r="BX20" s="1009">
        <f>BX19-BS19</f>
        <v>400</v>
      </c>
      <c r="BY20" s="273"/>
      <c r="BZ20" s="273"/>
      <c r="CA20" s="161"/>
      <c r="CB20" s="161"/>
      <c r="CC20" s="161"/>
      <c r="CD20" s="161"/>
      <c r="CE20" s="161"/>
      <c r="CF20" s="161"/>
      <c r="CG20" s="161"/>
      <c r="CH20" s="161"/>
      <c r="CI20" s="161"/>
      <c r="CJ20" s="161"/>
      <c r="CK20" s="161"/>
      <c r="CL20" s="161"/>
      <c r="CM20" s="161"/>
      <c r="CN20" s="161"/>
      <c r="CO20" s="161"/>
      <c r="CP20" s="161"/>
      <c r="CQ20" s="161"/>
      <c r="CR20" s="161"/>
      <c r="CS20" s="161"/>
      <c r="CT20" s="161"/>
      <c r="CU20" s="161"/>
      <c r="CV20" s="161"/>
      <c r="CW20" s="161"/>
      <c r="CX20" s="161"/>
      <c r="CY20" s="161"/>
      <c r="CZ20" s="161"/>
      <c r="DA20" s="161"/>
      <c r="DB20" s="161"/>
      <c r="DC20" s="161"/>
      <c r="DD20" s="161"/>
      <c r="DE20" s="161"/>
      <c r="DF20" s="161"/>
      <c r="DG20" s="161"/>
      <c r="DH20" s="161"/>
      <c r="DI20" s="161"/>
      <c r="DJ20" s="161"/>
      <c r="DK20" s="177"/>
      <c r="DL20" s="177"/>
      <c r="DM20" s="177"/>
      <c r="DN20" s="177"/>
      <c r="DO20" s="177"/>
      <c r="DP20" s="177"/>
      <c r="DQ20" s="177"/>
      <c r="DR20" s="177"/>
      <c r="DS20" s="177"/>
      <c r="DT20" s="177"/>
      <c r="DU20" s="177"/>
      <c r="DV20" s="177"/>
      <c r="DW20" s="177"/>
      <c r="DX20" s="177"/>
      <c r="DY20" s="177"/>
      <c r="DZ20" s="177"/>
      <c r="EA20" s="177"/>
      <c r="EB20" s="808"/>
      <c r="EC20" s="808"/>
      <c r="ED20" s="808"/>
      <c r="EF20" s="161"/>
      <c r="EH20" s="161"/>
      <c r="EM20" s="161"/>
      <c r="EN20" s="161"/>
      <c r="EO20" s="161"/>
      <c r="EP20" s="161"/>
      <c r="FL20" s="271">
        <v>80</v>
      </c>
      <c r="FM20" s="271">
        <v>130</v>
      </c>
      <c r="FN20" s="271">
        <v>125</v>
      </c>
      <c r="FO20" s="433">
        <v>132.2559999999994</v>
      </c>
      <c r="FP20" s="161"/>
      <c r="FQ20" s="161"/>
      <c r="FR20" s="430"/>
      <c r="FS20" s="643">
        <v>140</v>
      </c>
      <c r="FT20" s="639"/>
      <c r="FU20" s="670">
        <v>116.35300000000007</v>
      </c>
      <c r="FV20" s="667"/>
      <c r="FW20" s="670">
        <v>146.10499999999956</v>
      </c>
      <c r="FX20" s="667"/>
      <c r="FY20" s="751">
        <v>130</v>
      </c>
      <c r="FZ20" s="747"/>
      <c r="GA20" s="784">
        <v>110</v>
      </c>
      <c r="GB20" s="784">
        <v>110</v>
      </c>
      <c r="GC20" s="808"/>
      <c r="GD20" s="784">
        <v>118.86200000000008</v>
      </c>
      <c r="GE20" s="808"/>
    </row>
    <row r="21" spans="1:187" hidden="1" outlineLevel="1">
      <c r="A21" s="161"/>
      <c r="B21" s="274" t="s">
        <v>438</v>
      </c>
      <c r="C21" s="161"/>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f>AH20-40</f>
        <v>98.751000000000204</v>
      </c>
      <c r="AI21" s="263"/>
      <c r="AJ21" s="263"/>
      <c r="AK21" s="263"/>
      <c r="AL21" s="263"/>
      <c r="AM21" s="263"/>
      <c r="AN21" s="263"/>
      <c r="AO21" s="263"/>
      <c r="AP21" s="263"/>
      <c r="AQ21" s="263"/>
      <c r="AR21" s="263"/>
      <c r="AS21" s="263">
        <f>AS20-50</f>
        <v>19.363000000000284</v>
      </c>
      <c r="AT21" s="263"/>
      <c r="AU21" s="263"/>
      <c r="AV21" s="263"/>
      <c r="AW21" s="263"/>
      <c r="AX21" s="263"/>
      <c r="AY21" s="263"/>
      <c r="AZ21" s="263"/>
      <c r="BA21" s="263"/>
      <c r="BB21" s="263"/>
      <c r="BC21" s="264"/>
      <c r="BD21" s="264"/>
      <c r="BE21" s="264"/>
      <c r="BF21" s="264"/>
      <c r="BG21" s="264"/>
      <c r="BH21" s="264"/>
      <c r="BI21" s="264"/>
      <c r="BJ21" s="264"/>
      <c r="BK21" s="263"/>
      <c r="BL21" s="263"/>
      <c r="BM21" s="263"/>
      <c r="BN21" s="263"/>
      <c r="BO21" s="263"/>
      <c r="BP21" s="263"/>
      <c r="BQ21" s="263"/>
      <c r="BR21" s="263"/>
      <c r="BS21" s="263"/>
      <c r="BT21" s="263"/>
      <c r="BU21" s="784"/>
      <c r="BV21" s="784"/>
      <c r="BW21" s="784"/>
      <c r="BX21" s="784"/>
      <c r="BY21" s="273"/>
      <c r="BZ21" s="273"/>
      <c r="CA21" s="161"/>
      <c r="CB21" s="161"/>
      <c r="CC21" s="161"/>
      <c r="CD21" s="161"/>
      <c r="CE21" s="161"/>
      <c r="CF21" s="161"/>
      <c r="CG21" s="161"/>
      <c r="CH21" s="161"/>
      <c r="CI21" s="161"/>
      <c r="CJ21" s="161"/>
      <c r="CK21" s="161"/>
      <c r="CL21" s="161"/>
      <c r="CM21" s="161"/>
      <c r="CN21" s="161"/>
      <c r="CO21" s="161"/>
      <c r="CP21" s="161"/>
      <c r="CQ21" s="161"/>
      <c r="CR21" s="161"/>
      <c r="CS21" s="161"/>
      <c r="CT21" s="161"/>
      <c r="CU21" s="161"/>
      <c r="CV21" s="161"/>
      <c r="CW21" s="161"/>
      <c r="CX21" s="161"/>
      <c r="CY21" s="161"/>
      <c r="CZ21" s="161"/>
      <c r="DA21" s="161"/>
      <c r="DB21" s="161"/>
      <c r="DC21" s="161"/>
      <c r="DD21" s="161"/>
      <c r="DE21" s="161"/>
      <c r="DF21" s="161"/>
      <c r="DG21" s="161"/>
      <c r="DH21" s="161"/>
      <c r="DI21" s="161"/>
      <c r="DJ21" s="161"/>
      <c r="DK21" s="177"/>
      <c r="DL21" s="177"/>
      <c r="DM21" s="177"/>
      <c r="DN21" s="177"/>
      <c r="DO21" s="177"/>
      <c r="DP21" s="177"/>
      <c r="DQ21" s="177"/>
      <c r="DR21" s="177"/>
      <c r="DS21" s="177"/>
      <c r="DT21" s="177"/>
      <c r="DU21" s="177"/>
      <c r="DV21" s="177"/>
      <c r="DW21" s="177"/>
      <c r="DX21" s="177"/>
      <c r="DY21" s="177"/>
      <c r="DZ21" s="177"/>
      <c r="EA21" s="177"/>
      <c r="EB21" s="808"/>
      <c r="EC21" s="808"/>
      <c r="ED21" s="808"/>
      <c r="EF21" s="161"/>
      <c r="EH21" s="161"/>
      <c r="EM21" s="161"/>
      <c r="EN21" s="161"/>
      <c r="EO21" s="161"/>
      <c r="EP21" s="161"/>
      <c r="FL21" s="264"/>
      <c r="FM21" s="264"/>
      <c r="FN21" s="264"/>
      <c r="FO21" s="433"/>
      <c r="FP21" s="161"/>
      <c r="FQ21" s="161"/>
      <c r="FR21" s="430"/>
      <c r="FS21" s="643"/>
      <c r="FT21" s="639"/>
      <c r="FU21" s="670"/>
      <c r="FV21" s="667"/>
      <c r="FW21" s="670"/>
      <c r="FX21" s="667"/>
      <c r="FY21" s="751"/>
      <c r="FZ21" s="747"/>
      <c r="GA21" s="784"/>
      <c r="GB21" s="784"/>
      <c r="GC21" s="808"/>
      <c r="GD21" s="784"/>
      <c r="GE21" s="808"/>
    </row>
    <row r="22" spans="1:187" collapsed="1">
      <c r="A22" s="161"/>
      <c r="B22" s="161" t="s">
        <v>439</v>
      </c>
      <c r="C22" s="161"/>
      <c r="D22" s="263"/>
      <c r="E22" s="263"/>
      <c r="F22" s="263"/>
      <c r="G22" s="264">
        <f t="shared" ref="G22:AJ22" si="36">G19/C19-1</f>
        <v>0.20843091334894615</v>
      </c>
      <c r="H22" s="264">
        <f t="shared" si="36"/>
        <v>0.21739130434782616</v>
      </c>
      <c r="I22" s="264">
        <f t="shared" si="36"/>
        <v>0.1954735682819384</v>
      </c>
      <c r="J22" s="264">
        <f t="shared" si="36"/>
        <v>0.18181818181818188</v>
      </c>
      <c r="K22" s="264">
        <f t="shared" si="36"/>
        <v>0.15116279069767447</v>
      </c>
      <c r="L22" s="264">
        <f t="shared" si="36"/>
        <v>0.11001127819548873</v>
      </c>
      <c r="M22" s="264">
        <f t="shared" si="36"/>
        <v>9.4003629697187341E-2</v>
      </c>
      <c r="N22" s="264">
        <f t="shared" si="36"/>
        <v>0.10256410256410264</v>
      </c>
      <c r="O22" s="264">
        <f t="shared" si="36"/>
        <v>0.14983164983164987</v>
      </c>
      <c r="P22" s="264">
        <f t="shared" si="36"/>
        <v>0.21925198890480702</v>
      </c>
      <c r="Q22" s="264">
        <f t="shared" si="36"/>
        <v>0.24460013641760625</v>
      </c>
      <c r="R22" s="264">
        <f t="shared" si="36"/>
        <v>0.24031007751937983</v>
      </c>
      <c r="S22" s="264">
        <f t="shared" si="36"/>
        <v>0.2225475841874085</v>
      </c>
      <c r="T22" s="264">
        <f t="shared" si="36"/>
        <v>0.20833333333333326</v>
      </c>
      <c r="U22" s="264">
        <f t="shared" si="36"/>
        <v>0.19621109607577814</v>
      </c>
      <c r="V22" s="264">
        <f t="shared" si="36"/>
        <v>0.125</v>
      </c>
      <c r="W22" s="264">
        <f t="shared" si="36"/>
        <v>0.13892215568862265</v>
      </c>
      <c r="X22" s="264">
        <f t="shared" si="36"/>
        <v>0.18620689655172407</v>
      </c>
      <c r="Y22" s="264">
        <f t="shared" si="36"/>
        <v>0.24396493212669679</v>
      </c>
      <c r="Z22" s="264">
        <f t="shared" si="36"/>
        <v>0.34266333333333332</v>
      </c>
      <c r="AA22" s="264">
        <f t="shared" si="36"/>
        <v>0.39915878023133544</v>
      </c>
      <c r="AB22" s="264">
        <f t="shared" si="36"/>
        <v>0.40852713178294575</v>
      </c>
      <c r="AC22" s="264">
        <f t="shared" si="36"/>
        <v>0.41497637917002006</v>
      </c>
      <c r="AD22" s="264">
        <f t="shared" si="36"/>
        <v>0.40789823212073517</v>
      </c>
      <c r="AE22" s="264">
        <f t="shared" si="36"/>
        <v>0.37604539305576434</v>
      </c>
      <c r="AF22" s="264">
        <f t="shared" si="36"/>
        <v>0.32400935608145298</v>
      </c>
      <c r="AG22" s="264">
        <f t="shared" si="36"/>
        <v>0.27027570694087411</v>
      </c>
      <c r="AH22" s="264">
        <f t="shared" si="36"/>
        <v>0.24334332569211803</v>
      </c>
      <c r="AI22" s="264">
        <f t="shared" si="36"/>
        <v>0.21662554083472885</v>
      </c>
      <c r="AJ22" s="264">
        <f t="shared" si="36"/>
        <v>0.19682787932951618</v>
      </c>
      <c r="AK22" s="264">
        <f t="shared" ref="AK22:AS22" si="37">AK19/AG19-1</f>
        <v>0.2206168427901356</v>
      </c>
      <c r="AL22" s="264">
        <f t="shared" si="37"/>
        <v>0.188396444948707</v>
      </c>
      <c r="AM22" s="264">
        <f t="shared" si="37"/>
        <v>0.17841668163045443</v>
      </c>
      <c r="AN22" s="264">
        <f t="shared" si="37"/>
        <v>0.18781396645206994</v>
      </c>
      <c r="AO22" s="264">
        <f t="shared" si="37"/>
        <v>0.16714602324703276</v>
      </c>
      <c r="AP22" s="264">
        <f t="shared" si="37"/>
        <v>0.15115869704015616</v>
      </c>
      <c r="AQ22" s="264">
        <f t="shared" si="37"/>
        <v>0.12089792121342091</v>
      </c>
      <c r="AR22" s="264">
        <f t="shared" si="37"/>
        <v>7.953216374269001E-2</v>
      </c>
      <c r="AS22" s="264">
        <f t="shared" si="37"/>
        <v>7.3546087226420864E-2</v>
      </c>
      <c r="AT22" s="264">
        <f t="shared" ref="AT22:BN22" si="38">AT19/AP19-1</f>
        <v>5.9852097587946629E-2</v>
      </c>
      <c r="AU22" s="264">
        <f t="shared" si="38"/>
        <v>5.2754500318277442E-2</v>
      </c>
      <c r="AV22" s="264">
        <f t="shared" si="38"/>
        <v>6.5269840195016249E-2</v>
      </c>
      <c r="AW22" s="264">
        <f t="shared" si="38"/>
        <v>6.828962180483189E-2</v>
      </c>
      <c r="AX22" s="264">
        <f t="shared" si="38"/>
        <v>0.11313824584284315</v>
      </c>
      <c r="AY22" s="264">
        <f t="shared" si="38"/>
        <v>0.13322968413250402</v>
      </c>
      <c r="AZ22" s="264">
        <f t="shared" si="38"/>
        <v>0.14091077971803156</v>
      </c>
      <c r="BA22" s="264">
        <f t="shared" si="38"/>
        <v>0.12959063603146093</v>
      </c>
      <c r="BB22" s="264">
        <f t="shared" si="38"/>
        <v>9.92728460352168E-2</v>
      </c>
      <c r="BC22" s="264">
        <f t="shared" si="38"/>
        <v>9.2176391694897664E-2</v>
      </c>
      <c r="BD22" s="264">
        <f t="shared" si="38"/>
        <v>8.4562391705248929E-2</v>
      </c>
      <c r="BE22" s="264">
        <f t="shared" si="38"/>
        <v>7.2528029825378981E-2</v>
      </c>
      <c r="BF22" s="264">
        <f t="shared" si="38"/>
        <v>6.9338156610120327E-2</v>
      </c>
      <c r="BG22" s="264">
        <f t="shared" si="38"/>
        <v>7.9284163642542982E-2</v>
      </c>
      <c r="BH22" s="264">
        <f t="shared" si="38"/>
        <v>0.10065196670071663</v>
      </c>
      <c r="BI22" s="264">
        <f t="shared" si="38"/>
        <v>0.13699819168173599</v>
      </c>
      <c r="BJ22" s="264">
        <f t="shared" si="38"/>
        <v>0.13766604238285707</v>
      </c>
      <c r="BK22" s="264">
        <f t="shared" si="38"/>
        <v>0.14106132155268658</v>
      </c>
      <c r="BL22" s="264">
        <f t="shared" si="38"/>
        <v>0.13715154492300763</v>
      </c>
      <c r="BM22" s="264">
        <f t="shared" si="38"/>
        <v>0.11580817434820956</v>
      </c>
      <c r="BN22" s="264">
        <f t="shared" si="38"/>
        <v>0.12700247327626313</v>
      </c>
      <c r="BO22" s="264">
        <f t="shared" ref="BO22:BT22" si="39">BO19/BK19-1</f>
        <v>0.12504320613222086</v>
      </c>
      <c r="BP22" s="264">
        <f t="shared" si="39"/>
        <v>0.11065710189575695</v>
      </c>
      <c r="BQ22" s="264">
        <f t="shared" si="39"/>
        <v>0.1170306832858985</v>
      </c>
      <c r="BR22" s="264">
        <f t="shared" si="39"/>
        <v>0.10254522104687891</v>
      </c>
      <c r="BS22" s="264">
        <f t="shared" si="39"/>
        <v>9.2954376453091569E-2</v>
      </c>
      <c r="BT22" s="264">
        <f t="shared" si="39"/>
        <v>9.1439719990443757E-2</v>
      </c>
      <c r="BU22" s="782">
        <f>BU19/BQ19-1</f>
        <v>8.3403762905024159E-2</v>
      </c>
      <c r="BV22" s="782">
        <f>BV19/BR19-1</f>
        <v>7.6482860833464894E-2</v>
      </c>
      <c r="BW22" s="782">
        <f>BW19/BS19-1</f>
        <v>6.8897581849896694E-2</v>
      </c>
      <c r="BX22" s="782">
        <f>BX19/BS19-1</f>
        <v>6.8897581849896694E-2</v>
      </c>
      <c r="BY22" s="273"/>
      <c r="BZ22" s="273"/>
      <c r="CA22" s="161"/>
      <c r="CB22" s="161"/>
      <c r="CC22" s="161"/>
      <c r="CD22" s="161"/>
      <c r="CE22" s="161"/>
      <c r="CF22" s="161"/>
      <c r="CG22" s="161"/>
      <c r="CH22" s="161"/>
      <c r="CI22" s="161"/>
      <c r="CJ22" s="161"/>
      <c r="CK22" s="161"/>
      <c r="CL22" s="161"/>
      <c r="CM22" s="161"/>
      <c r="CN22" s="161"/>
      <c r="CO22" s="161"/>
      <c r="CP22" s="161"/>
      <c r="CQ22" s="161"/>
      <c r="CR22" s="161"/>
      <c r="CS22" s="161"/>
      <c r="CT22" s="161"/>
      <c r="CU22" s="161"/>
      <c r="CV22" s="161"/>
      <c r="CW22" s="161"/>
      <c r="CX22" s="161"/>
      <c r="CY22" s="161"/>
      <c r="CZ22" s="161"/>
      <c r="DA22" s="161"/>
      <c r="DB22" s="161"/>
      <c r="DC22" s="161"/>
      <c r="DD22" s="161"/>
      <c r="DE22" s="161"/>
      <c r="DF22" s="161"/>
      <c r="DG22" s="161"/>
      <c r="DH22" s="161"/>
      <c r="DI22" s="161"/>
      <c r="DJ22" s="161"/>
      <c r="DK22" s="177"/>
      <c r="DL22" s="177"/>
      <c r="DM22" s="177"/>
      <c r="DN22" s="177"/>
      <c r="DO22" s="177"/>
      <c r="DP22" s="177"/>
      <c r="DQ22" s="177"/>
      <c r="DR22" s="177"/>
      <c r="DS22" s="177"/>
      <c r="DT22" s="177"/>
      <c r="DU22" s="177"/>
      <c r="DV22" s="177"/>
      <c r="DW22" s="177"/>
      <c r="DX22" s="177"/>
      <c r="DY22" s="177"/>
      <c r="DZ22" s="177"/>
      <c r="EA22" s="177"/>
      <c r="EB22" s="808"/>
      <c r="EC22" s="808"/>
      <c r="ED22" s="808"/>
      <c r="EF22" s="161"/>
      <c r="EH22" s="161"/>
      <c r="EM22" s="161"/>
      <c r="EN22" s="161"/>
      <c r="EO22" s="161"/>
      <c r="EP22" s="161"/>
      <c r="FL22" s="264"/>
      <c r="FM22" s="264"/>
      <c r="FN22" s="264"/>
      <c r="FO22" s="433"/>
      <c r="FP22" s="161"/>
      <c r="FQ22" s="161"/>
      <c r="FR22" s="430"/>
      <c r="FS22" s="641">
        <v>0.12687600722674297</v>
      </c>
      <c r="FT22" s="639"/>
      <c r="FU22" s="668">
        <v>0.11266767770485564</v>
      </c>
      <c r="FV22" s="667"/>
      <c r="FW22" s="668">
        <v>0.12072301649965955</v>
      </c>
      <c r="FX22" s="667"/>
      <c r="FY22" s="749">
        <v>0.11678263499916475</v>
      </c>
      <c r="FZ22" s="747"/>
      <c r="GA22" s="782">
        <v>0.11250880652874784</v>
      </c>
      <c r="GB22" s="782">
        <v>9.8941646857892085E-2</v>
      </c>
      <c r="GC22" s="808"/>
      <c r="GD22" s="782">
        <v>9.0362296331855552E-2</v>
      </c>
      <c r="GE22" s="808"/>
    </row>
    <row r="23" spans="1:187">
      <c r="A23" s="161"/>
      <c r="B23" s="161"/>
      <c r="C23" s="161"/>
      <c r="D23" s="161"/>
      <c r="E23" s="161"/>
      <c r="F23" s="161"/>
      <c r="G23" s="161"/>
      <c r="H23" s="161"/>
      <c r="I23" s="263"/>
      <c r="J23" s="263"/>
      <c r="K23" s="263"/>
      <c r="L23" s="263"/>
      <c r="M23" s="263"/>
      <c r="N23" s="263"/>
      <c r="O23" s="263"/>
      <c r="P23" s="263"/>
      <c r="Q23" s="263"/>
      <c r="R23" s="263"/>
      <c r="S23" s="263"/>
      <c r="T23" s="263"/>
      <c r="U23" s="263"/>
      <c r="V23" s="263"/>
      <c r="W23" s="263"/>
      <c r="X23" s="263"/>
      <c r="Y23" s="263"/>
      <c r="Z23" s="263"/>
      <c r="AA23" s="263"/>
      <c r="AB23" s="161"/>
      <c r="AC23" s="161"/>
      <c r="AD23" s="161"/>
      <c r="AE23" s="161"/>
      <c r="AF23" s="161"/>
      <c r="AG23" s="263"/>
      <c r="AH23" s="263"/>
      <c r="AI23" s="263"/>
      <c r="AJ23" s="263"/>
      <c r="AK23" s="263"/>
      <c r="AL23" s="263"/>
      <c r="AM23" s="263"/>
      <c r="AN23" s="263"/>
      <c r="AO23" s="263"/>
      <c r="AP23" s="263"/>
      <c r="AQ23" s="263"/>
      <c r="AR23" s="263"/>
      <c r="AS23" s="264"/>
      <c r="AT23" s="264"/>
      <c r="AU23" s="264"/>
      <c r="AV23" s="264"/>
      <c r="AW23" s="264"/>
      <c r="AX23" s="264"/>
      <c r="AY23" s="264"/>
      <c r="AZ23" s="264"/>
      <c r="BA23" s="264"/>
      <c r="BB23" s="264"/>
      <c r="BC23" s="263"/>
      <c r="BD23" s="263"/>
      <c r="BE23" s="263"/>
      <c r="BF23" s="263"/>
      <c r="BG23" s="263"/>
      <c r="BH23" s="263"/>
      <c r="BI23" s="263"/>
      <c r="BJ23" s="263"/>
      <c r="BK23" s="263"/>
      <c r="BL23" s="263"/>
      <c r="BM23" s="263"/>
      <c r="BN23" s="263"/>
      <c r="BO23" s="263"/>
      <c r="BP23" s="263"/>
      <c r="BQ23" s="263"/>
      <c r="BR23" s="263"/>
      <c r="BS23" s="263"/>
      <c r="BT23" s="263"/>
      <c r="BU23" s="784"/>
      <c r="BV23" s="784"/>
      <c r="BW23" s="784"/>
      <c r="BX23" s="784"/>
      <c r="BY23" s="272"/>
      <c r="BZ23" s="272"/>
      <c r="CA23" s="161"/>
      <c r="CB23" s="161"/>
      <c r="CC23" s="161"/>
      <c r="CD23" s="161"/>
      <c r="CE23" s="161"/>
      <c r="CF23" s="161"/>
      <c r="CG23" s="161"/>
      <c r="CH23" s="161"/>
      <c r="CI23" s="161"/>
      <c r="CJ23" s="161"/>
      <c r="CK23" s="161"/>
      <c r="CL23" s="161"/>
      <c r="CM23" s="161"/>
      <c r="CN23" s="161"/>
      <c r="CO23" s="161"/>
      <c r="CP23" s="161"/>
      <c r="CQ23" s="161"/>
      <c r="CR23" s="161"/>
      <c r="CS23" s="161"/>
      <c r="CT23" s="161"/>
      <c r="CU23" s="161"/>
      <c r="CV23" s="161"/>
      <c r="CW23" s="161"/>
      <c r="CX23" s="161"/>
      <c r="CY23" s="161"/>
      <c r="CZ23" s="161"/>
      <c r="DA23" s="161"/>
      <c r="DB23" s="161"/>
      <c r="DC23" s="161"/>
      <c r="DD23" s="161"/>
      <c r="DE23" s="161"/>
      <c r="DF23" s="161"/>
      <c r="DG23" s="161"/>
      <c r="DH23" s="161"/>
      <c r="DI23" s="161"/>
      <c r="DJ23" s="161"/>
      <c r="DK23" s="177"/>
      <c r="DL23" s="177"/>
      <c r="DM23" s="177"/>
      <c r="DN23" s="177"/>
      <c r="DO23" s="177"/>
      <c r="DP23" s="177"/>
      <c r="DQ23" s="177"/>
      <c r="DR23" s="177"/>
      <c r="DS23" s="177"/>
      <c r="DT23" s="177"/>
      <c r="DU23" s="177"/>
      <c r="DV23" s="177"/>
      <c r="DW23" s="177"/>
      <c r="DX23" s="177"/>
      <c r="DY23" s="177"/>
      <c r="DZ23" s="177"/>
      <c r="EA23" s="177"/>
      <c r="EB23" s="808"/>
      <c r="EC23" s="808"/>
      <c r="ED23" s="808"/>
      <c r="EF23" s="161"/>
      <c r="EH23" s="161"/>
      <c r="EM23" s="161"/>
      <c r="EN23" s="161"/>
      <c r="EO23" s="161"/>
      <c r="EP23" s="161"/>
      <c r="FL23" s="263"/>
      <c r="FM23" s="263"/>
      <c r="FN23" s="263"/>
      <c r="FO23" s="433"/>
      <c r="FP23" s="161"/>
      <c r="FQ23" s="161"/>
      <c r="FR23" s="430"/>
      <c r="FS23" s="643"/>
      <c r="FT23" s="639"/>
      <c r="FU23" s="670"/>
      <c r="FV23" s="667"/>
      <c r="FW23" s="670"/>
      <c r="FX23" s="667"/>
      <c r="FY23" s="751"/>
      <c r="FZ23" s="747"/>
      <c r="GA23" s="784"/>
      <c r="GB23" s="784"/>
      <c r="GC23" s="808"/>
      <c r="GD23" s="784"/>
      <c r="GE23" s="808"/>
    </row>
    <row r="24" spans="1:187">
      <c r="A24" s="161"/>
      <c r="B24" s="161" t="s">
        <v>40</v>
      </c>
      <c r="C24" s="161">
        <v>277</v>
      </c>
      <c r="D24" s="161">
        <v>306</v>
      </c>
      <c r="E24" s="161">
        <v>348</v>
      </c>
      <c r="F24" s="775">
        <v>392</v>
      </c>
      <c r="G24" s="775">
        <v>415</v>
      </c>
      <c r="H24" s="775">
        <v>425</v>
      </c>
      <c r="I24" s="775">
        <v>454.87700000000001</v>
      </c>
      <c r="J24" s="775">
        <v>459</v>
      </c>
      <c r="K24" s="775">
        <v>463</v>
      </c>
      <c r="L24" s="775">
        <v>443</v>
      </c>
      <c r="M24" s="775">
        <v>450.851</v>
      </c>
      <c r="N24" s="775">
        <v>474</v>
      </c>
      <c r="O24" s="775">
        <v>495</v>
      </c>
      <c r="P24" s="775">
        <v>501</v>
      </c>
      <c r="Q24" s="775">
        <v>512</v>
      </c>
      <c r="R24" s="775">
        <v>534</v>
      </c>
      <c r="S24" s="775">
        <v>556</v>
      </c>
      <c r="T24" s="775">
        <v>568</v>
      </c>
      <c r="U24" s="775">
        <v>571</v>
      </c>
      <c r="V24" s="775">
        <v>555</v>
      </c>
      <c r="W24" s="775">
        <v>578</v>
      </c>
      <c r="X24" s="775">
        <v>614.49699999999996</v>
      </c>
      <c r="Y24" s="775">
        <v>637.80600000000004</v>
      </c>
      <c r="Z24" s="775">
        <v>678.45500000000004</v>
      </c>
      <c r="AA24" s="775">
        <v>721.44200000000001</v>
      </c>
      <c r="AB24" s="775">
        <v>760</v>
      </c>
      <c r="AC24" s="775">
        <v>800</v>
      </c>
      <c r="AD24" s="775">
        <v>849.5</v>
      </c>
      <c r="AE24" s="775">
        <v>896.31600000000003</v>
      </c>
      <c r="AF24" s="775">
        <v>911.11199999999997</v>
      </c>
      <c r="AG24" s="775">
        <v>929.57799999999997</v>
      </c>
      <c r="AH24" s="775">
        <v>1059.2</v>
      </c>
      <c r="AI24" s="775">
        <v>1176</v>
      </c>
      <c r="AJ24" s="775">
        <v>1198.98</v>
      </c>
      <c r="AK24" s="775">
        <v>1298.4590000000001</v>
      </c>
      <c r="AL24" s="775">
        <v>1382.3589999999999</v>
      </c>
      <c r="AM24" s="775">
        <v>1466.5350000000001</v>
      </c>
      <c r="AN24" s="775">
        <v>1554</v>
      </c>
      <c r="AO24" s="775">
        <v>1624.135</v>
      </c>
      <c r="AP24" s="775">
        <v>1737.8</v>
      </c>
      <c r="AQ24" s="775">
        <v>1812.8810000000001</v>
      </c>
      <c r="AR24" s="775">
        <v>1906.6</v>
      </c>
      <c r="AS24" s="775">
        <v>1988.1020000000001</v>
      </c>
      <c r="AT24" s="775">
        <v>2073</v>
      </c>
      <c r="AU24" s="775">
        <v>2130.538</v>
      </c>
      <c r="AV24" s="775">
        <v>2186.5010000000002</v>
      </c>
      <c r="AW24" s="775">
        <v>2268.1</v>
      </c>
      <c r="AX24" s="775">
        <v>2511.5810000000001</v>
      </c>
      <c r="AY24" s="775">
        <v>2626.7979999999998</v>
      </c>
      <c r="AZ24" s="775">
        <v>2727.4769999999999</v>
      </c>
      <c r="BA24" s="775">
        <v>2805.9</v>
      </c>
      <c r="BB24" s="775">
        <v>2934.54</v>
      </c>
      <c r="BC24" s="775">
        <f>Fixed!P34</f>
        <v>3031.1190000000001</v>
      </c>
      <c r="BD24" s="775">
        <v>3089.2159999999999</v>
      </c>
      <c r="BE24" s="775">
        <v>3134.337</v>
      </c>
      <c r="BF24" s="775">
        <v>3263.2629999999999</v>
      </c>
      <c r="BG24" s="775">
        <v>3404.125</v>
      </c>
      <c r="BH24" s="775">
        <v>3578.587</v>
      </c>
      <c r="BI24" s="775">
        <v>3762.866</v>
      </c>
      <c r="BJ24" s="775">
        <v>3906.433</v>
      </c>
      <c r="BK24" s="775">
        <v>4082.0549999999998</v>
      </c>
      <c r="BL24" s="775">
        <v>4255.1719999999996</v>
      </c>
      <c r="BM24" s="775">
        <v>4365.3850000000002</v>
      </c>
      <c r="BN24" s="775">
        <v>4591.9679999999998</v>
      </c>
      <c r="BO24" s="775">
        <v>4766.9560000000001</v>
      </c>
      <c r="BP24" s="775">
        <v>4850.7</v>
      </c>
      <c r="BQ24" s="775">
        <v>4984.3999999999996</v>
      </c>
      <c r="BR24" s="775">
        <v>5082.3440000000001</v>
      </c>
      <c r="BS24" s="775">
        <v>5138.7510000000002</v>
      </c>
      <c r="BT24" s="775">
        <v>5203.6959999999999</v>
      </c>
      <c r="BU24" s="1009">
        <f>BT24+50</f>
        <v>5253.6959999999999</v>
      </c>
      <c r="BV24" s="1009">
        <f>BU24+50</f>
        <v>5303.6959999999999</v>
      </c>
      <c r="BW24" s="1009">
        <f>BX24</f>
        <v>5333.7510000000002</v>
      </c>
      <c r="BX24" s="1009">
        <f>Fixed!U34</f>
        <v>5333.7510000000002</v>
      </c>
      <c r="BY24" s="273"/>
      <c r="BZ24" s="273"/>
      <c r="CA24" s="264">
        <f t="shared" ref="CA24:DF24" si="40">T24/P24-1</f>
        <v>0.1337325349301397</v>
      </c>
      <c r="CB24" s="264">
        <f t="shared" si="40"/>
        <v>0.115234375</v>
      </c>
      <c r="CC24" s="264">
        <f t="shared" si="40"/>
        <v>3.9325842696629199E-2</v>
      </c>
      <c r="CD24" s="264">
        <f t="shared" si="40"/>
        <v>3.9568345323740983E-2</v>
      </c>
      <c r="CE24" s="264">
        <f t="shared" si="40"/>
        <v>8.1860915492957709E-2</v>
      </c>
      <c r="CF24" s="264">
        <f t="shared" si="40"/>
        <v>0.11699824868651487</v>
      </c>
      <c r="CG24" s="264">
        <f t="shared" si="40"/>
        <v>0.22244144144144151</v>
      </c>
      <c r="CH24" s="264">
        <f t="shared" si="40"/>
        <v>0.24816955017301034</v>
      </c>
      <c r="CI24" s="264">
        <f t="shared" si="40"/>
        <v>0.2367839061866861</v>
      </c>
      <c r="CJ24" s="264">
        <f t="shared" si="40"/>
        <v>0.25429989683383347</v>
      </c>
      <c r="CK24" s="264">
        <f t="shared" si="40"/>
        <v>0.25210957248454191</v>
      </c>
      <c r="CL24" s="264">
        <f t="shared" si="40"/>
        <v>0.24239509205175191</v>
      </c>
      <c r="CM24" s="264">
        <f t="shared" si="40"/>
        <v>0.19883157894736847</v>
      </c>
      <c r="CN24" s="264">
        <f t="shared" si="40"/>
        <v>0.16197250000000007</v>
      </c>
      <c r="CO24" s="264">
        <f t="shared" si="40"/>
        <v>0.24685108887580931</v>
      </c>
      <c r="CP24" s="264">
        <f t="shared" si="40"/>
        <v>0.31203727256904923</v>
      </c>
      <c r="CQ24" s="264">
        <f t="shared" si="40"/>
        <v>0.3159523746806101</v>
      </c>
      <c r="CR24" s="264">
        <f t="shared" si="40"/>
        <v>0.39682630182728085</v>
      </c>
      <c r="CS24" s="264">
        <f t="shared" si="40"/>
        <v>0.30509724320241682</v>
      </c>
      <c r="CT24" s="264">
        <f t="shared" si="40"/>
        <v>0.24705357142857154</v>
      </c>
      <c r="CU24" s="264">
        <f t="shared" si="40"/>
        <v>0.29610168643346846</v>
      </c>
      <c r="CV24" s="264">
        <f t="shared" si="40"/>
        <v>0.25081731498645699</v>
      </c>
      <c r="CW24" s="264">
        <f t="shared" si="40"/>
        <v>0.25712640493533168</v>
      </c>
      <c r="CX24" s="264">
        <f t="shared" si="40"/>
        <v>0.23616620128397892</v>
      </c>
      <c r="CY24" s="264">
        <f t="shared" si="40"/>
        <v>0.2268983268983269</v>
      </c>
      <c r="CZ24" s="264">
        <f t="shared" si="40"/>
        <v>0.22409898191960642</v>
      </c>
      <c r="DA24" s="264">
        <f t="shared" si="40"/>
        <v>0.19288755898262178</v>
      </c>
      <c r="DB24" s="264">
        <f t="shared" si="40"/>
        <v>0.17522220156756019</v>
      </c>
      <c r="DC24" s="264">
        <f t="shared" si="40"/>
        <v>0.14680635686562482</v>
      </c>
      <c r="DD24" s="264">
        <f t="shared" si="40"/>
        <v>0.14083683835135208</v>
      </c>
      <c r="DE24" s="264">
        <f t="shared" si="40"/>
        <v>0.21156825856246986</v>
      </c>
      <c r="DF24" s="264">
        <f t="shared" si="40"/>
        <v>0.2329270822674836</v>
      </c>
      <c r="DG24" s="264">
        <f t="shared" ref="DG24:EA24" si="41">AZ24/AV24-1</f>
        <v>0.2474163057780443</v>
      </c>
      <c r="DH24" s="264">
        <f t="shared" si="41"/>
        <v>0.2371147656628898</v>
      </c>
      <c r="DI24" s="264">
        <f t="shared" si="41"/>
        <v>0.16840348768365421</v>
      </c>
      <c r="DJ24" s="264">
        <f t="shared" si="41"/>
        <v>0.15392161863988041</v>
      </c>
      <c r="DK24" s="467">
        <f t="shared" si="41"/>
        <v>0.13262769951863951</v>
      </c>
      <c r="DL24" s="467">
        <f t="shared" si="41"/>
        <v>0.11705228269004597</v>
      </c>
      <c r="DM24" s="467">
        <f t="shared" si="41"/>
        <v>0.11201857872102616</v>
      </c>
      <c r="DN24" s="467">
        <f t="shared" si="41"/>
        <v>0.12305884394509081</v>
      </c>
      <c r="DO24" s="467">
        <f t="shared" si="41"/>
        <v>0.15841268464231706</v>
      </c>
      <c r="DP24" s="467">
        <f t="shared" si="41"/>
        <v>0.20053012806217074</v>
      </c>
      <c r="DQ24" s="467">
        <f t="shared" si="41"/>
        <v>0.19709413553244093</v>
      </c>
      <c r="DR24" s="467">
        <f t="shared" si="41"/>
        <v>0.1991495611941394</v>
      </c>
      <c r="DS24" s="467">
        <f t="shared" si="41"/>
        <v>0.18906484598530082</v>
      </c>
      <c r="DT24" s="467">
        <f t="shared" si="41"/>
        <v>0.16012236417666759</v>
      </c>
      <c r="DU24" s="467">
        <f t="shared" si="41"/>
        <v>0.17548873870356907</v>
      </c>
      <c r="DV24" s="467">
        <f t="shared" si="41"/>
        <v>0.1677833836143805</v>
      </c>
      <c r="DW24" s="467">
        <f t="shared" si="41"/>
        <v>0.13995391960654002</v>
      </c>
      <c r="DX24" s="467">
        <f t="shared" si="41"/>
        <v>0.14180078045808098</v>
      </c>
      <c r="DY24" s="467">
        <f t="shared" si="41"/>
        <v>0.10678994278705778</v>
      </c>
      <c r="DZ24" s="467">
        <f t="shared" si="41"/>
        <v>7.7994216854529341E-2</v>
      </c>
      <c r="EA24" s="467">
        <f t="shared" si="41"/>
        <v>7.2772177211536393E-2</v>
      </c>
      <c r="EB24" s="809">
        <f t="shared" ref="EB24" si="42">BU24/BQ24-1</f>
        <v>5.4027766631891572E-2</v>
      </c>
      <c r="EC24" s="809">
        <f t="shared" ref="EC24" si="43">BV24/BR24-1</f>
        <v>4.3553132176806564E-2</v>
      </c>
      <c r="ED24" s="809">
        <f t="shared" ref="ED24" si="44">BW24/BS24-1</f>
        <v>3.7946964155297636E-2</v>
      </c>
      <c r="EF24" s="161"/>
      <c r="EH24" s="161"/>
      <c r="EM24" s="161"/>
      <c r="EN24" s="161"/>
      <c r="EO24" s="161"/>
      <c r="EP24" s="161"/>
      <c r="FL24" s="263">
        <v>3524.125</v>
      </c>
      <c r="FM24" s="263">
        <v>3728.587</v>
      </c>
      <c r="FN24" s="263">
        <v>3902.866</v>
      </c>
      <c r="FO24" s="433">
        <v>4044.125</v>
      </c>
      <c r="FP24" s="264">
        <v>0.18959352488261483</v>
      </c>
      <c r="FQ24" s="264">
        <v>0.19600105783689514</v>
      </c>
      <c r="FR24" s="432">
        <v>0.18800719715051595</v>
      </c>
      <c r="FS24" s="644">
        <v>4405.1719999999996</v>
      </c>
      <c r="FT24" s="641">
        <v>0.17069595356305522</v>
      </c>
      <c r="FU24" s="671">
        <v>4470</v>
      </c>
      <c r="FV24" s="668">
        <v>0.14426639340800151</v>
      </c>
      <c r="FW24" s="670">
        <v>4757.0550000000003</v>
      </c>
      <c r="FX24" s="668">
        <v>0.16535788959237463</v>
      </c>
      <c r="FY24" s="750">
        <v>4906.9560000000001</v>
      </c>
      <c r="FZ24" s="749">
        <v>0.15317453677548176</v>
      </c>
      <c r="GA24" s="783">
        <v>4970.7</v>
      </c>
      <c r="GB24" s="783">
        <v>5104.3999999999996</v>
      </c>
      <c r="GC24" s="809">
        <v>0.11159311214712297</v>
      </c>
      <c r="GD24" s="784">
        <v>5166.9560000000001</v>
      </c>
      <c r="GE24" s="809">
        <v>8.3910990577634958E-2</v>
      </c>
    </row>
    <row r="25" spans="1:187">
      <c r="A25" s="161"/>
      <c r="B25" s="161" t="s">
        <v>42</v>
      </c>
      <c r="C25" s="161"/>
      <c r="D25" s="263">
        <f t="shared" ref="D25:AI25" si="45">D24-C24</f>
        <v>29</v>
      </c>
      <c r="E25" s="263">
        <f t="shared" si="45"/>
        <v>42</v>
      </c>
      <c r="F25" s="263">
        <f t="shared" si="45"/>
        <v>44</v>
      </c>
      <c r="G25" s="263">
        <f t="shared" si="45"/>
        <v>23</v>
      </c>
      <c r="H25" s="263">
        <f t="shared" si="45"/>
        <v>10</v>
      </c>
      <c r="I25" s="263">
        <f t="shared" si="45"/>
        <v>29.87700000000001</v>
      </c>
      <c r="J25" s="263">
        <f t="shared" si="45"/>
        <v>4.1229999999999905</v>
      </c>
      <c r="K25" s="263">
        <f t="shared" si="45"/>
        <v>4</v>
      </c>
      <c r="L25" s="263">
        <f t="shared" si="45"/>
        <v>-20</v>
      </c>
      <c r="M25" s="263">
        <f t="shared" si="45"/>
        <v>7.8509999999999991</v>
      </c>
      <c r="N25" s="263">
        <f t="shared" si="45"/>
        <v>23.149000000000001</v>
      </c>
      <c r="O25" s="263">
        <f t="shared" si="45"/>
        <v>21</v>
      </c>
      <c r="P25" s="263">
        <f t="shared" si="45"/>
        <v>6</v>
      </c>
      <c r="Q25" s="263">
        <f t="shared" si="45"/>
        <v>11</v>
      </c>
      <c r="R25" s="263">
        <f t="shared" si="45"/>
        <v>22</v>
      </c>
      <c r="S25" s="263">
        <f t="shared" si="45"/>
        <v>22</v>
      </c>
      <c r="T25" s="263">
        <f t="shared" si="45"/>
        <v>12</v>
      </c>
      <c r="U25" s="263">
        <f t="shared" si="45"/>
        <v>3</v>
      </c>
      <c r="V25" s="263">
        <f t="shared" si="45"/>
        <v>-16</v>
      </c>
      <c r="W25" s="263">
        <f t="shared" si="45"/>
        <v>23</v>
      </c>
      <c r="X25" s="263">
        <f t="shared" si="45"/>
        <v>36.496999999999957</v>
      </c>
      <c r="Y25" s="263">
        <f t="shared" si="45"/>
        <v>23.309000000000083</v>
      </c>
      <c r="Z25" s="263">
        <f t="shared" si="45"/>
        <v>40.649000000000001</v>
      </c>
      <c r="AA25" s="263">
        <f t="shared" si="45"/>
        <v>42.986999999999966</v>
      </c>
      <c r="AB25" s="263">
        <f t="shared" si="45"/>
        <v>38.557999999999993</v>
      </c>
      <c r="AC25" s="263">
        <f t="shared" si="45"/>
        <v>40</v>
      </c>
      <c r="AD25" s="263">
        <f t="shared" si="45"/>
        <v>49.5</v>
      </c>
      <c r="AE25" s="263">
        <f t="shared" si="45"/>
        <v>46.816000000000031</v>
      </c>
      <c r="AF25" s="263">
        <f t="shared" si="45"/>
        <v>14.795999999999935</v>
      </c>
      <c r="AG25" s="263">
        <f t="shared" si="45"/>
        <v>18.466000000000008</v>
      </c>
      <c r="AH25" s="263">
        <f t="shared" si="45"/>
        <v>129.62200000000007</v>
      </c>
      <c r="AI25" s="263">
        <f t="shared" si="45"/>
        <v>116.79999999999995</v>
      </c>
      <c r="AJ25" s="263">
        <f t="shared" ref="AJ25:BJ25" si="46">AJ24-AI24</f>
        <v>22.980000000000018</v>
      </c>
      <c r="AK25" s="263">
        <f t="shared" si="46"/>
        <v>99.479000000000042</v>
      </c>
      <c r="AL25" s="263">
        <f t="shared" si="46"/>
        <v>83.899999999999864</v>
      </c>
      <c r="AM25" s="263">
        <f t="shared" si="46"/>
        <v>84.176000000000158</v>
      </c>
      <c r="AN25" s="263">
        <f t="shared" si="46"/>
        <v>87.464999999999918</v>
      </c>
      <c r="AO25" s="263">
        <f t="shared" si="46"/>
        <v>70.134999999999991</v>
      </c>
      <c r="AP25" s="263">
        <f t="shared" si="46"/>
        <v>113.66499999999996</v>
      </c>
      <c r="AQ25" s="263">
        <f t="shared" si="46"/>
        <v>75.081000000000131</v>
      </c>
      <c r="AR25" s="263">
        <f t="shared" si="46"/>
        <v>93.718999999999824</v>
      </c>
      <c r="AS25" s="263">
        <f t="shared" si="46"/>
        <v>81.50200000000018</v>
      </c>
      <c r="AT25" s="263">
        <f t="shared" si="46"/>
        <v>84.897999999999911</v>
      </c>
      <c r="AU25" s="263">
        <f t="shared" si="46"/>
        <v>57.538000000000011</v>
      </c>
      <c r="AV25" s="263">
        <f t="shared" si="46"/>
        <v>55.963000000000193</v>
      </c>
      <c r="AW25" s="263">
        <f t="shared" si="46"/>
        <v>81.598999999999705</v>
      </c>
      <c r="AX25" s="263">
        <f t="shared" si="46"/>
        <v>243.48100000000022</v>
      </c>
      <c r="AY25" s="263">
        <f t="shared" si="46"/>
        <v>115.21699999999964</v>
      </c>
      <c r="AZ25" s="263">
        <f t="shared" si="46"/>
        <v>100.67900000000009</v>
      </c>
      <c r="BA25" s="263">
        <f t="shared" si="46"/>
        <v>78.423000000000229</v>
      </c>
      <c r="BB25" s="263">
        <f t="shared" si="46"/>
        <v>128.63999999999987</v>
      </c>
      <c r="BC25" s="263">
        <f t="shared" si="46"/>
        <v>96.579000000000178</v>
      </c>
      <c r="BD25" s="263">
        <f t="shared" si="46"/>
        <v>58.096999999999753</v>
      </c>
      <c r="BE25" s="263">
        <f t="shared" si="46"/>
        <v>45.121000000000095</v>
      </c>
      <c r="BF25" s="263">
        <f t="shared" si="46"/>
        <v>128.92599999999993</v>
      </c>
      <c r="BG25" s="263">
        <f t="shared" si="46"/>
        <v>140.86200000000008</v>
      </c>
      <c r="BH25" s="263">
        <f t="shared" si="46"/>
        <v>174.46199999999999</v>
      </c>
      <c r="BI25" s="263">
        <f t="shared" si="46"/>
        <v>184.279</v>
      </c>
      <c r="BJ25" s="263">
        <f t="shared" si="46"/>
        <v>143.56700000000001</v>
      </c>
      <c r="BK25" s="263">
        <f t="shared" ref="BK25:BP25" si="47">BK24-BJ24</f>
        <v>175.62199999999984</v>
      </c>
      <c r="BL25" s="263">
        <f t="shared" si="47"/>
        <v>173.11699999999973</v>
      </c>
      <c r="BM25" s="263">
        <f t="shared" si="47"/>
        <v>110.21300000000065</v>
      </c>
      <c r="BN25" s="263">
        <f t="shared" si="47"/>
        <v>226.58299999999963</v>
      </c>
      <c r="BO25" s="263">
        <f t="shared" si="47"/>
        <v>174.98800000000028</v>
      </c>
      <c r="BP25" s="263">
        <f t="shared" si="47"/>
        <v>83.743999999999687</v>
      </c>
      <c r="BQ25" s="263">
        <f t="shared" ref="BQ25:BW25" si="48">BQ24-BP24</f>
        <v>133.69999999999982</v>
      </c>
      <c r="BR25" s="263">
        <f t="shared" si="48"/>
        <v>97.944000000000415</v>
      </c>
      <c r="BS25" s="263">
        <f t="shared" si="48"/>
        <v>56.407000000000153</v>
      </c>
      <c r="BT25" s="263">
        <f t="shared" si="48"/>
        <v>64.944999999999709</v>
      </c>
      <c r="BU25" s="1009">
        <f t="shared" si="48"/>
        <v>50</v>
      </c>
      <c r="BV25" s="1009">
        <f t="shared" si="48"/>
        <v>50</v>
      </c>
      <c r="BW25" s="1009">
        <f t="shared" si="48"/>
        <v>30.055000000000291</v>
      </c>
      <c r="BX25" s="1009">
        <f>BX24-BS24</f>
        <v>195</v>
      </c>
      <c r="BY25" s="273"/>
      <c r="BZ25" s="273"/>
      <c r="CA25" s="161"/>
      <c r="CB25" s="161"/>
      <c r="CC25" s="161"/>
      <c r="CD25" s="161"/>
      <c r="CE25" s="161"/>
      <c r="CF25" s="161"/>
      <c r="CG25" s="161"/>
      <c r="CH25" s="161"/>
      <c r="CI25" s="161"/>
      <c r="CJ25" s="161"/>
      <c r="CK25" s="161"/>
      <c r="CL25" s="161"/>
      <c r="CM25" s="161"/>
      <c r="CN25" s="161"/>
      <c r="CO25" s="161"/>
      <c r="CP25" s="161"/>
      <c r="CQ25" s="161"/>
      <c r="CR25" s="161"/>
      <c r="CS25" s="161"/>
      <c r="CT25" s="161"/>
      <c r="CU25" s="161"/>
      <c r="CV25" s="161"/>
      <c r="CW25" s="161"/>
      <c r="CX25" s="161"/>
      <c r="CY25" s="161"/>
      <c r="CZ25" s="161"/>
      <c r="DA25" s="161"/>
      <c r="DB25" s="161"/>
      <c r="DC25" s="161"/>
      <c r="DD25" s="161"/>
      <c r="DE25" s="161"/>
      <c r="DF25" s="161"/>
      <c r="DG25" s="161"/>
      <c r="DH25" s="161"/>
      <c r="DI25" s="161"/>
      <c r="DJ25" s="161"/>
      <c r="DK25" s="177"/>
      <c r="DL25" s="177"/>
      <c r="DM25" s="177"/>
      <c r="DN25" s="177"/>
      <c r="DO25" s="177"/>
      <c r="DP25" s="177"/>
      <c r="DQ25" s="177"/>
      <c r="DR25" s="177"/>
      <c r="DS25" s="177"/>
      <c r="DT25" s="177"/>
      <c r="DU25" s="177"/>
      <c r="DV25" s="177"/>
      <c r="DW25" s="177"/>
      <c r="DX25" s="177"/>
      <c r="DY25" s="177"/>
      <c r="DZ25" s="177"/>
      <c r="EA25" s="177"/>
      <c r="EB25" s="808"/>
      <c r="EC25" s="808"/>
      <c r="ED25" s="808"/>
      <c r="EF25" s="161"/>
      <c r="EH25" s="161"/>
      <c r="EM25" s="161"/>
      <c r="EN25" s="161"/>
      <c r="EO25" s="161"/>
      <c r="EP25" s="161"/>
      <c r="FL25" s="271">
        <v>120</v>
      </c>
      <c r="FM25" s="271">
        <v>150</v>
      </c>
      <c r="FN25" s="271">
        <v>140</v>
      </c>
      <c r="FO25" s="433">
        <v>137.69200000000001</v>
      </c>
      <c r="FP25" s="161"/>
      <c r="FQ25" s="161"/>
      <c r="FR25" s="430"/>
      <c r="FS25" s="643">
        <v>150</v>
      </c>
      <c r="FT25" s="639"/>
      <c r="FU25" s="670">
        <v>104.61499999999978</v>
      </c>
      <c r="FV25" s="667"/>
      <c r="FW25" s="670">
        <v>165.08700000000044</v>
      </c>
      <c r="FX25" s="667"/>
      <c r="FY25" s="751">
        <v>140</v>
      </c>
      <c r="FZ25" s="747"/>
      <c r="GA25" s="784">
        <v>120</v>
      </c>
      <c r="GB25" s="784">
        <v>120</v>
      </c>
      <c r="GC25" s="808"/>
      <c r="GD25" s="784">
        <v>84.61200000000008</v>
      </c>
      <c r="GE25" s="808"/>
    </row>
    <row r="26" spans="1:187" hidden="1" outlineLevel="1">
      <c r="A26" s="161"/>
      <c r="B26" s="274" t="s">
        <v>438</v>
      </c>
      <c r="C26" s="161"/>
      <c r="D26" s="263"/>
      <c r="E26" s="263"/>
      <c r="F26" s="263"/>
      <c r="G26" s="263"/>
      <c r="H26" s="263"/>
      <c r="I26" s="263"/>
      <c r="J26" s="263"/>
      <c r="K26" s="263"/>
      <c r="L26" s="263"/>
      <c r="M26" s="263"/>
      <c r="N26" s="263"/>
      <c r="O26" s="263"/>
      <c r="P26" s="263"/>
      <c r="Q26" s="263"/>
      <c r="R26" s="263"/>
      <c r="S26" s="263"/>
      <c r="T26" s="263"/>
      <c r="U26" s="263"/>
      <c r="V26" s="263"/>
      <c r="W26" s="263"/>
      <c r="X26" s="263"/>
      <c r="Y26" s="263"/>
      <c r="Z26" s="263"/>
      <c r="AA26" s="263"/>
      <c r="AB26" s="263"/>
      <c r="AC26" s="263"/>
      <c r="AD26" s="263"/>
      <c r="AE26" s="263"/>
      <c r="AF26" s="263"/>
      <c r="AG26" s="263"/>
      <c r="AH26" s="263">
        <f>AH25-40</f>
        <v>89.622000000000071</v>
      </c>
      <c r="AI26" s="263"/>
      <c r="AJ26" s="263"/>
      <c r="AK26" s="263"/>
      <c r="AL26" s="263"/>
      <c r="AM26" s="263"/>
      <c r="AN26" s="263"/>
      <c r="AO26" s="263"/>
      <c r="AP26" s="263"/>
      <c r="AQ26" s="263"/>
      <c r="AR26" s="263"/>
      <c r="AS26" s="263">
        <f>AS25-50</f>
        <v>31.50200000000018</v>
      </c>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3"/>
      <c r="BQ26" s="263"/>
      <c r="BR26" s="263"/>
      <c r="BS26" s="263"/>
      <c r="BT26" s="263"/>
      <c r="BU26" s="784"/>
      <c r="BV26" s="784"/>
      <c r="BW26" s="784"/>
      <c r="BX26" s="784"/>
      <c r="BY26" s="273"/>
      <c r="BZ26" s="273"/>
      <c r="CA26" s="161"/>
      <c r="CB26" s="161"/>
      <c r="CC26" s="161"/>
      <c r="CD26" s="161"/>
      <c r="CE26" s="161"/>
      <c r="CF26" s="161"/>
      <c r="CG26" s="161"/>
      <c r="CH26" s="161"/>
      <c r="CI26" s="161"/>
      <c r="CJ26" s="161"/>
      <c r="CK26" s="161"/>
      <c r="CL26" s="161"/>
      <c r="CM26" s="161"/>
      <c r="CN26" s="161"/>
      <c r="CO26" s="161"/>
      <c r="CP26" s="161"/>
      <c r="CQ26" s="161"/>
      <c r="CR26" s="161"/>
      <c r="CS26" s="161"/>
      <c r="CT26" s="161"/>
      <c r="CU26" s="161"/>
      <c r="CV26" s="161"/>
      <c r="CW26" s="161"/>
      <c r="CX26" s="161"/>
      <c r="CY26" s="161"/>
      <c r="CZ26" s="161"/>
      <c r="DA26" s="161"/>
      <c r="DB26" s="161"/>
      <c r="DC26" s="161"/>
      <c r="DD26" s="161"/>
      <c r="DE26" s="161"/>
      <c r="DF26" s="161"/>
      <c r="DG26" s="161"/>
      <c r="DH26" s="161"/>
      <c r="DI26" s="161"/>
      <c r="DJ26" s="161"/>
      <c r="DK26" s="177"/>
      <c r="DL26" s="177"/>
      <c r="DM26" s="177"/>
      <c r="DN26" s="177"/>
      <c r="DO26" s="177"/>
      <c r="DP26" s="177"/>
      <c r="DQ26" s="177"/>
      <c r="DR26" s="177"/>
      <c r="DS26" s="177"/>
      <c r="DT26" s="177"/>
      <c r="DU26" s="177"/>
      <c r="DV26" s="177"/>
      <c r="DW26" s="177"/>
      <c r="DX26" s="177"/>
      <c r="DY26" s="177"/>
      <c r="DZ26" s="177"/>
      <c r="EA26" s="177"/>
      <c r="EB26" s="808"/>
      <c r="EC26" s="808"/>
      <c r="ED26" s="808"/>
      <c r="EF26" s="161"/>
      <c r="EH26" s="161"/>
      <c r="EM26" s="161"/>
      <c r="EN26" s="161"/>
      <c r="EO26" s="161"/>
      <c r="EP26" s="161"/>
      <c r="FL26" s="263"/>
      <c r="FM26" s="263"/>
      <c r="FN26" s="263"/>
      <c r="FO26" s="433"/>
      <c r="FP26" s="161"/>
      <c r="FQ26" s="161"/>
      <c r="FR26" s="430"/>
      <c r="FS26" s="643"/>
      <c r="FT26" s="639"/>
      <c r="FU26" s="670"/>
      <c r="FV26" s="667"/>
      <c r="FW26" s="670"/>
      <c r="FX26" s="667"/>
      <c r="FY26" s="751"/>
      <c r="FZ26" s="747"/>
      <c r="GA26" s="784"/>
      <c r="GB26" s="784"/>
      <c r="GC26" s="808"/>
      <c r="GD26" s="784"/>
      <c r="GE26" s="808"/>
    </row>
    <row r="27" spans="1:187" collapsed="1">
      <c r="A27" s="161"/>
      <c r="B27" s="161" t="s">
        <v>439</v>
      </c>
      <c r="C27" s="161"/>
      <c r="D27" s="263"/>
      <c r="E27" s="263"/>
      <c r="F27" s="263"/>
      <c r="G27" s="264">
        <f t="shared" ref="G27:AJ27" si="49">G24/C24-1</f>
        <v>0.49819494584837543</v>
      </c>
      <c r="H27" s="264">
        <f t="shared" si="49"/>
        <v>0.38888888888888884</v>
      </c>
      <c r="I27" s="264">
        <f t="shared" si="49"/>
        <v>0.3071178160919541</v>
      </c>
      <c r="J27" s="264">
        <f t="shared" si="49"/>
        <v>0.17091836734693877</v>
      </c>
      <c r="K27" s="264">
        <f t="shared" si="49"/>
        <v>0.11566265060240966</v>
      </c>
      <c r="L27" s="264">
        <f t="shared" si="49"/>
        <v>4.2352941176470482E-2</v>
      </c>
      <c r="M27" s="264">
        <f t="shared" si="49"/>
        <v>-8.8507442671316161E-3</v>
      </c>
      <c r="N27" s="264">
        <f t="shared" si="49"/>
        <v>3.2679738562091609E-2</v>
      </c>
      <c r="O27" s="264">
        <f t="shared" si="49"/>
        <v>6.9114470842332576E-2</v>
      </c>
      <c r="P27" s="264">
        <f t="shared" si="49"/>
        <v>0.13092550790067725</v>
      </c>
      <c r="Q27" s="264">
        <f t="shared" si="49"/>
        <v>0.13563017493584351</v>
      </c>
      <c r="R27" s="264">
        <f t="shared" si="49"/>
        <v>0.12658227848101267</v>
      </c>
      <c r="S27" s="264">
        <f t="shared" si="49"/>
        <v>0.12323232323232314</v>
      </c>
      <c r="T27" s="264">
        <f t="shared" si="49"/>
        <v>0.1337325349301397</v>
      </c>
      <c r="U27" s="264">
        <f t="shared" si="49"/>
        <v>0.115234375</v>
      </c>
      <c r="V27" s="264">
        <f t="shared" si="49"/>
        <v>3.9325842696629199E-2</v>
      </c>
      <c r="W27" s="264">
        <f t="shared" si="49"/>
        <v>3.9568345323740983E-2</v>
      </c>
      <c r="X27" s="264">
        <f t="shared" si="49"/>
        <v>8.1860915492957709E-2</v>
      </c>
      <c r="Y27" s="264">
        <f t="shared" si="49"/>
        <v>0.11699824868651487</v>
      </c>
      <c r="Z27" s="264">
        <f t="shared" si="49"/>
        <v>0.22244144144144151</v>
      </c>
      <c r="AA27" s="264">
        <f t="shared" si="49"/>
        <v>0.24816955017301034</v>
      </c>
      <c r="AB27" s="264">
        <f t="shared" si="49"/>
        <v>0.2367839061866861</v>
      </c>
      <c r="AC27" s="264">
        <f t="shared" si="49"/>
        <v>0.25429989683383347</v>
      </c>
      <c r="AD27" s="264">
        <f t="shared" si="49"/>
        <v>0.25210957248454191</v>
      </c>
      <c r="AE27" s="264">
        <f t="shared" si="49"/>
        <v>0.24239509205175191</v>
      </c>
      <c r="AF27" s="264">
        <f t="shared" si="49"/>
        <v>0.19883157894736847</v>
      </c>
      <c r="AG27" s="264">
        <f t="shared" si="49"/>
        <v>0.16197250000000007</v>
      </c>
      <c r="AH27" s="264">
        <f t="shared" si="49"/>
        <v>0.24685108887580931</v>
      </c>
      <c r="AI27" s="264">
        <f t="shared" si="49"/>
        <v>0.31203727256904923</v>
      </c>
      <c r="AJ27" s="264">
        <f t="shared" si="49"/>
        <v>0.3159523746806101</v>
      </c>
      <c r="AK27" s="264">
        <f t="shared" ref="AK27:BH27" si="50">AK24/AG24-1</f>
        <v>0.39682630182728085</v>
      </c>
      <c r="AL27" s="264">
        <f t="shared" si="50"/>
        <v>0.30509724320241682</v>
      </c>
      <c r="AM27" s="264">
        <f t="shared" si="50"/>
        <v>0.24705357142857154</v>
      </c>
      <c r="AN27" s="264">
        <f t="shared" si="50"/>
        <v>0.29610168643346846</v>
      </c>
      <c r="AO27" s="264">
        <f t="shared" si="50"/>
        <v>0.25081731498645699</v>
      </c>
      <c r="AP27" s="264">
        <f t="shared" si="50"/>
        <v>0.25712640493533168</v>
      </c>
      <c r="AQ27" s="264">
        <f t="shared" si="50"/>
        <v>0.23616620128397892</v>
      </c>
      <c r="AR27" s="264">
        <f t="shared" si="50"/>
        <v>0.2268983268983269</v>
      </c>
      <c r="AS27" s="264">
        <f t="shared" si="50"/>
        <v>0.22409898191960642</v>
      </c>
      <c r="AT27" s="264">
        <f t="shared" si="50"/>
        <v>0.19288755898262178</v>
      </c>
      <c r="AU27" s="264">
        <f t="shared" si="50"/>
        <v>0.17522220156756019</v>
      </c>
      <c r="AV27" s="264">
        <f t="shared" si="50"/>
        <v>0.14680635686562482</v>
      </c>
      <c r="AW27" s="264">
        <f t="shared" si="50"/>
        <v>0.14083683835135208</v>
      </c>
      <c r="AX27" s="264">
        <f t="shared" si="50"/>
        <v>0.21156825856246986</v>
      </c>
      <c r="AY27" s="264">
        <f t="shared" si="50"/>
        <v>0.2329270822674836</v>
      </c>
      <c r="AZ27" s="264">
        <f t="shared" si="50"/>
        <v>0.2474163057780443</v>
      </c>
      <c r="BA27" s="264">
        <f t="shared" si="50"/>
        <v>0.2371147656628898</v>
      </c>
      <c r="BB27" s="264">
        <f t="shared" si="50"/>
        <v>0.16840348768365421</v>
      </c>
      <c r="BC27" s="264">
        <f t="shared" si="50"/>
        <v>0.15392161863988041</v>
      </c>
      <c r="BD27" s="264">
        <f t="shared" si="50"/>
        <v>0.13262769951863951</v>
      </c>
      <c r="BE27" s="264">
        <f t="shared" si="50"/>
        <v>0.11705228269004597</v>
      </c>
      <c r="BF27" s="264">
        <f t="shared" si="50"/>
        <v>0.11201857872102616</v>
      </c>
      <c r="BG27" s="264">
        <f t="shared" si="50"/>
        <v>0.12305884394509081</v>
      </c>
      <c r="BH27" s="264">
        <f t="shared" si="50"/>
        <v>0.15841268464231706</v>
      </c>
      <c r="BI27" s="264">
        <f t="shared" ref="BI27:BO27" si="51">BI24/BE24-1</f>
        <v>0.20053012806217074</v>
      </c>
      <c r="BJ27" s="264">
        <f t="shared" si="51"/>
        <v>0.19709413553244093</v>
      </c>
      <c r="BK27" s="264">
        <f t="shared" si="51"/>
        <v>0.1991495611941394</v>
      </c>
      <c r="BL27" s="264">
        <f t="shared" si="51"/>
        <v>0.18906484598530082</v>
      </c>
      <c r="BM27" s="264">
        <f t="shared" si="51"/>
        <v>0.16012236417666759</v>
      </c>
      <c r="BN27" s="264">
        <f t="shared" si="51"/>
        <v>0.17548873870356907</v>
      </c>
      <c r="BO27" s="264">
        <f t="shared" si="51"/>
        <v>0.1677833836143805</v>
      </c>
      <c r="BP27" s="264">
        <f>BS24/BL24-1</f>
        <v>0.20764824547632865</v>
      </c>
      <c r="BQ27" s="264">
        <f>BQ24/BM24-1</f>
        <v>0.14180078045808098</v>
      </c>
      <c r="BR27" s="264">
        <f>BR24/BN24-1</f>
        <v>0.10678994278705778</v>
      </c>
      <c r="BS27" s="264">
        <f>BS24/BO24-1</f>
        <v>7.7994216854529341E-2</v>
      </c>
      <c r="BT27" s="264">
        <f>BW24/BP24-1</f>
        <v>9.9583771414435196E-2</v>
      </c>
      <c r="BU27" s="782">
        <f>BU24/BQ24-1</f>
        <v>5.4027766631891572E-2</v>
      </c>
      <c r="BV27" s="782">
        <f>BV24/BR24-1</f>
        <v>4.3553132176806564E-2</v>
      </c>
      <c r="BW27" s="782">
        <f>BW24/BS24-1</f>
        <v>3.7946964155297636E-2</v>
      </c>
      <c r="BX27" s="782">
        <f>BX24/BS24-1</f>
        <v>3.7946964155297636E-2</v>
      </c>
      <c r="BY27" s="273"/>
      <c r="BZ27" s="273"/>
      <c r="CA27" s="161"/>
      <c r="CB27" s="161"/>
      <c r="CC27" s="161"/>
      <c r="CD27" s="161"/>
      <c r="CE27" s="161"/>
      <c r="CF27" s="161"/>
      <c r="CG27" s="161"/>
      <c r="CH27" s="161"/>
      <c r="CI27" s="161"/>
      <c r="CJ27" s="161"/>
      <c r="CK27" s="161"/>
      <c r="CL27" s="161"/>
      <c r="CM27" s="161"/>
      <c r="CN27" s="161"/>
      <c r="CO27" s="161"/>
      <c r="CP27" s="161"/>
      <c r="CQ27" s="161"/>
      <c r="CR27" s="161"/>
      <c r="CS27" s="161"/>
      <c r="CT27" s="161"/>
      <c r="CU27" s="161"/>
      <c r="CV27" s="161"/>
      <c r="CW27" s="161"/>
      <c r="CX27" s="161"/>
      <c r="CY27" s="161"/>
      <c r="CZ27" s="161"/>
      <c r="DA27" s="161"/>
      <c r="DB27" s="161"/>
      <c r="DC27" s="161"/>
      <c r="DD27" s="161"/>
      <c r="DE27" s="161"/>
      <c r="DF27" s="161"/>
      <c r="DG27" s="161"/>
      <c r="DH27" s="161"/>
      <c r="DI27" s="161"/>
      <c r="DJ27" s="161"/>
      <c r="DK27" s="177"/>
      <c r="DL27" s="177"/>
      <c r="DM27" s="177"/>
      <c r="DN27" s="177"/>
      <c r="DO27" s="177"/>
      <c r="DP27" s="177"/>
      <c r="DQ27" s="177"/>
      <c r="DR27" s="177"/>
      <c r="DS27" s="177"/>
      <c r="DT27" s="177"/>
      <c r="DU27" s="177"/>
      <c r="DV27" s="177"/>
      <c r="DW27" s="177"/>
      <c r="DX27" s="177"/>
      <c r="DY27" s="177"/>
      <c r="DZ27" s="177"/>
      <c r="EA27" s="177"/>
      <c r="EB27" s="808"/>
      <c r="EC27" s="808"/>
      <c r="ED27" s="808"/>
      <c r="EF27" s="161"/>
      <c r="EH27" s="161"/>
      <c r="EM27" s="161"/>
      <c r="EN27" s="161"/>
      <c r="EO27" s="161"/>
      <c r="EP27" s="161"/>
      <c r="FL27" s="264">
        <v>0.14078296888271979</v>
      </c>
      <c r="FM27" s="264">
        <v>0.18959352488261483</v>
      </c>
      <c r="FN27" s="264">
        <v>0.19600105783689514</v>
      </c>
      <c r="FO27" s="432">
        <v>0.18800719715051595</v>
      </c>
      <c r="FP27" s="161"/>
      <c r="FQ27" s="161"/>
      <c r="FR27" s="430"/>
      <c r="FS27" s="641">
        <v>0.17069595356305522</v>
      </c>
      <c r="FT27" s="639"/>
      <c r="FU27" s="668">
        <v>0.14426639340800151</v>
      </c>
      <c r="FV27" s="667"/>
      <c r="FW27" s="668">
        <v>0.16535788959237463</v>
      </c>
      <c r="FX27" s="667"/>
      <c r="FY27" s="749">
        <v>0.25187794993950896</v>
      </c>
      <c r="FZ27" s="747"/>
      <c r="GA27" s="782">
        <v>0.13866245474339589</v>
      </c>
      <c r="GB27" s="782">
        <v>0.11159311214712297</v>
      </c>
      <c r="GC27" s="808"/>
      <c r="GD27" s="782">
        <v>8.3910990577634958E-2</v>
      </c>
      <c r="GE27" s="808"/>
    </row>
    <row r="28" spans="1:187">
      <c r="A28" s="161"/>
      <c r="B28" s="324" t="s">
        <v>336</v>
      </c>
      <c r="C28" s="324"/>
      <c r="D28" s="325">
        <f t="shared" ref="D28:AI28" si="52">D12+D19+D24</f>
        <v>2234</v>
      </c>
      <c r="E28" s="325">
        <f t="shared" si="52"/>
        <v>2308</v>
      </c>
      <c r="F28" s="971">
        <f t="shared" si="52"/>
        <v>2432</v>
      </c>
      <c r="G28" s="971">
        <f t="shared" si="52"/>
        <v>2524</v>
      </c>
      <c r="H28" s="971">
        <f t="shared" si="52"/>
        <v>2564</v>
      </c>
      <c r="I28" s="971">
        <f t="shared" si="52"/>
        <v>2724.99</v>
      </c>
      <c r="J28" s="971">
        <f t="shared" si="52"/>
        <v>2790</v>
      </c>
      <c r="K28" s="971">
        <f t="shared" si="52"/>
        <v>2814</v>
      </c>
      <c r="L28" s="971">
        <f t="shared" si="52"/>
        <v>2764.5259999999998</v>
      </c>
      <c r="M28" s="971">
        <f t="shared" si="52"/>
        <v>2814.895</v>
      </c>
      <c r="N28" s="971">
        <f t="shared" si="52"/>
        <v>2983</v>
      </c>
      <c r="O28" s="971">
        <f t="shared" si="52"/>
        <v>3122</v>
      </c>
      <c r="P28" s="971">
        <f t="shared" si="52"/>
        <v>3209</v>
      </c>
      <c r="Q28" s="971">
        <f t="shared" si="52"/>
        <v>3261</v>
      </c>
      <c r="R28" s="971">
        <f t="shared" si="52"/>
        <v>3371</v>
      </c>
      <c r="S28" s="971">
        <f t="shared" si="52"/>
        <v>3491</v>
      </c>
      <c r="T28" s="971">
        <f t="shared" si="52"/>
        <v>3550</v>
      </c>
      <c r="U28" s="971">
        <f t="shared" si="52"/>
        <v>3582</v>
      </c>
      <c r="V28" s="971">
        <f t="shared" si="52"/>
        <v>3589</v>
      </c>
      <c r="W28" s="971">
        <f t="shared" si="52"/>
        <v>3672</v>
      </c>
      <c r="X28" s="971">
        <f t="shared" si="52"/>
        <v>3827.0969999999998</v>
      </c>
      <c r="Y28" s="971">
        <f t="shared" si="52"/>
        <v>3986.5169999999998</v>
      </c>
      <c r="Z28" s="971">
        <f t="shared" si="52"/>
        <v>4185.652</v>
      </c>
      <c r="AA28" s="971">
        <f t="shared" si="52"/>
        <v>4458.0920000000006</v>
      </c>
      <c r="AB28" s="971">
        <f t="shared" si="52"/>
        <v>4704.2999999999993</v>
      </c>
      <c r="AC28" s="971">
        <f t="shared" si="52"/>
        <v>4926</v>
      </c>
      <c r="AD28" s="971">
        <f t="shared" si="52"/>
        <v>5197.3</v>
      </c>
      <c r="AE28" s="971">
        <f t="shared" si="52"/>
        <v>5561.433</v>
      </c>
      <c r="AF28" s="971">
        <f t="shared" si="52"/>
        <v>5803.0919999999996</v>
      </c>
      <c r="AG28" s="971">
        <f t="shared" si="52"/>
        <v>5913.1440000000002</v>
      </c>
      <c r="AH28" s="971">
        <f t="shared" si="52"/>
        <v>6204.4000000000005</v>
      </c>
      <c r="AI28" s="971">
        <f t="shared" si="52"/>
        <v>6374.7999999999993</v>
      </c>
      <c r="AJ28" s="971">
        <f t="shared" ref="AJ28:BO28" si="53">AJ12+AJ19+AJ24</f>
        <v>6410.3649999999998</v>
      </c>
      <c r="AK28" s="971">
        <f t="shared" si="53"/>
        <v>6634.0680000000002</v>
      </c>
      <c r="AL28" s="971">
        <f t="shared" si="53"/>
        <v>6865.523000000001</v>
      </c>
      <c r="AM28" s="971">
        <f t="shared" si="53"/>
        <v>7131.8539999999994</v>
      </c>
      <c r="AN28" s="971">
        <f t="shared" si="53"/>
        <v>7391</v>
      </c>
      <c r="AO28" s="971">
        <f t="shared" si="53"/>
        <v>7593.7020000000002</v>
      </c>
      <c r="AP28" s="971">
        <f t="shared" si="53"/>
        <v>7811.0000000000009</v>
      </c>
      <c r="AQ28" s="971">
        <f t="shared" si="53"/>
        <v>7957.4679999999998</v>
      </c>
      <c r="AR28" s="971">
        <f t="shared" si="53"/>
        <v>8057</v>
      </c>
      <c r="AS28" s="971">
        <f t="shared" si="53"/>
        <v>8228.6260000000002</v>
      </c>
      <c r="AT28" s="971">
        <f t="shared" si="53"/>
        <v>8364</v>
      </c>
      <c r="AU28" s="971">
        <f t="shared" si="53"/>
        <v>8452.9639999999999</v>
      </c>
      <c r="AV28" s="971">
        <f t="shared" si="53"/>
        <v>8566.3850000000002</v>
      </c>
      <c r="AW28" s="971">
        <f t="shared" si="53"/>
        <v>8758.9</v>
      </c>
      <c r="AX28" s="971">
        <f t="shared" si="53"/>
        <v>9287.0480000000007</v>
      </c>
      <c r="AY28" s="971">
        <f t="shared" si="53"/>
        <v>9549.7690000000002</v>
      </c>
      <c r="AZ28" s="971">
        <f t="shared" si="53"/>
        <v>9753.4840000000004</v>
      </c>
      <c r="BA28" s="971">
        <f t="shared" si="53"/>
        <v>9911.7999999999993</v>
      </c>
      <c r="BB28" s="971">
        <f t="shared" si="53"/>
        <v>10203.646000000001</v>
      </c>
      <c r="BC28" s="971">
        <f t="shared" si="53"/>
        <v>10404.832</v>
      </c>
      <c r="BD28" s="971">
        <f t="shared" si="53"/>
        <v>10524.511</v>
      </c>
      <c r="BE28" s="971">
        <f t="shared" si="53"/>
        <v>10590.289999999999</v>
      </c>
      <c r="BF28" s="971">
        <f t="shared" si="53"/>
        <v>10868.582999999999</v>
      </c>
      <c r="BG28" s="971">
        <f t="shared" si="53"/>
        <v>11217.599999999999</v>
      </c>
      <c r="BH28" s="971">
        <f t="shared" si="53"/>
        <v>11625.663999999999</v>
      </c>
      <c r="BI28" s="971">
        <f t="shared" si="53"/>
        <v>12057.187</v>
      </c>
      <c r="BJ28" s="971">
        <f t="shared" si="53"/>
        <v>12360.922999999999</v>
      </c>
      <c r="BK28" s="971">
        <f t="shared" si="53"/>
        <v>12717.697</v>
      </c>
      <c r="BL28" s="971">
        <f t="shared" si="53"/>
        <v>13056.992999999999</v>
      </c>
      <c r="BM28" s="971">
        <f t="shared" si="53"/>
        <v>13197.960000000001</v>
      </c>
      <c r="BN28" s="971">
        <f t="shared" si="53"/>
        <v>13594.050999999999</v>
      </c>
      <c r="BO28" s="971">
        <f t="shared" si="53"/>
        <v>13928.063</v>
      </c>
      <c r="BP28" s="971">
        <f t="shared" ref="BP28:BX28" si="54">BP12+BP19+BP24</f>
        <v>14091.096000000001</v>
      </c>
      <c r="BQ28" s="971">
        <f t="shared" si="54"/>
        <v>14402.366</v>
      </c>
      <c r="BR28" s="971">
        <f t="shared" si="54"/>
        <v>14749.481</v>
      </c>
      <c r="BS28" s="971">
        <f t="shared" si="54"/>
        <v>14974.089</v>
      </c>
      <c r="BT28" s="971">
        <f t="shared" si="54"/>
        <v>15187.793</v>
      </c>
      <c r="BU28" s="1013">
        <f t="shared" si="54"/>
        <v>15377.793</v>
      </c>
      <c r="BV28" s="1013">
        <f t="shared" si="54"/>
        <v>15567.793</v>
      </c>
      <c r="BW28" s="1013">
        <f t="shared" si="54"/>
        <v>15721.089</v>
      </c>
      <c r="BX28" s="1013">
        <f t="shared" si="54"/>
        <v>15721.089</v>
      </c>
      <c r="BY28" s="161"/>
      <c r="BZ28" s="161"/>
      <c r="CA28" s="264">
        <f t="shared" ref="CA28:DF28" si="55">T28/P28-1</f>
        <v>0.10626363353069501</v>
      </c>
      <c r="CB28" s="264">
        <f t="shared" si="55"/>
        <v>9.8436062557497594E-2</v>
      </c>
      <c r="CC28" s="264">
        <f t="shared" si="55"/>
        <v>6.4669237614951136E-2</v>
      </c>
      <c r="CD28" s="264">
        <f t="shared" si="55"/>
        <v>5.1847608135204837E-2</v>
      </c>
      <c r="CE28" s="264">
        <f t="shared" si="55"/>
        <v>7.8055492957746386E-2</v>
      </c>
      <c r="CF28" s="264">
        <f t="shared" si="55"/>
        <v>0.11293048576214404</v>
      </c>
      <c r="CG28" s="264">
        <f t="shared" si="55"/>
        <v>0.16624463638896625</v>
      </c>
      <c r="CH28" s="264">
        <f t="shared" si="55"/>
        <v>0.2140773420479305</v>
      </c>
      <c r="CI28" s="264">
        <f t="shared" si="55"/>
        <v>0.22920845748095742</v>
      </c>
      <c r="CJ28" s="264">
        <f t="shared" si="55"/>
        <v>0.23566511819716318</v>
      </c>
      <c r="CK28" s="264">
        <f t="shared" si="55"/>
        <v>0.24169424500651271</v>
      </c>
      <c r="CL28" s="264">
        <f t="shared" si="55"/>
        <v>0.24749175207689733</v>
      </c>
      <c r="CM28" s="264">
        <f t="shared" si="55"/>
        <v>0.23357183853070596</v>
      </c>
      <c r="CN28" s="264">
        <f t="shared" si="55"/>
        <v>0.20039464068209512</v>
      </c>
      <c r="CO28" s="264">
        <f t="shared" si="55"/>
        <v>0.19377369018528867</v>
      </c>
      <c r="CP28" s="264">
        <f t="shared" si="55"/>
        <v>0.14625133486279518</v>
      </c>
      <c r="CQ28" s="264">
        <f t="shared" si="55"/>
        <v>0.10464645399383632</v>
      </c>
      <c r="CR28" s="264">
        <f t="shared" si="55"/>
        <v>0.12191889796696986</v>
      </c>
      <c r="CS28" s="264">
        <f t="shared" si="55"/>
        <v>0.10655712075301405</v>
      </c>
      <c r="CT28" s="264">
        <f t="shared" si="55"/>
        <v>0.11875729434648941</v>
      </c>
      <c r="CU28" s="264">
        <f t="shared" si="55"/>
        <v>0.15297646857862235</v>
      </c>
      <c r="CV28" s="264">
        <f t="shared" si="55"/>
        <v>0.14465242141021162</v>
      </c>
      <c r="CW28" s="264">
        <f t="shared" si="55"/>
        <v>0.13771376193772844</v>
      </c>
      <c r="CX28" s="264">
        <f t="shared" si="55"/>
        <v>0.11576428793971383</v>
      </c>
      <c r="CY28" s="264">
        <f t="shared" si="55"/>
        <v>9.0109592747936729E-2</v>
      </c>
      <c r="CZ28" s="264">
        <f t="shared" si="55"/>
        <v>8.3611919456412664E-2</v>
      </c>
      <c r="DA28" s="264">
        <f t="shared" si="55"/>
        <v>7.0797593137882364E-2</v>
      </c>
      <c r="DB28" s="264">
        <f t="shared" si="55"/>
        <v>6.2268048077604554E-2</v>
      </c>
      <c r="DC28" s="264">
        <f t="shared" si="55"/>
        <v>6.3222663522402911E-2</v>
      </c>
      <c r="DD28" s="264">
        <f t="shared" si="55"/>
        <v>6.4442593453633679E-2</v>
      </c>
      <c r="DE28" s="264">
        <f t="shared" si="55"/>
        <v>0.11035963653754188</v>
      </c>
      <c r="DF28" s="264">
        <f t="shared" si="55"/>
        <v>0.12975389461022191</v>
      </c>
      <c r="DG28" s="264">
        <f t="shared" ref="DG28:EA28" si="56">AZ28/AV28-1</f>
        <v>0.13857642401082848</v>
      </c>
      <c r="DH28" s="264">
        <f t="shared" si="56"/>
        <v>0.13162611743483765</v>
      </c>
      <c r="DI28" s="264">
        <f t="shared" si="56"/>
        <v>9.8696378009460073E-2</v>
      </c>
      <c r="DJ28" s="264">
        <f t="shared" si="56"/>
        <v>8.9537558447748911E-2</v>
      </c>
      <c r="DK28" s="467">
        <f t="shared" si="56"/>
        <v>7.9051444591491604E-2</v>
      </c>
      <c r="DL28" s="467">
        <f t="shared" si="56"/>
        <v>6.8452753283964496E-2</v>
      </c>
      <c r="DM28" s="467">
        <f t="shared" si="56"/>
        <v>6.516660809283259E-2</v>
      </c>
      <c r="DN28" s="467">
        <f t="shared" si="56"/>
        <v>7.8114476043438019E-2</v>
      </c>
      <c r="DO28" s="467">
        <f t="shared" si="56"/>
        <v>0.10462747390353799</v>
      </c>
      <c r="DP28" s="467">
        <f t="shared" si="56"/>
        <v>0.1385133929288056</v>
      </c>
      <c r="DQ28" s="467">
        <f t="shared" si="56"/>
        <v>0.13730768767188883</v>
      </c>
      <c r="DR28" s="467">
        <f t="shared" si="56"/>
        <v>0.13372708957352741</v>
      </c>
      <c r="DS28" s="467">
        <f t="shared" si="56"/>
        <v>0.12311804297801832</v>
      </c>
      <c r="DT28" s="467">
        <f t="shared" si="56"/>
        <v>9.4613528014453108E-2</v>
      </c>
      <c r="DU28" s="467">
        <f t="shared" si="56"/>
        <v>9.976018781121776E-2</v>
      </c>
      <c r="DV28" s="467">
        <f t="shared" si="56"/>
        <v>9.5171790930386191E-2</v>
      </c>
      <c r="DW28" s="467">
        <f t="shared" si="56"/>
        <v>7.9199169364646327E-2</v>
      </c>
      <c r="DX28" s="467">
        <f t="shared" si="56"/>
        <v>9.1256982139663823E-2</v>
      </c>
      <c r="DY28" s="467">
        <f t="shared" si="56"/>
        <v>8.4995267415136189E-2</v>
      </c>
      <c r="DZ28" s="467">
        <f t="shared" si="56"/>
        <v>7.5102043981277289E-2</v>
      </c>
      <c r="EA28" s="467">
        <f t="shared" si="56"/>
        <v>7.7829077312367989E-2</v>
      </c>
      <c r="EB28" s="809">
        <f t="shared" ref="EB28" si="57">BU28/BQ28-1</f>
        <v>6.7726858212046492E-2</v>
      </c>
      <c r="EC28" s="809">
        <f t="shared" ref="EC28" si="58">BV28/BR28-1</f>
        <v>5.5480731830496177E-2</v>
      </c>
      <c r="ED28" s="809">
        <f t="shared" ref="ED28" si="59">BW28/BS28-1</f>
        <v>4.988617337588952E-2</v>
      </c>
      <c r="EF28" s="161"/>
      <c r="EH28" s="161"/>
      <c r="EM28" s="161"/>
      <c r="EN28" s="161"/>
      <c r="EO28" s="161"/>
      <c r="EP28" s="161"/>
      <c r="FL28" s="325">
        <v>11467.599999999999</v>
      </c>
      <c r="FM28" s="325">
        <v>11975.663999999999</v>
      </c>
      <c r="FN28" s="325">
        <v>12397.187</v>
      </c>
      <c r="FO28" s="448">
        <v>12682.599999999999</v>
      </c>
      <c r="FP28" s="264">
        <v>0.13081549230474332</v>
      </c>
      <c r="FQ28" s="264">
        <v>0.14064427717946315</v>
      </c>
      <c r="FR28" s="432">
        <v>0.13059834545713889</v>
      </c>
      <c r="FS28" s="645">
        <v>13396.992999999999</v>
      </c>
      <c r="FT28" s="641">
        <v>0.11112094388185234</v>
      </c>
      <c r="FU28" s="672">
        <v>13440</v>
      </c>
      <c r="FV28" s="668">
        <v>8.7297445344494129E-2</v>
      </c>
      <c r="FW28" s="672">
        <v>13902.697</v>
      </c>
      <c r="FX28" s="668">
        <v>9.3177247421447396E-2</v>
      </c>
      <c r="FY28" s="752">
        <v>14208.063</v>
      </c>
      <c r="FZ28" s="749">
        <v>8.8157357517155921E-2</v>
      </c>
      <c r="GA28" s="785">
        <v>14311.096000000001</v>
      </c>
      <c r="GB28" s="785">
        <v>14622.366</v>
      </c>
      <c r="GC28" s="809">
        <v>7.564448595933615E-2</v>
      </c>
      <c r="GD28" s="785">
        <v>15008.063</v>
      </c>
      <c r="GE28" s="809">
        <v>7.7541291994443151E-2</v>
      </c>
    </row>
    <row r="29" spans="1:187">
      <c r="A29" s="161"/>
      <c r="B29" s="161" t="s">
        <v>337</v>
      </c>
      <c r="C29" s="161"/>
      <c r="D29" s="263"/>
      <c r="E29" s="263">
        <f t="shared" ref="E29:AJ29" si="60">E28-D28</f>
        <v>74</v>
      </c>
      <c r="F29" s="307">
        <f t="shared" si="60"/>
        <v>124</v>
      </c>
      <c r="G29" s="307">
        <f t="shared" si="60"/>
        <v>92</v>
      </c>
      <c r="H29" s="307">
        <f t="shared" si="60"/>
        <v>40</v>
      </c>
      <c r="I29" s="307">
        <f t="shared" si="60"/>
        <v>160.98999999999978</v>
      </c>
      <c r="J29" s="307">
        <f t="shared" si="60"/>
        <v>65.010000000000218</v>
      </c>
      <c r="K29" s="307">
        <f t="shared" si="60"/>
        <v>24</v>
      </c>
      <c r="L29" s="307">
        <f t="shared" si="60"/>
        <v>-49.47400000000016</v>
      </c>
      <c r="M29" s="307">
        <f t="shared" si="60"/>
        <v>50.369000000000142</v>
      </c>
      <c r="N29" s="307">
        <f t="shared" si="60"/>
        <v>168.10500000000002</v>
      </c>
      <c r="O29" s="307">
        <f t="shared" si="60"/>
        <v>139</v>
      </c>
      <c r="P29" s="307">
        <f t="shared" si="60"/>
        <v>87</v>
      </c>
      <c r="Q29" s="307">
        <f t="shared" si="60"/>
        <v>52</v>
      </c>
      <c r="R29" s="307">
        <f t="shared" si="60"/>
        <v>110</v>
      </c>
      <c r="S29" s="307">
        <f t="shared" si="60"/>
        <v>120</v>
      </c>
      <c r="T29" s="307">
        <f t="shared" si="60"/>
        <v>59</v>
      </c>
      <c r="U29" s="307">
        <f t="shared" si="60"/>
        <v>32</v>
      </c>
      <c r="V29" s="307">
        <f t="shared" si="60"/>
        <v>7</v>
      </c>
      <c r="W29" s="307">
        <f t="shared" si="60"/>
        <v>83</v>
      </c>
      <c r="X29" s="307">
        <f t="shared" si="60"/>
        <v>155.09699999999975</v>
      </c>
      <c r="Y29" s="307">
        <f t="shared" si="60"/>
        <v>159.42000000000007</v>
      </c>
      <c r="Z29" s="307">
        <f t="shared" si="60"/>
        <v>199.13500000000022</v>
      </c>
      <c r="AA29" s="307">
        <f t="shared" si="60"/>
        <v>272.44000000000051</v>
      </c>
      <c r="AB29" s="307">
        <f t="shared" si="60"/>
        <v>246.20799999999872</v>
      </c>
      <c r="AC29" s="307">
        <f t="shared" si="60"/>
        <v>221.70000000000073</v>
      </c>
      <c r="AD29" s="307">
        <f t="shared" si="60"/>
        <v>271.30000000000018</v>
      </c>
      <c r="AE29" s="307">
        <f t="shared" si="60"/>
        <v>364.13299999999981</v>
      </c>
      <c r="AF29" s="307">
        <f t="shared" si="60"/>
        <v>241.65899999999965</v>
      </c>
      <c r="AG29" s="307">
        <f t="shared" si="60"/>
        <v>110.05200000000059</v>
      </c>
      <c r="AH29" s="307">
        <f t="shared" si="60"/>
        <v>291.25600000000031</v>
      </c>
      <c r="AI29" s="307">
        <f t="shared" si="60"/>
        <v>170.39999999999873</v>
      </c>
      <c r="AJ29" s="307">
        <f t="shared" si="60"/>
        <v>35.565000000000509</v>
      </c>
      <c r="AK29" s="307">
        <f t="shared" ref="AK29:BH29" si="61">AK28-AJ28</f>
        <v>223.70300000000043</v>
      </c>
      <c r="AL29" s="307">
        <f t="shared" si="61"/>
        <v>231.45500000000084</v>
      </c>
      <c r="AM29" s="307">
        <f t="shared" si="61"/>
        <v>266.33099999999831</v>
      </c>
      <c r="AN29" s="307">
        <f t="shared" si="61"/>
        <v>259.14600000000064</v>
      </c>
      <c r="AO29" s="307">
        <f t="shared" si="61"/>
        <v>202.70200000000023</v>
      </c>
      <c r="AP29" s="307">
        <f t="shared" si="61"/>
        <v>217.29800000000068</v>
      </c>
      <c r="AQ29" s="307">
        <f t="shared" si="61"/>
        <v>146.46799999999894</v>
      </c>
      <c r="AR29" s="307">
        <f t="shared" si="61"/>
        <v>99.532000000000153</v>
      </c>
      <c r="AS29" s="307">
        <f t="shared" si="61"/>
        <v>171.6260000000002</v>
      </c>
      <c r="AT29" s="307">
        <f t="shared" si="61"/>
        <v>135.3739999999998</v>
      </c>
      <c r="AU29" s="307">
        <f t="shared" si="61"/>
        <v>88.963999999999942</v>
      </c>
      <c r="AV29" s="307">
        <f t="shared" si="61"/>
        <v>113.42100000000028</v>
      </c>
      <c r="AW29" s="307">
        <f t="shared" si="61"/>
        <v>192.51499999999942</v>
      </c>
      <c r="AX29" s="307">
        <f t="shared" si="61"/>
        <v>528.14800000000105</v>
      </c>
      <c r="AY29" s="307">
        <f t="shared" si="61"/>
        <v>262.72099999999955</v>
      </c>
      <c r="AZ29" s="307">
        <f t="shared" si="61"/>
        <v>203.71500000000015</v>
      </c>
      <c r="BA29" s="307">
        <f t="shared" si="61"/>
        <v>158.31599999999889</v>
      </c>
      <c r="BB29" s="307">
        <f t="shared" si="61"/>
        <v>291.84600000000137</v>
      </c>
      <c r="BC29" s="307">
        <f t="shared" si="61"/>
        <v>201.18599999999969</v>
      </c>
      <c r="BD29" s="307">
        <f t="shared" si="61"/>
        <v>119.67900000000009</v>
      </c>
      <c r="BE29" s="307">
        <f t="shared" si="61"/>
        <v>65.778999999998632</v>
      </c>
      <c r="BF29" s="307">
        <f t="shared" si="61"/>
        <v>278.29299999999967</v>
      </c>
      <c r="BG29" s="307">
        <f t="shared" si="61"/>
        <v>349.01699999999983</v>
      </c>
      <c r="BH29" s="307">
        <f t="shared" si="61"/>
        <v>408.06400000000031</v>
      </c>
      <c r="BI29" s="307">
        <f t="shared" ref="BI29:BW29" si="62">BI28-BH28</f>
        <v>431.52300000000105</v>
      </c>
      <c r="BJ29" s="307">
        <f t="shared" si="62"/>
        <v>303.73599999999897</v>
      </c>
      <c r="BK29" s="307">
        <f t="shared" si="62"/>
        <v>356.77400000000125</v>
      </c>
      <c r="BL29" s="307">
        <f t="shared" si="62"/>
        <v>339.29599999999846</v>
      </c>
      <c r="BM29" s="307">
        <f t="shared" si="62"/>
        <v>140.96700000000237</v>
      </c>
      <c r="BN29" s="307">
        <f t="shared" si="62"/>
        <v>396.09099999999853</v>
      </c>
      <c r="BO29" s="307">
        <f t="shared" si="62"/>
        <v>334.01200000000063</v>
      </c>
      <c r="BP29" s="307">
        <f t="shared" si="62"/>
        <v>163.03300000000127</v>
      </c>
      <c r="BQ29" s="307">
        <f t="shared" si="62"/>
        <v>311.26999999999862</v>
      </c>
      <c r="BR29" s="307">
        <f t="shared" si="62"/>
        <v>347.11499999999978</v>
      </c>
      <c r="BS29" s="307">
        <f t="shared" si="62"/>
        <v>224.60800000000017</v>
      </c>
      <c r="BT29" s="307">
        <f t="shared" si="62"/>
        <v>213.70399999999972</v>
      </c>
      <c r="BU29" s="1009">
        <f t="shared" si="62"/>
        <v>190</v>
      </c>
      <c r="BV29" s="1009">
        <f t="shared" si="62"/>
        <v>190</v>
      </c>
      <c r="BW29" s="1009">
        <f t="shared" si="62"/>
        <v>153.29600000000028</v>
      </c>
      <c r="BX29" s="1009">
        <f>BX28-BS28</f>
        <v>747</v>
      </c>
      <c r="BY29" s="161"/>
      <c r="BZ29" s="161"/>
      <c r="CA29" s="161"/>
      <c r="CB29" s="161"/>
      <c r="CC29" s="161"/>
      <c r="CD29" s="161"/>
      <c r="CE29" s="161"/>
      <c r="CF29" s="161"/>
      <c r="CG29" s="161"/>
      <c r="CH29" s="161"/>
      <c r="CI29" s="161"/>
      <c r="CJ29" s="161"/>
      <c r="CK29" s="161"/>
      <c r="CL29" s="161"/>
      <c r="CM29" s="161"/>
      <c r="CN29" s="161"/>
      <c r="CO29" s="161"/>
      <c r="CP29" s="161"/>
      <c r="CQ29" s="161"/>
      <c r="CR29" s="161"/>
      <c r="CS29" s="161"/>
      <c r="CT29" s="161"/>
      <c r="CU29" s="161"/>
      <c r="CV29" s="161"/>
      <c r="CW29" s="161"/>
      <c r="CX29" s="161"/>
      <c r="CY29" s="161"/>
      <c r="CZ29" s="161"/>
      <c r="DA29" s="161"/>
      <c r="DB29" s="161"/>
      <c r="DC29" s="161"/>
      <c r="DD29" s="161"/>
      <c r="DE29" s="161"/>
      <c r="DF29" s="161"/>
      <c r="DG29" s="161"/>
      <c r="DH29" s="161"/>
      <c r="DI29" s="161"/>
      <c r="DJ29" s="161"/>
      <c r="DK29" s="177"/>
      <c r="DL29" s="177"/>
      <c r="DM29" s="177"/>
      <c r="DN29" s="177"/>
      <c r="DO29" s="177"/>
      <c r="DP29" s="177"/>
      <c r="DQ29" s="177"/>
      <c r="DR29" s="177"/>
      <c r="DS29" s="177"/>
      <c r="DT29" s="177"/>
      <c r="DU29" s="177"/>
      <c r="DV29" s="177"/>
      <c r="DW29" s="177"/>
      <c r="DX29" s="177"/>
      <c r="DY29" s="177"/>
      <c r="DZ29" s="177"/>
      <c r="EA29" s="177"/>
      <c r="EB29" s="808"/>
      <c r="EC29" s="808"/>
      <c r="ED29" s="808"/>
      <c r="EF29" s="161"/>
      <c r="EH29" s="161"/>
      <c r="EM29" s="161"/>
      <c r="EN29" s="161"/>
      <c r="EO29" s="161"/>
      <c r="EP29" s="161"/>
      <c r="FL29" s="263">
        <v>250</v>
      </c>
      <c r="FM29" s="263">
        <v>350</v>
      </c>
      <c r="FN29" s="263">
        <v>340</v>
      </c>
      <c r="FO29" s="433">
        <v>321.67699999999968</v>
      </c>
      <c r="FP29" s="161"/>
      <c r="FQ29" s="161"/>
      <c r="FR29" s="430"/>
      <c r="FS29" s="643">
        <v>340</v>
      </c>
      <c r="FT29" s="639"/>
      <c r="FU29" s="670">
        <v>242.03999999999905</v>
      </c>
      <c r="FV29" s="667"/>
      <c r="FW29" s="670">
        <v>308.64600000000064</v>
      </c>
      <c r="FX29" s="667"/>
      <c r="FY29" s="751">
        <v>280</v>
      </c>
      <c r="FZ29" s="747"/>
      <c r="GA29" s="784">
        <v>220</v>
      </c>
      <c r="GB29" s="784">
        <v>220</v>
      </c>
      <c r="GC29" s="808"/>
      <c r="GD29" s="784">
        <v>258.58200000000033</v>
      </c>
      <c r="GE29" s="808"/>
    </row>
    <row r="30" spans="1:187">
      <c r="A30" s="161"/>
      <c r="B30" s="161" t="s">
        <v>442</v>
      </c>
      <c r="C30" s="161"/>
      <c r="D30" s="263"/>
      <c r="E30" s="263"/>
      <c r="F30" s="263"/>
      <c r="G30" s="263"/>
      <c r="H30" s="263"/>
      <c r="I30" s="263"/>
      <c r="J30" s="263"/>
      <c r="K30" s="263"/>
      <c r="L30" s="263"/>
      <c r="M30" s="263"/>
      <c r="N30" s="263"/>
      <c r="O30" s="263"/>
      <c r="P30" s="263"/>
      <c r="Q30" s="263"/>
      <c r="R30" s="263"/>
      <c r="S30" s="263"/>
      <c r="T30" s="263"/>
      <c r="U30" s="263"/>
      <c r="V30" s="263"/>
      <c r="W30" s="263"/>
      <c r="X30" s="263"/>
      <c r="Y30" s="263"/>
      <c r="Z30" s="263"/>
      <c r="AA30" s="263"/>
      <c r="AB30" s="263"/>
      <c r="AC30" s="263"/>
      <c r="AD30" s="263"/>
      <c r="AE30" s="263"/>
      <c r="AF30" s="263"/>
      <c r="AG30" s="263"/>
      <c r="AH30" s="263">
        <f>AH14+AH21+AH26</f>
        <v>193.25600000000054</v>
      </c>
      <c r="AI30" s="263"/>
      <c r="AJ30" s="263"/>
      <c r="AK30" s="264">
        <f t="shared" ref="AK30:BC30" si="63">AK28/AG28-1</f>
        <v>0.12191889796696986</v>
      </c>
      <c r="AL30" s="264">
        <f t="shared" si="63"/>
        <v>0.10655712075301405</v>
      </c>
      <c r="AM30" s="264">
        <f t="shared" si="63"/>
        <v>0.11875729434648941</v>
      </c>
      <c r="AN30" s="264">
        <f t="shared" si="63"/>
        <v>0.15297646857862235</v>
      </c>
      <c r="AO30" s="264">
        <f t="shared" si="63"/>
        <v>0.14465242141021162</v>
      </c>
      <c r="AP30" s="264">
        <f t="shared" si="63"/>
        <v>0.13771376193772844</v>
      </c>
      <c r="AQ30" s="264">
        <f t="shared" si="63"/>
        <v>0.11576428793971383</v>
      </c>
      <c r="AR30" s="264">
        <f t="shared" si="63"/>
        <v>9.0109592747936729E-2</v>
      </c>
      <c r="AS30" s="264">
        <f t="shared" si="63"/>
        <v>8.3611919456412664E-2</v>
      </c>
      <c r="AT30" s="264">
        <f t="shared" si="63"/>
        <v>7.0797593137882364E-2</v>
      </c>
      <c r="AU30" s="264">
        <f t="shared" si="63"/>
        <v>6.2268048077604554E-2</v>
      </c>
      <c r="AV30" s="264">
        <f t="shared" si="63"/>
        <v>6.3222663522402911E-2</v>
      </c>
      <c r="AW30" s="264">
        <f t="shared" si="63"/>
        <v>6.4442593453633679E-2</v>
      </c>
      <c r="AX30" s="264">
        <f t="shared" si="63"/>
        <v>0.11035963653754188</v>
      </c>
      <c r="AY30" s="264">
        <f t="shared" si="63"/>
        <v>0.12975389461022191</v>
      </c>
      <c r="AZ30" s="264">
        <f t="shared" si="63"/>
        <v>0.13857642401082848</v>
      </c>
      <c r="BA30" s="264">
        <f t="shared" si="63"/>
        <v>0.13162611743483765</v>
      </c>
      <c r="BB30" s="264">
        <f t="shared" si="63"/>
        <v>9.8696378009460073E-2</v>
      </c>
      <c r="BC30" s="264">
        <f t="shared" si="63"/>
        <v>8.9537558447748911E-2</v>
      </c>
      <c r="BD30" s="264">
        <f t="shared" ref="BD30:BW30" si="64">BD28/AZ28-1</f>
        <v>7.9051444591491604E-2</v>
      </c>
      <c r="BE30" s="264">
        <f t="shared" si="64"/>
        <v>6.8452753283964496E-2</v>
      </c>
      <c r="BF30" s="264">
        <f t="shared" si="64"/>
        <v>6.516660809283259E-2</v>
      </c>
      <c r="BG30" s="264">
        <f t="shared" si="64"/>
        <v>7.8114476043438019E-2</v>
      </c>
      <c r="BH30" s="264">
        <f t="shared" si="64"/>
        <v>0.10462747390353799</v>
      </c>
      <c r="BI30" s="264">
        <f t="shared" si="64"/>
        <v>0.1385133929288056</v>
      </c>
      <c r="BJ30" s="264">
        <f t="shared" si="64"/>
        <v>0.13730768767188883</v>
      </c>
      <c r="BK30" s="264">
        <f t="shared" si="64"/>
        <v>0.13372708957352741</v>
      </c>
      <c r="BL30" s="264">
        <f t="shared" si="64"/>
        <v>0.12311804297801832</v>
      </c>
      <c r="BM30" s="264">
        <f t="shared" si="64"/>
        <v>9.4613528014453108E-2</v>
      </c>
      <c r="BN30" s="264">
        <f t="shared" si="64"/>
        <v>9.976018781121776E-2</v>
      </c>
      <c r="BO30" s="264">
        <f t="shared" si="64"/>
        <v>9.5171790930386191E-2</v>
      </c>
      <c r="BP30" s="264">
        <f t="shared" si="64"/>
        <v>7.9199169364646327E-2</v>
      </c>
      <c r="BQ30" s="264">
        <f t="shared" si="64"/>
        <v>9.1256982139663823E-2</v>
      </c>
      <c r="BR30" s="264">
        <f t="shared" si="64"/>
        <v>8.4995267415136189E-2</v>
      </c>
      <c r="BS30" s="264">
        <f t="shared" si="64"/>
        <v>7.5102043981277289E-2</v>
      </c>
      <c r="BT30" s="264">
        <f t="shared" si="64"/>
        <v>7.7829077312367989E-2</v>
      </c>
      <c r="BU30" s="782">
        <f t="shared" si="64"/>
        <v>6.7726858212046492E-2</v>
      </c>
      <c r="BV30" s="782">
        <f t="shared" si="64"/>
        <v>5.5480731830496177E-2</v>
      </c>
      <c r="BW30" s="782">
        <f t="shared" si="64"/>
        <v>4.988617337588952E-2</v>
      </c>
      <c r="BX30" s="782">
        <f>BX28/BS28-1</f>
        <v>4.988617337588952E-2</v>
      </c>
      <c r="BY30" s="161"/>
      <c r="BZ30" s="161"/>
      <c r="CA30" s="161"/>
      <c r="CB30" s="161"/>
      <c r="CC30" s="161"/>
      <c r="CD30" s="161"/>
      <c r="CE30" s="161"/>
      <c r="CF30" s="161"/>
      <c r="CG30" s="161"/>
      <c r="CH30" s="161"/>
      <c r="CI30" s="161"/>
      <c r="CJ30" s="161"/>
      <c r="CK30" s="161"/>
      <c r="CL30" s="161"/>
      <c r="CM30" s="161"/>
      <c r="CN30" s="161"/>
      <c r="CO30" s="161"/>
      <c r="CP30" s="161"/>
      <c r="CQ30" s="161"/>
      <c r="CR30" s="161"/>
      <c r="CS30" s="161"/>
      <c r="CT30" s="161"/>
      <c r="CU30" s="161"/>
      <c r="CV30" s="161"/>
      <c r="CW30" s="161"/>
      <c r="CX30" s="161"/>
      <c r="CY30" s="161"/>
      <c r="CZ30" s="161"/>
      <c r="DA30" s="161"/>
      <c r="DB30" s="161"/>
      <c r="DC30" s="161"/>
      <c r="DD30" s="161"/>
      <c r="DE30" s="161"/>
      <c r="DF30" s="161"/>
      <c r="DG30" s="161"/>
      <c r="DH30" s="161"/>
      <c r="DI30" s="161"/>
      <c r="DJ30" s="161"/>
      <c r="DK30" s="177"/>
      <c r="DL30" s="177"/>
      <c r="DM30" s="177"/>
      <c r="DN30" s="177"/>
      <c r="DO30" s="177"/>
      <c r="DP30" s="177"/>
      <c r="DQ30" s="177"/>
      <c r="DR30" s="177"/>
      <c r="DS30" s="177"/>
      <c r="DT30" s="177"/>
      <c r="DU30" s="177"/>
      <c r="DV30" s="177"/>
      <c r="DW30" s="177"/>
      <c r="DX30" s="177"/>
      <c r="DY30" s="177"/>
      <c r="DZ30" s="177"/>
      <c r="EA30" s="177"/>
      <c r="EB30" s="808"/>
      <c r="EC30" s="808"/>
      <c r="ED30" s="808"/>
      <c r="EF30" s="161"/>
      <c r="EH30" s="161"/>
      <c r="EM30" s="161"/>
      <c r="EN30" s="161"/>
      <c r="EO30" s="161"/>
      <c r="EP30" s="161"/>
      <c r="FL30" s="264">
        <v>0.12387278037673966</v>
      </c>
      <c r="FM30" s="264">
        <v>0.15097139482886401</v>
      </c>
      <c r="FN30" s="264">
        <v>0.17793472779875463</v>
      </c>
      <c r="FO30" s="432">
        <v>0.13059834545713889</v>
      </c>
      <c r="FP30" s="161"/>
      <c r="FQ30" s="161"/>
      <c r="FR30" s="430"/>
      <c r="FS30" s="641">
        <v>0.11112094388185234</v>
      </c>
      <c r="FT30" s="639"/>
      <c r="FU30" s="668">
        <v>8.7297445344494129E-2</v>
      </c>
      <c r="FV30" s="667"/>
      <c r="FW30" s="668">
        <v>9.3177247421447396E-2</v>
      </c>
      <c r="FX30" s="667"/>
      <c r="FY30" s="749">
        <v>8.8157357517155921E-2</v>
      </c>
      <c r="FZ30" s="747"/>
      <c r="GA30" s="782">
        <v>8.434151944694479E-2</v>
      </c>
      <c r="GB30" s="782">
        <v>7.564448595933615E-2</v>
      </c>
      <c r="GC30" s="808"/>
      <c r="GD30" s="782">
        <v>7.7541291994443151E-2</v>
      </c>
      <c r="GE30" s="808"/>
    </row>
    <row r="31" spans="1:187">
      <c r="A31" s="161"/>
      <c r="B31" s="161"/>
      <c r="C31" s="161"/>
      <c r="D31" s="263"/>
      <c r="E31" s="263"/>
      <c r="F31" s="263"/>
      <c r="G31" s="263"/>
      <c r="H31" s="263"/>
      <c r="I31" s="263"/>
      <c r="J31" s="263"/>
      <c r="K31" s="263"/>
      <c r="L31" s="263"/>
      <c r="M31" s="263"/>
      <c r="N31" s="263"/>
      <c r="O31" s="263"/>
      <c r="P31" s="263"/>
      <c r="Q31" s="263"/>
      <c r="R31" s="263"/>
      <c r="S31" s="263"/>
      <c r="T31" s="263"/>
      <c r="U31" s="263"/>
      <c r="V31" s="263"/>
      <c r="W31" s="263"/>
      <c r="X31" s="263"/>
      <c r="Y31" s="263"/>
      <c r="Z31" s="263"/>
      <c r="AA31" s="263"/>
      <c r="AB31" s="161"/>
      <c r="AC31" s="161"/>
      <c r="AD31" s="265"/>
      <c r="AE31" s="265"/>
      <c r="AF31" s="265"/>
      <c r="AG31" s="265"/>
      <c r="AH31" s="265"/>
      <c r="AI31" s="265"/>
      <c r="AJ31" s="265"/>
      <c r="AK31" s="265"/>
      <c r="AL31" s="265"/>
      <c r="AM31" s="265"/>
      <c r="AN31" s="265"/>
      <c r="AO31" s="265"/>
      <c r="AP31" s="265"/>
      <c r="AQ31" s="265"/>
      <c r="AR31" s="265"/>
      <c r="AS31" s="265"/>
      <c r="AT31" s="265"/>
      <c r="AU31" s="265"/>
      <c r="AV31" s="265"/>
      <c r="AW31" s="265"/>
      <c r="AX31" s="265"/>
      <c r="AY31" s="265"/>
      <c r="AZ31" s="265"/>
      <c r="BA31" s="265"/>
      <c r="BB31" s="265"/>
      <c r="BC31" s="265"/>
      <c r="BD31" s="265"/>
      <c r="BE31" s="265"/>
      <c r="BF31" s="265"/>
      <c r="BG31" s="265"/>
      <c r="BH31" s="265"/>
      <c r="BI31" s="265"/>
      <c r="BJ31" s="265"/>
      <c r="BK31" s="265"/>
      <c r="BL31" s="265"/>
      <c r="BM31" s="265"/>
      <c r="BN31" s="265"/>
      <c r="BO31" s="265"/>
      <c r="BP31" s="265"/>
      <c r="BQ31" s="265"/>
      <c r="BR31" s="265"/>
      <c r="BS31" s="265"/>
      <c r="BT31" s="265"/>
      <c r="BU31" s="786"/>
      <c r="BV31" s="786"/>
      <c r="BW31" s="786"/>
      <c r="BX31" s="786"/>
      <c r="BY31" s="161"/>
      <c r="BZ31" s="161"/>
      <c r="CA31" s="161"/>
      <c r="CB31" s="161"/>
      <c r="CC31" s="161"/>
      <c r="CD31" s="161"/>
      <c r="CE31" s="161"/>
      <c r="CF31" s="161"/>
      <c r="CG31" s="161"/>
      <c r="CH31" s="161"/>
      <c r="CI31" s="161"/>
      <c r="CJ31" s="161"/>
      <c r="CK31" s="161"/>
      <c r="CL31" s="161"/>
      <c r="CM31" s="161"/>
      <c r="CN31" s="161"/>
      <c r="CO31" s="161"/>
      <c r="CP31" s="161"/>
      <c r="CQ31" s="161"/>
      <c r="CR31" s="161"/>
      <c r="CS31" s="161"/>
      <c r="CT31" s="161"/>
      <c r="CU31" s="161"/>
      <c r="CV31" s="161"/>
      <c r="CW31" s="161"/>
      <c r="CX31" s="161"/>
      <c r="CY31" s="161"/>
      <c r="CZ31" s="161"/>
      <c r="DA31" s="161"/>
      <c r="DB31" s="161"/>
      <c r="DC31" s="161"/>
      <c r="DD31" s="161"/>
      <c r="DE31" s="161"/>
      <c r="DF31" s="161"/>
      <c r="DG31" s="161"/>
      <c r="DH31" s="161"/>
      <c r="DI31" s="161"/>
      <c r="DJ31" s="161"/>
      <c r="DK31" s="177"/>
      <c r="DL31" s="177"/>
      <c r="DM31" s="177"/>
      <c r="DN31" s="177"/>
      <c r="DO31" s="177"/>
      <c r="DP31" s="177"/>
      <c r="DQ31" s="177"/>
      <c r="DR31" s="177"/>
      <c r="DS31" s="177"/>
      <c r="DT31" s="177"/>
      <c r="DU31" s="177"/>
      <c r="DV31" s="177"/>
      <c r="DW31" s="177"/>
      <c r="DX31" s="177"/>
      <c r="DY31" s="177"/>
      <c r="DZ31" s="177"/>
      <c r="EA31" s="177"/>
      <c r="EB31" s="808"/>
      <c r="EC31" s="808"/>
      <c r="ED31" s="808"/>
      <c r="EF31" s="161"/>
      <c r="EH31" s="161"/>
      <c r="EM31" s="161"/>
      <c r="EN31" s="161"/>
      <c r="EO31" s="161"/>
      <c r="EP31" s="161"/>
      <c r="FL31" s="265"/>
      <c r="FM31" s="265"/>
      <c r="FN31" s="265"/>
      <c r="FO31" s="434"/>
      <c r="FP31" s="161"/>
      <c r="FQ31" s="161"/>
      <c r="FR31" s="430"/>
      <c r="FS31" s="646"/>
      <c r="FT31" s="639"/>
      <c r="FU31" s="673"/>
      <c r="FV31" s="667"/>
      <c r="FW31" s="673"/>
      <c r="FX31" s="667"/>
      <c r="FY31" s="753"/>
      <c r="FZ31" s="747"/>
      <c r="GA31" s="786"/>
      <c r="GB31" s="786"/>
      <c r="GC31" s="808"/>
      <c r="GD31" s="786"/>
      <c r="GE31" s="808"/>
    </row>
    <row r="32" spans="1:187">
      <c r="A32" s="161"/>
      <c r="B32" s="268" t="s">
        <v>338</v>
      </c>
      <c r="C32" s="775"/>
      <c r="D32" s="775"/>
      <c r="E32" s="775"/>
      <c r="F32" s="775"/>
      <c r="G32" s="775"/>
      <c r="H32" s="775"/>
      <c r="I32" s="775"/>
      <c r="J32" s="775"/>
      <c r="K32" s="775"/>
      <c r="L32" s="775">
        <v>1777</v>
      </c>
      <c r="M32" s="775">
        <v>1816</v>
      </c>
      <c r="N32" s="775">
        <v>1913</v>
      </c>
      <c r="O32" s="775">
        <v>2000</v>
      </c>
      <c r="P32" s="775">
        <v>2059</v>
      </c>
      <c r="Q32" s="775">
        <v>2085</v>
      </c>
      <c r="R32" s="775">
        <v>2117</v>
      </c>
      <c r="S32" s="775">
        <v>2193</v>
      </c>
      <c r="T32" s="775">
        <v>2212</v>
      </c>
      <c r="U32" s="775">
        <v>2247</v>
      </c>
      <c r="V32" s="775">
        <v>2241</v>
      </c>
      <c r="W32" s="775">
        <v>2250</v>
      </c>
      <c r="X32" s="775">
        <v>2316.3409999999999</v>
      </c>
      <c r="Y32" s="775">
        <v>2386</v>
      </c>
      <c r="Z32" s="775">
        <v>2449.5259999999998</v>
      </c>
      <c r="AA32" s="775">
        <v>2560.2730000000001</v>
      </c>
      <c r="AB32" s="775">
        <v>2689.8</v>
      </c>
      <c r="AC32" s="775">
        <v>2753.1</v>
      </c>
      <c r="AD32" s="775">
        <v>2853</v>
      </c>
      <c r="AE32" s="775">
        <v>3050</v>
      </c>
      <c r="AF32" s="775">
        <v>3200</v>
      </c>
      <c r="AG32" s="775">
        <v>3257</v>
      </c>
      <c r="AH32" s="775">
        <v>3316</v>
      </c>
      <c r="AI32" s="775">
        <v>3306</v>
      </c>
      <c r="AJ32" s="775">
        <v>3271</v>
      </c>
      <c r="AK32" s="775">
        <v>3296</v>
      </c>
      <c r="AL32" s="775">
        <v>3341</v>
      </c>
      <c r="AM32" s="775">
        <v>3405</v>
      </c>
      <c r="AN32" s="775">
        <f>AN28/AN34</f>
        <v>3469.9530516431928</v>
      </c>
      <c r="AO32" s="775">
        <v>3530</v>
      </c>
      <c r="AP32" s="775">
        <v>3570</v>
      </c>
      <c r="AQ32" s="775">
        <v>3593</v>
      </c>
      <c r="AR32" s="775">
        <v>3586</v>
      </c>
      <c r="AS32" s="775">
        <v>3626</v>
      </c>
      <c r="AT32" s="775">
        <v>3623</v>
      </c>
      <c r="AU32" s="775">
        <v>3628</v>
      </c>
      <c r="AV32" s="775">
        <v>3661.76</v>
      </c>
      <c r="AW32" s="775">
        <v>3707.1669999999999</v>
      </c>
      <c r="AX32" s="775">
        <v>3855.6370000000002</v>
      </c>
      <c r="AY32" s="775">
        <v>3932.6089999999999</v>
      </c>
      <c r="AZ32" s="775">
        <v>3989</v>
      </c>
      <c r="BA32" s="775">
        <v>4021</v>
      </c>
      <c r="BB32" s="775">
        <v>4100.768</v>
      </c>
      <c r="BC32" s="775">
        <v>4153.0469999999996</v>
      </c>
      <c r="BD32" s="775">
        <v>4179</v>
      </c>
      <c r="BE32" s="775">
        <v>4190</v>
      </c>
      <c r="BF32" s="775">
        <v>4274</v>
      </c>
      <c r="BG32" s="775">
        <v>4397.9939999999997</v>
      </c>
      <c r="BH32" s="775">
        <v>4540</v>
      </c>
      <c r="BI32" s="775">
        <v>4690.9189999999999</v>
      </c>
      <c r="BJ32" s="775">
        <v>4797.3990000000003</v>
      </c>
      <c r="BK32" s="775">
        <v>4945.826</v>
      </c>
      <c r="BL32" s="775">
        <v>5089.7250000000004</v>
      </c>
      <c r="BM32" s="775">
        <v>5177.58</v>
      </c>
      <c r="BN32" s="775">
        <v>5357.9539999999997</v>
      </c>
      <c r="BO32" s="775">
        <v>5520.1790000000001</v>
      </c>
      <c r="BP32" s="775">
        <v>5613.4309999999996</v>
      </c>
      <c r="BQ32" s="775">
        <v>5742.4859999999999</v>
      </c>
      <c r="BR32" s="775">
        <v>5864.2709999999997</v>
      </c>
      <c r="BS32" s="775">
        <v>5971.1819999999998</v>
      </c>
      <c r="BT32" s="775"/>
      <c r="BU32" s="784"/>
      <c r="BV32" s="784"/>
      <c r="BW32" s="784"/>
      <c r="BX32" s="784">
        <f>Fixed!U46</f>
        <v>6250.9300198807159</v>
      </c>
      <c r="BY32" s="161"/>
      <c r="BZ32" s="161"/>
      <c r="CA32" s="161"/>
      <c r="CB32" s="161"/>
      <c r="CC32" s="161"/>
      <c r="CD32" s="161"/>
      <c r="CE32" s="161"/>
      <c r="CF32" s="161"/>
      <c r="CG32" s="161"/>
      <c r="CH32" s="161"/>
      <c r="CI32" s="161"/>
      <c r="CJ32" s="161"/>
      <c r="CK32" s="161"/>
      <c r="CL32" s="161"/>
      <c r="CM32" s="161"/>
      <c r="CN32" s="161"/>
      <c r="CO32" s="161"/>
      <c r="CP32" s="161"/>
      <c r="CQ32" s="161"/>
      <c r="CR32" s="161"/>
      <c r="CS32" s="161"/>
      <c r="CT32" s="161"/>
      <c r="CU32" s="161"/>
      <c r="CV32" s="161"/>
      <c r="CW32" s="161"/>
      <c r="CX32" s="161"/>
      <c r="CY32" s="161"/>
      <c r="CZ32" s="161"/>
      <c r="DA32" s="161"/>
      <c r="DB32" s="161"/>
      <c r="DC32" s="161"/>
      <c r="DD32" s="161"/>
      <c r="DE32" s="161"/>
      <c r="DF32" s="161"/>
      <c r="DG32" s="161"/>
      <c r="DH32" s="161"/>
      <c r="DI32" s="161"/>
      <c r="DJ32" s="161"/>
      <c r="DK32" s="177"/>
      <c r="DL32" s="177"/>
      <c r="DM32" s="177"/>
      <c r="DN32" s="177"/>
      <c r="DO32" s="177"/>
      <c r="DP32" s="177"/>
      <c r="DQ32" s="177"/>
      <c r="DR32" s="177"/>
      <c r="DS32" s="177"/>
      <c r="DT32" s="177"/>
      <c r="DU32" s="177"/>
      <c r="DV32" s="177"/>
      <c r="DW32" s="177"/>
      <c r="DX32" s="177"/>
      <c r="DY32" s="177"/>
      <c r="DZ32" s="177"/>
      <c r="EA32" s="177"/>
      <c r="EB32" s="808"/>
      <c r="EC32" s="808"/>
      <c r="ED32" s="808"/>
      <c r="EF32" s="161"/>
      <c r="EH32" s="161"/>
      <c r="EM32" s="161"/>
      <c r="EN32" s="161"/>
      <c r="EO32" s="161"/>
      <c r="EP32" s="161"/>
      <c r="FL32" s="263">
        <v>4495.9542811296533</v>
      </c>
      <c r="FM32" s="263">
        <v>4668.8748538011696</v>
      </c>
      <c r="FN32" s="263">
        <v>4823.8081712062258</v>
      </c>
      <c r="FO32" s="433">
        <v>4915.7364341085267</v>
      </c>
      <c r="FP32" s="161"/>
      <c r="FQ32" s="161"/>
      <c r="FR32" s="430"/>
      <c r="FS32" s="644">
        <v>5224.7250000000004</v>
      </c>
      <c r="FT32" s="639"/>
      <c r="FU32" s="671">
        <v>5312.58</v>
      </c>
      <c r="FV32" s="667"/>
      <c r="FW32" s="670">
        <v>5500.5725024727999</v>
      </c>
      <c r="FX32" s="667"/>
      <c r="FY32" s="751">
        <v>5968.0375622422871</v>
      </c>
      <c r="FZ32" s="747"/>
      <c r="GA32" s="783">
        <v>5723.4309999999996</v>
      </c>
      <c r="GB32" s="783">
        <v>5852.4859999999999</v>
      </c>
      <c r="GC32" s="808"/>
      <c r="GD32" s="784">
        <v>5967.4206759443332</v>
      </c>
      <c r="GE32" s="808"/>
    </row>
    <row r="33" spans="1:187">
      <c r="A33" s="161"/>
      <c r="B33" s="161" t="s">
        <v>42</v>
      </c>
      <c r="C33" s="161"/>
      <c r="D33" s="161"/>
      <c r="E33" s="161"/>
      <c r="F33" s="161"/>
      <c r="G33" s="161"/>
      <c r="H33" s="161"/>
      <c r="I33" s="263"/>
      <c r="J33" s="263"/>
      <c r="K33" s="263"/>
      <c r="L33" s="263"/>
      <c r="M33" s="263"/>
      <c r="N33" s="263"/>
      <c r="O33" s="263"/>
      <c r="P33" s="263"/>
      <c r="Q33" s="263"/>
      <c r="R33" s="263"/>
      <c r="S33" s="263"/>
      <c r="T33" s="263">
        <f t="shared" ref="T33:BH33" si="65">T32-S32</f>
        <v>19</v>
      </c>
      <c r="U33" s="263">
        <f t="shared" si="65"/>
        <v>35</v>
      </c>
      <c r="V33" s="263">
        <f t="shared" si="65"/>
        <v>-6</v>
      </c>
      <c r="W33" s="263">
        <f t="shared" si="65"/>
        <v>9</v>
      </c>
      <c r="X33" s="263">
        <f t="shared" si="65"/>
        <v>66.340999999999894</v>
      </c>
      <c r="Y33" s="263">
        <f t="shared" si="65"/>
        <v>69.659000000000106</v>
      </c>
      <c r="Z33" s="263">
        <f t="shared" si="65"/>
        <v>63.52599999999984</v>
      </c>
      <c r="AA33" s="263">
        <f t="shared" si="65"/>
        <v>110.7470000000003</v>
      </c>
      <c r="AB33" s="263">
        <f t="shared" si="65"/>
        <v>129.52700000000004</v>
      </c>
      <c r="AC33" s="263">
        <f t="shared" si="65"/>
        <v>63.299999999999727</v>
      </c>
      <c r="AD33" s="263">
        <f t="shared" si="65"/>
        <v>99.900000000000091</v>
      </c>
      <c r="AE33" s="263">
        <f t="shared" si="65"/>
        <v>197</v>
      </c>
      <c r="AF33" s="263">
        <f t="shared" si="65"/>
        <v>150</v>
      </c>
      <c r="AG33" s="263">
        <f t="shared" si="65"/>
        <v>57</v>
      </c>
      <c r="AH33" s="263">
        <f t="shared" si="65"/>
        <v>59</v>
      </c>
      <c r="AI33" s="263">
        <f t="shared" si="65"/>
        <v>-10</v>
      </c>
      <c r="AJ33" s="263">
        <f t="shared" si="65"/>
        <v>-35</v>
      </c>
      <c r="AK33" s="263">
        <f t="shared" si="65"/>
        <v>25</v>
      </c>
      <c r="AL33" s="263">
        <f t="shared" si="65"/>
        <v>45</v>
      </c>
      <c r="AM33" s="263">
        <f t="shared" si="65"/>
        <v>64</v>
      </c>
      <c r="AN33" s="263">
        <f t="shared" si="65"/>
        <v>64.953051643192794</v>
      </c>
      <c r="AO33" s="263">
        <f t="shared" si="65"/>
        <v>60.046948356807206</v>
      </c>
      <c r="AP33" s="263">
        <f t="shared" si="65"/>
        <v>40</v>
      </c>
      <c r="AQ33" s="263">
        <f t="shared" si="65"/>
        <v>23</v>
      </c>
      <c r="AR33" s="263">
        <f t="shared" si="65"/>
        <v>-7</v>
      </c>
      <c r="AS33" s="263">
        <f t="shared" si="65"/>
        <v>40</v>
      </c>
      <c r="AT33" s="263">
        <f t="shared" si="65"/>
        <v>-3</v>
      </c>
      <c r="AU33" s="263">
        <f t="shared" si="65"/>
        <v>5</v>
      </c>
      <c r="AV33" s="263">
        <f t="shared" si="65"/>
        <v>33.760000000000218</v>
      </c>
      <c r="AW33" s="263">
        <f t="shared" si="65"/>
        <v>45.406999999999698</v>
      </c>
      <c r="AX33" s="263">
        <f t="shared" si="65"/>
        <v>148.47000000000025</v>
      </c>
      <c r="AY33" s="263">
        <f t="shared" si="65"/>
        <v>76.971999999999753</v>
      </c>
      <c r="AZ33" s="263">
        <f t="shared" si="65"/>
        <v>56.391000000000076</v>
      </c>
      <c r="BA33" s="263">
        <f t="shared" si="65"/>
        <v>32</v>
      </c>
      <c r="BB33" s="263">
        <f t="shared" si="65"/>
        <v>79.768000000000029</v>
      </c>
      <c r="BC33" s="263">
        <f t="shared" si="65"/>
        <v>52.278999999999542</v>
      </c>
      <c r="BD33" s="263">
        <f t="shared" si="65"/>
        <v>25.953000000000429</v>
      </c>
      <c r="BE33" s="263">
        <f t="shared" si="65"/>
        <v>11</v>
      </c>
      <c r="BF33" s="263">
        <f t="shared" si="65"/>
        <v>84</v>
      </c>
      <c r="BG33" s="263">
        <f t="shared" si="65"/>
        <v>123.99399999999969</v>
      </c>
      <c r="BH33" s="263">
        <f t="shared" si="65"/>
        <v>142.00600000000031</v>
      </c>
      <c r="BI33" s="263">
        <f t="shared" ref="BI33:BS33" si="66">BI32-BH32</f>
        <v>150.91899999999987</v>
      </c>
      <c r="BJ33" s="263">
        <f t="shared" si="66"/>
        <v>106.48000000000047</v>
      </c>
      <c r="BK33" s="263">
        <f t="shared" si="66"/>
        <v>148.42699999999968</v>
      </c>
      <c r="BL33" s="263">
        <f t="shared" si="66"/>
        <v>143.89900000000034</v>
      </c>
      <c r="BM33" s="263">
        <f t="shared" si="66"/>
        <v>87.854999999999563</v>
      </c>
      <c r="BN33" s="263">
        <f t="shared" si="66"/>
        <v>180.3739999999998</v>
      </c>
      <c r="BO33" s="263">
        <f t="shared" si="66"/>
        <v>162.22500000000036</v>
      </c>
      <c r="BP33" s="263">
        <f t="shared" si="66"/>
        <v>93.251999999999498</v>
      </c>
      <c r="BQ33" s="263">
        <f t="shared" si="66"/>
        <v>129.05500000000029</v>
      </c>
      <c r="BR33" s="263">
        <f t="shared" si="66"/>
        <v>121.78499999999985</v>
      </c>
      <c r="BS33" s="263">
        <f t="shared" si="66"/>
        <v>106.91100000000006</v>
      </c>
      <c r="BT33" s="263"/>
      <c r="BU33" s="784"/>
      <c r="BV33" s="784"/>
      <c r="BW33" s="784"/>
      <c r="BX33" s="784">
        <f>BX32-BS32</f>
        <v>279.74801988071613</v>
      </c>
      <c r="BY33" s="161"/>
      <c r="BZ33" s="161"/>
      <c r="CA33" s="161"/>
      <c r="CB33" s="161"/>
      <c r="CC33" s="161"/>
      <c r="CD33" s="161"/>
      <c r="CE33" s="161"/>
      <c r="CF33" s="161"/>
      <c r="CG33" s="161"/>
      <c r="CH33" s="161"/>
      <c r="CI33" s="161"/>
      <c r="CJ33" s="161"/>
      <c r="CK33" s="161"/>
      <c r="CL33" s="161"/>
      <c r="CM33" s="161"/>
      <c r="CN33" s="161"/>
      <c r="CO33" s="161"/>
      <c r="CP33" s="161"/>
      <c r="CQ33" s="161"/>
      <c r="CR33" s="161"/>
      <c r="CS33" s="161"/>
      <c r="CT33" s="161"/>
      <c r="CU33" s="161"/>
      <c r="CV33" s="161"/>
      <c r="CW33" s="161"/>
      <c r="CX33" s="161"/>
      <c r="CY33" s="161"/>
      <c r="CZ33" s="161"/>
      <c r="DA33" s="161"/>
      <c r="DB33" s="161"/>
      <c r="DC33" s="161"/>
      <c r="DD33" s="161"/>
      <c r="DE33" s="161"/>
      <c r="DF33" s="161"/>
      <c r="DG33" s="161"/>
      <c r="DH33" s="161"/>
      <c r="DI33" s="161"/>
      <c r="DJ33" s="161"/>
      <c r="DK33" s="177"/>
      <c r="DL33" s="177"/>
      <c r="DM33" s="177"/>
      <c r="DN33" s="177"/>
      <c r="DO33" s="177"/>
      <c r="DP33" s="177"/>
      <c r="DQ33" s="177"/>
      <c r="DR33" s="177"/>
      <c r="DS33" s="177"/>
      <c r="DT33" s="177"/>
      <c r="DU33" s="177"/>
      <c r="DV33" s="177"/>
      <c r="DW33" s="177"/>
      <c r="DX33" s="177"/>
      <c r="DY33" s="177"/>
      <c r="DZ33" s="177"/>
      <c r="EA33" s="177"/>
      <c r="EB33" s="808"/>
      <c r="EC33" s="808"/>
      <c r="ED33" s="808"/>
      <c r="EF33" s="161"/>
      <c r="EH33" s="161"/>
      <c r="EM33" s="161"/>
      <c r="EN33" s="161"/>
      <c r="EO33" s="161"/>
      <c r="EP33" s="161"/>
      <c r="FL33" s="263">
        <v>98.014281129653682</v>
      </c>
      <c r="FM33" s="263">
        <v>128.87485380116959</v>
      </c>
      <c r="FN33" s="263">
        <v>132.88917120622591</v>
      </c>
      <c r="FO33" s="433">
        <v>118.33743410852639</v>
      </c>
      <c r="FP33" s="161"/>
      <c r="FQ33" s="161"/>
      <c r="FR33" s="430"/>
      <c r="FS33" s="643">
        <v>135</v>
      </c>
      <c r="FT33" s="639"/>
      <c r="FU33" s="670">
        <v>135</v>
      </c>
      <c r="FV33" s="667"/>
      <c r="FW33" s="670">
        <v>142.61850247280017</v>
      </c>
      <c r="FX33" s="667"/>
      <c r="FY33" s="751">
        <v>447.85856224228701</v>
      </c>
      <c r="FZ33" s="747"/>
      <c r="GA33" s="784">
        <v>110</v>
      </c>
      <c r="GB33" s="784">
        <v>110</v>
      </c>
      <c r="GC33" s="808"/>
      <c r="GD33" s="784">
        <v>103.14967594433347</v>
      </c>
      <c r="GE33" s="808"/>
    </row>
    <row r="34" spans="1:187">
      <c r="A34" s="161"/>
      <c r="B34" s="267" t="s">
        <v>443</v>
      </c>
      <c r="C34" s="161"/>
      <c r="D34" s="161"/>
      <c r="E34" s="161"/>
      <c r="F34" s="161"/>
      <c r="G34" s="161"/>
      <c r="H34" s="161"/>
      <c r="I34" s="263"/>
      <c r="J34" s="263"/>
      <c r="K34" s="263"/>
      <c r="L34" s="275">
        <f t="shared" ref="L34:AM34" si="67">(L12+L19+L24)/L32</f>
        <v>1.5557265053460889</v>
      </c>
      <c r="M34" s="275">
        <f t="shared" si="67"/>
        <v>1.5500523127753303</v>
      </c>
      <c r="N34" s="275">
        <f t="shared" si="67"/>
        <v>1.5593308938839519</v>
      </c>
      <c r="O34" s="275">
        <f t="shared" si="67"/>
        <v>1.5609999999999999</v>
      </c>
      <c r="P34" s="275">
        <f t="shared" si="67"/>
        <v>1.5585235551238465</v>
      </c>
      <c r="Q34" s="275">
        <f t="shared" si="67"/>
        <v>1.5640287769784174</v>
      </c>
      <c r="R34" s="275">
        <f t="shared" si="67"/>
        <v>1.5923476617855457</v>
      </c>
      <c r="S34" s="275">
        <f t="shared" si="67"/>
        <v>1.5918832649338805</v>
      </c>
      <c r="T34" s="275">
        <f t="shared" si="67"/>
        <v>1.604882459312839</v>
      </c>
      <c r="U34" s="275">
        <f t="shared" si="67"/>
        <v>1.5941255006675568</v>
      </c>
      <c r="V34" s="275">
        <f t="shared" si="67"/>
        <v>1.6015171798304328</v>
      </c>
      <c r="W34" s="275">
        <f t="shared" si="67"/>
        <v>1.6319999999999999</v>
      </c>
      <c r="X34" s="275">
        <f t="shared" si="67"/>
        <v>1.6522165777836684</v>
      </c>
      <c r="Y34" s="275">
        <f t="shared" si="67"/>
        <v>1.6707950544844927</v>
      </c>
      <c r="Z34" s="275">
        <f t="shared" si="67"/>
        <v>1.7087599805023503</v>
      </c>
      <c r="AA34" s="275">
        <f t="shared" si="67"/>
        <v>1.7412564988186807</v>
      </c>
      <c r="AB34" s="275">
        <f t="shared" si="67"/>
        <v>1.7489404416685252</v>
      </c>
      <c r="AC34" s="275">
        <f t="shared" si="67"/>
        <v>1.7892557480658167</v>
      </c>
      <c r="AD34" s="275">
        <f t="shared" si="67"/>
        <v>1.8216964598668068</v>
      </c>
      <c r="AE34" s="275">
        <f t="shared" si="67"/>
        <v>1.8234206557377048</v>
      </c>
      <c r="AF34" s="275">
        <f t="shared" si="67"/>
        <v>1.8134662499999998</v>
      </c>
      <c r="AG34" s="275">
        <f t="shared" si="67"/>
        <v>1.8155185753761132</v>
      </c>
      <c r="AH34" s="275">
        <f t="shared" si="67"/>
        <v>1.8710494571773222</v>
      </c>
      <c r="AI34" s="275">
        <f t="shared" si="67"/>
        <v>1.928251663641863</v>
      </c>
      <c r="AJ34" s="275">
        <f t="shared" si="67"/>
        <v>1.9597569550596148</v>
      </c>
      <c r="AK34" s="275">
        <f t="shared" si="67"/>
        <v>2.0127633495145631</v>
      </c>
      <c r="AL34" s="275">
        <f t="shared" si="67"/>
        <v>2.0549305597126613</v>
      </c>
      <c r="AM34" s="275">
        <f t="shared" si="67"/>
        <v>2.0945239353891334</v>
      </c>
      <c r="AN34" s="275">
        <v>2.13</v>
      </c>
      <c r="AO34" s="275">
        <f t="shared" ref="AO34:BS34" si="68">(AO12+AO19+AO24)/AO32</f>
        <v>2.1511903682719549</v>
      </c>
      <c r="AP34" s="275">
        <f t="shared" si="68"/>
        <v>2.1879551820728294</v>
      </c>
      <c r="AQ34" s="275">
        <f t="shared" si="68"/>
        <v>2.2147141664347343</v>
      </c>
      <c r="AR34" s="275">
        <f t="shared" si="68"/>
        <v>2.2467930842163972</v>
      </c>
      <c r="AS34" s="275">
        <f t="shared" si="68"/>
        <v>2.2693397683397682</v>
      </c>
      <c r="AT34" s="275">
        <f t="shared" si="68"/>
        <v>2.3085840463704113</v>
      </c>
      <c r="AU34" s="275">
        <f t="shared" si="68"/>
        <v>2.3299239250275634</v>
      </c>
      <c r="AV34" s="275">
        <f t="shared" si="68"/>
        <v>2.3394173839902122</v>
      </c>
      <c r="AW34" s="275">
        <f t="shared" si="68"/>
        <v>2.3626936687772631</v>
      </c>
      <c r="AX34" s="275">
        <f t="shared" si="68"/>
        <v>2.4086935569920094</v>
      </c>
      <c r="AY34" s="275">
        <f t="shared" si="68"/>
        <v>2.4283545605474637</v>
      </c>
      <c r="AZ34" s="275">
        <f t="shared" si="68"/>
        <v>2.445095011281023</v>
      </c>
      <c r="BA34" s="275">
        <f t="shared" si="68"/>
        <v>2.465008704302412</v>
      </c>
      <c r="BB34" s="275">
        <f t="shared" si="68"/>
        <v>2.4882280587441183</v>
      </c>
      <c r="BC34" s="275">
        <f t="shared" si="68"/>
        <v>2.5053489642664775</v>
      </c>
      <c r="BD34" s="275">
        <f t="shared" si="68"/>
        <v>2.5184280928451783</v>
      </c>
      <c r="BE34" s="275">
        <f t="shared" si="68"/>
        <v>2.5275155131264913</v>
      </c>
      <c r="BF34" s="275">
        <f t="shared" si="68"/>
        <v>2.5429534394010291</v>
      </c>
      <c r="BG34" s="275">
        <f t="shared" si="68"/>
        <v>2.550617395112408</v>
      </c>
      <c r="BH34" s="275">
        <f t="shared" si="68"/>
        <v>2.5607189427312771</v>
      </c>
      <c r="BI34" s="275">
        <f t="shared" si="68"/>
        <v>2.5703251324527243</v>
      </c>
      <c r="BJ34" s="275">
        <f t="shared" si="68"/>
        <v>2.5765884805495642</v>
      </c>
      <c r="BK34" s="275">
        <f t="shared" si="68"/>
        <v>2.5714000047717005</v>
      </c>
      <c r="BL34" s="275">
        <f t="shared" si="68"/>
        <v>2.5653631581274032</v>
      </c>
      <c r="BM34" s="275">
        <f t="shared" si="68"/>
        <v>2.5490595992722471</v>
      </c>
      <c r="BN34" s="275">
        <f t="shared" si="68"/>
        <v>2.5371720249931222</v>
      </c>
      <c r="BO34" s="275">
        <f t="shared" si="68"/>
        <v>2.5231180003402063</v>
      </c>
      <c r="BP34" s="275">
        <f t="shared" si="68"/>
        <v>2.5102465853771077</v>
      </c>
      <c r="BQ34" s="275">
        <f t="shared" si="68"/>
        <v>2.5080367631719085</v>
      </c>
      <c r="BR34" s="275">
        <f t="shared" si="68"/>
        <v>2.5151431439645271</v>
      </c>
      <c r="BS34" s="275">
        <f t="shared" si="68"/>
        <v>2.5077261084991211</v>
      </c>
      <c r="BT34" s="275"/>
      <c r="BU34" s="787"/>
      <c r="BV34" s="787"/>
      <c r="BW34" s="787"/>
      <c r="BX34" s="787">
        <f>(BX12+BX19+BX24)/BX32</f>
        <v>2.5150000000000001</v>
      </c>
      <c r="BY34" s="161"/>
      <c r="BZ34" s="161"/>
      <c r="CA34" s="161"/>
      <c r="CB34" s="161"/>
      <c r="CC34" s="161"/>
      <c r="CD34" s="161"/>
      <c r="CE34" s="161"/>
      <c r="CF34" s="161"/>
      <c r="CG34" s="161"/>
      <c r="CH34" s="161"/>
      <c r="CI34" s="161"/>
      <c r="CJ34" s="161"/>
      <c r="CK34" s="161"/>
      <c r="CL34" s="161"/>
      <c r="CM34" s="161"/>
      <c r="CN34" s="161"/>
      <c r="CO34" s="161"/>
      <c r="CP34" s="161"/>
      <c r="CQ34" s="161"/>
      <c r="CR34" s="161"/>
      <c r="CS34" s="161"/>
      <c r="CT34" s="161"/>
      <c r="CU34" s="161"/>
      <c r="CV34" s="161"/>
      <c r="CW34" s="161"/>
      <c r="CX34" s="161"/>
      <c r="CY34" s="161"/>
      <c r="CZ34" s="161"/>
      <c r="DA34" s="161"/>
      <c r="DB34" s="161"/>
      <c r="DC34" s="161"/>
      <c r="DD34" s="161"/>
      <c r="DE34" s="161"/>
      <c r="DF34" s="161"/>
      <c r="DG34" s="161"/>
      <c r="DH34" s="161"/>
      <c r="DI34" s="161"/>
      <c r="DJ34" s="161"/>
      <c r="DK34" s="177"/>
      <c r="DL34" s="177"/>
      <c r="DM34" s="177"/>
      <c r="DN34" s="177"/>
      <c r="DO34" s="177"/>
      <c r="DP34" s="177"/>
      <c r="DQ34" s="177"/>
      <c r="DR34" s="177"/>
      <c r="DS34" s="177"/>
      <c r="DT34" s="177"/>
      <c r="DU34" s="177"/>
      <c r="DV34" s="177"/>
      <c r="DW34" s="177"/>
      <c r="DX34" s="177"/>
      <c r="DY34" s="177"/>
      <c r="DZ34" s="177"/>
      <c r="EA34" s="177"/>
      <c r="EB34" s="808"/>
      <c r="EC34" s="808"/>
      <c r="ED34" s="808"/>
      <c r="EF34" s="161"/>
      <c r="EH34" s="161"/>
      <c r="EM34" s="161"/>
      <c r="EN34" s="161"/>
      <c r="EO34" s="161"/>
      <c r="EP34" s="161"/>
      <c r="FL34" s="276">
        <v>2.5506487128064501</v>
      </c>
      <c r="FM34" s="276">
        <v>2.5649999999999999</v>
      </c>
      <c r="FN34" s="276">
        <v>2.57</v>
      </c>
      <c r="FO34" s="435">
        <v>2.58</v>
      </c>
      <c r="FP34" s="161"/>
      <c r="FQ34" s="161"/>
      <c r="FR34" s="430"/>
      <c r="FS34" s="647">
        <v>2.5641527544511908</v>
      </c>
      <c r="FT34" s="639"/>
      <c r="FU34" s="674">
        <v>2.5298442564629617</v>
      </c>
      <c r="FV34" s="667"/>
      <c r="FW34" s="674">
        <v>2.5274999999999999</v>
      </c>
      <c r="FX34" s="667"/>
      <c r="FY34" s="754">
        <v>2.3806926232987387</v>
      </c>
      <c r="FZ34" s="747"/>
      <c r="GA34" s="787">
        <v>2.5004400332597707</v>
      </c>
      <c r="GB34" s="787">
        <v>2.4984879929657242</v>
      </c>
      <c r="GC34" s="808"/>
      <c r="GD34" s="787">
        <v>2.5150000000000006</v>
      </c>
      <c r="GE34" s="808"/>
    </row>
    <row r="35" spans="1:187">
      <c r="A35" s="161"/>
      <c r="B35" s="267" t="s">
        <v>444</v>
      </c>
      <c r="C35" s="161"/>
      <c r="D35" s="161"/>
      <c r="E35" s="161"/>
      <c r="F35" s="161"/>
      <c r="G35" s="161"/>
      <c r="H35" s="161"/>
      <c r="I35" s="263"/>
      <c r="J35" s="263"/>
      <c r="K35" s="263"/>
      <c r="L35" s="275"/>
      <c r="M35" s="275"/>
      <c r="N35" s="275"/>
      <c r="O35" s="275"/>
      <c r="P35" s="275"/>
      <c r="Q35" s="275"/>
      <c r="R35" s="275"/>
      <c r="S35" s="275"/>
      <c r="T35" s="275"/>
      <c r="U35" s="275"/>
      <c r="V35" s="275"/>
      <c r="W35" s="275"/>
      <c r="X35" s="264">
        <f t="shared" ref="X35:BS35" si="69">X32/X8</f>
        <v>0.34804665783154976</v>
      </c>
      <c r="Y35" s="264">
        <f t="shared" si="69"/>
        <v>0.35563314101420429</v>
      </c>
      <c r="Z35" s="264">
        <f t="shared" si="69"/>
        <v>0.35910074329179953</v>
      </c>
      <c r="AA35" s="264">
        <f t="shared" si="69"/>
        <v>0.35686868298274727</v>
      </c>
      <c r="AB35" s="264">
        <f t="shared" si="69"/>
        <v>0.37314799400699189</v>
      </c>
      <c r="AC35" s="264">
        <f t="shared" si="69"/>
        <v>0.37535789272761977</v>
      </c>
      <c r="AD35" s="264">
        <f t="shared" si="69"/>
        <v>0.38394250955482584</v>
      </c>
      <c r="AE35" s="264">
        <f t="shared" si="69"/>
        <v>0.40736380191968524</v>
      </c>
      <c r="AF35" s="264">
        <f t="shared" si="69"/>
        <v>0.4242355143457891</v>
      </c>
      <c r="AG35" s="264">
        <f t="shared" si="69"/>
        <v>0.42702926087882281</v>
      </c>
      <c r="AH35" s="264">
        <f t="shared" si="69"/>
        <v>0.42794827452701129</v>
      </c>
      <c r="AI35" s="264">
        <f t="shared" si="69"/>
        <v>0.4201832868475387</v>
      </c>
      <c r="AJ35" s="264">
        <f t="shared" si="69"/>
        <v>0.41331498455723303</v>
      </c>
      <c r="AK35" s="264">
        <f t="shared" si="69"/>
        <v>0.41262063300962565</v>
      </c>
      <c r="AL35" s="264">
        <f t="shared" si="69"/>
        <v>0.41458428339646403</v>
      </c>
      <c r="AM35" s="264">
        <f t="shared" si="69"/>
        <v>0.41853974984475312</v>
      </c>
      <c r="AN35" s="264">
        <f t="shared" si="69"/>
        <v>0.42280407598917907</v>
      </c>
      <c r="AO35" s="264">
        <f t="shared" si="69"/>
        <v>0.42617409151273694</v>
      </c>
      <c r="AP35" s="264">
        <f t="shared" si="69"/>
        <v>0.42693135613489597</v>
      </c>
      <c r="AQ35" s="264">
        <f t="shared" si="69"/>
        <v>0.42632123690824203</v>
      </c>
      <c r="AR35" s="264">
        <f t="shared" si="69"/>
        <v>0.44507881345413924</v>
      </c>
      <c r="AS35" s="264">
        <f t="shared" si="69"/>
        <v>0.41667949877110577</v>
      </c>
      <c r="AT35" s="264">
        <f t="shared" si="69"/>
        <v>0.41339570972158829</v>
      </c>
      <c r="AU35" s="264">
        <f t="shared" si="69"/>
        <v>0.41056166487960688</v>
      </c>
      <c r="AV35" s="264">
        <f t="shared" si="69"/>
        <v>0.41358131014023947</v>
      </c>
      <c r="AW35" s="264">
        <f t="shared" si="69"/>
        <v>0.41764778117008217</v>
      </c>
      <c r="AX35" s="264">
        <f t="shared" si="69"/>
        <v>0.43313261992280844</v>
      </c>
      <c r="AY35" s="264">
        <f t="shared" si="69"/>
        <v>0.43912990704996963</v>
      </c>
      <c r="AZ35" s="264">
        <f t="shared" si="69"/>
        <v>0.44286679701390763</v>
      </c>
      <c r="BA35" s="264">
        <f t="shared" si="69"/>
        <v>0.44201385072001759</v>
      </c>
      <c r="BB35" s="264">
        <f t="shared" si="69"/>
        <v>0.44131644362119066</v>
      </c>
      <c r="BC35" s="264">
        <f t="shared" si="69"/>
        <v>0.43402869803315003</v>
      </c>
      <c r="BD35" s="264">
        <f t="shared" si="69"/>
        <v>0.43143386461607391</v>
      </c>
      <c r="BE35" s="264">
        <f t="shared" si="69"/>
        <v>0.41425635053008003</v>
      </c>
      <c r="BF35" s="264">
        <f t="shared" si="69"/>
        <v>0.40448595173159546</v>
      </c>
      <c r="BG35" s="264">
        <f t="shared" si="69"/>
        <v>0.38044213353069978</v>
      </c>
      <c r="BH35" s="264">
        <f t="shared" si="69"/>
        <v>0.36356129267020393</v>
      </c>
      <c r="BI35" s="264">
        <f t="shared" si="69"/>
        <v>0.34874906138713968</v>
      </c>
      <c r="BJ35" s="264">
        <f t="shared" si="69"/>
        <v>0.32965928145613588</v>
      </c>
      <c r="BK35" s="264">
        <f t="shared" si="69"/>
        <v>0.32036894638632041</v>
      </c>
      <c r="BL35" s="264">
        <f t="shared" si="69"/>
        <v>0.31907664885968134</v>
      </c>
      <c r="BM35" s="264">
        <f t="shared" si="69"/>
        <v>0.3136284049962913</v>
      </c>
      <c r="BN35" s="264">
        <f t="shared" si="69"/>
        <v>0.31520834491548633</v>
      </c>
      <c r="BO35" s="264">
        <f t="shared" si="69"/>
        <v>0.3167167975232632</v>
      </c>
      <c r="BP35" s="264">
        <f t="shared" si="69"/>
        <v>0.31945554567929002</v>
      </c>
      <c r="BQ35" s="264">
        <f t="shared" si="69"/>
        <v>0.31708196637128411</v>
      </c>
      <c r="BR35" s="264">
        <f t="shared" si="69"/>
        <v>0.31347190710028633</v>
      </c>
      <c r="BS35" s="264">
        <f t="shared" si="69"/>
        <v>0.3102511310493879</v>
      </c>
      <c r="BT35" s="264"/>
      <c r="BU35" s="782"/>
      <c r="BV35" s="782"/>
      <c r="BW35" s="782"/>
      <c r="BX35" s="782">
        <f>BX32/BX8</f>
        <v>0.30715159817815524</v>
      </c>
      <c r="BY35" s="161"/>
      <c r="BZ35" s="161"/>
      <c r="CA35" s="161"/>
      <c r="CB35" s="161"/>
      <c r="CC35" s="161"/>
      <c r="CD35" s="161"/>
      <c r="CE35" s="161"/>
      <c r="CF35" s="161"/>
      <c r="CG35" s="161"/>
      <c r="CH35" s="161"/>
      <c r="CI35" s="161"/>
      <c r="CJ35" s="161"/>
      <c r="CK35" s="161"/>
      <c r="CL35" s="161"/>
      <c r="CM35" s="161"/>
      <c r="CN35" s="161"/>
      <c r="CO35" s="161"/>
      <c r="CP35" s="161"/>
      <c r="CQ35" s="161"/>
      <c r="CR35" s="161"/>
      <c r="CS35" s="161"/>
      <c r="CT35" s="161"/>
      <c r="CU35" s="161"/>
      <c r="CV35" s="161"/>
      <c r="CW35" s="161"/>
      <c r="CX35" s="161"/>
      <c r="CY35" s="161"/>
      <c r="CZ35" s="161"/>
      <c r="DA35" s="161"/>
      <c r="DB35" s="161"/>
      <c r="DC35" s="161"/>
      <c r="DD35" s="161"/>
      <c r="DE35" s="161"/>
      <c r="DF35" s="161"/>
      <c r="DG35" s="161"/>
      <c r="DH35" s="161"/>
      <c r="DI35" s="161"/>
      <c r="DJ35" s="161"/>
      <c r="DK35" s="177"/>
      <c r="DL35" s="177"/>
      <c r="DM35" s="177"/>
      <c r="DN35" s="177"/>
      <c r="DO35" s="177"/>
      <c r="DP35" s="177"/>
      <c r="DQ35" s="177"/>
      <c r="DR35" s="177"/>
      <c r="DS35" s="177"/>
      <c r="DT35" s="177"/>
      <c r="DU35" s="177"/>
      <c r="DV35" s="177"/>
      <c r="DW35" s="177"/>
      <c r="DX35" s="177"/>
      <c r="DY35" s="177"/>
      <c r="DZ35" s="177"/>
      <c r="EA35" s="177"/>
      <c r="EB35" s="808"/>
      <c r="EC35" s="808"/>
      <c r="ED35" s="808"/>
      <c r="EF35" s="161"/>
      <c r="EH35" s="161"/>
      <c r="EM35" s="161"/>
      <c r="EN35" s="161"/>
      <c r="EO35" s="161"/>
      <c r="EP35" s="161"/>
      <c r="FL35" s="264">
        <v>0.37279212375179727</v>
      </c>
      <c r="FM35" s="264">
        <v>0.3487561682943513</v>
      </c>
      <c r="FN35" s="264">
        <v>0.34307027183612659</v>
      </c>
      <c r="FO35" s="432">
        <v>0.31591693857428776</v>
      </c>
      <c r="FP35" s="161"/>
      <c r="FQ35" s="161"/>
      <c r="FR35" s="430"/>
      <c r="FS35" s="641">
        <v>0.31952733395966026</v>
      </c>
      <c r="FT35" s="639"/>
      <c r="FU35" s="668">
        <v>0.31512497000796919</v>
      </c>
      <c r="FV35" s="667"/>
      <c r="FW35" s="668">
        <v>0.31634471604160297</v>
      </c>
      <c r="FX35" s="667"/>
      <c r="FY35" s="749">
        <v>0.33567176605052917</v>
      </c>
      <c r="FZ35" s="747"/>
      <c r="GA35" s="782">
        <v>0.3211465082590384</v>
      </c>
      <c r="GB35" s="782">
        <v>0.31788995522371438</v>
      </c>
      <c r="GC35" s="808"/>
      <c r="GD35" s="782">
        <v>0.31276797841986698</v>
      </c>
      <c r="GE35" s="808"/>
    </row>
    <row r="36" spans="1:187">
      <c r="A36" s="161"/>
      <c r="B36" s="161"/>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265"/>
      <c r="AA36" s="265"/>
      <c r="AB36" s="161"/>
      <c r="AC36" s="161"/>
      <c r="AD36" s="161"/>
      <c r="AE36" s="161"/>
      <c r="AF36" s="161"/>
      <c r="AG36" s="161"/>
      <c r="AH36" s="161"/>
      <c r="AI36" s="161"/>
      <c r="AJ36" s="161"/>
      <c r="AK36" s="161"/>
      <c r="AL36" s="161"/>
      <c r="AM36" s="161"/>
      <c r="AN36" s="161"/>
      <c r="AO36" s="161"/>
      <c r="AP36" s="161"/>
      <c r="AQ36" s="161"/>
      <c r="AR36" s="161"/>
      <c r="AS36" s="161"/>
      <c r="AT36" s="161"/>
      <c r="AU36" s="161"/>
      <c r="AV36" s="161"/>
      <c r="AW36" s="161"/>
      <c r="AX36" s="161"/>
      <c r="AY36" s="161"/>
      <c r="AZ36" s="161"/>
      <c r="BA36" s="161"/>
      <c r="BB36" s="161"/>
      <c r="BC36" s="161"/>
      <c r="BD36" s="161"/>
      <c r="BE36" s="161"/>
      <c r="BF36" s="161"/>
      <c r="BG36" s="161"/>
      <c r="BH36" s="161"/>
      <c r="BI36" s="161"/>
      <c r="BJ36" s="161"/>
      <c r="BK36" s="161"/>
      <c r="BL36" s="161"/>
      <c r="BM36" s="161"/>
      <c r="BN36" s="161"/>
      <c r="BO36" s="161"/>
      <c r="BP36" s="161"/>
      <c r="BQ36" s="161"/>
      <c r="BR36" s="161"/>
      <c r="BS36" s="161"/>
      <c r="BT36" s="161"/>
      <c r="BU36" s="780"/>
      <c r="BV36" s="780"/>
      <c r="BW36" s="780"/>
      <c r="BX36" s="780"/>
      <c r="BY36" s="161"/>
      <c r="BZ36" s="161"/>
      <c r="CA36" s="161"/>
      <c r="CB36" s="161"/>
      <c r="CC36" s="161"/>
      <c r="CD36" s="161"/>
      <c r="CE36" s="161"/>
      <c r="CF36" s="161"/>
      <c r="CG36" s="161"/>
      <c r="CH36" s="161"/>
      <c r="CI36" s="161"/>
      <c r="CJ36" s="161"/>
      <c r="CK36" s="161"/>
      <c r="CL36" s="161"/>
      <c r="CM36" s="161"/>
      <c r="CN36" s="161"/>
      <c r="CO36" s="161"/>
      <c r="CP36" s="161"/>
      <c r="CQ36" s="161"/>
      <c r="CR36" s="161"/>
      <c r="CS36" s="161"/>
      <c r="CT36" s="161"/>
      <c r="CU36" s="161"/>
      <c r="CV36" s="161"/>
      <c r="CW36" s="161"/>
      <c r="CX36" s="161"/>
      <c r="CY36" s="161"/>
      <c r="CZ36" s="161"/>
      <c r="DA36" s="161"/>
      <c r="DB36" s="161"/>
      <c r="DC36" s="161"/>
      <c r="DD36" s="161"/>
      <c r="DE36" s="161"/>
      <c r="DF36" s="161"/>
      <c r="DG36" s="161"/>
      <c r="DH36" s="161"/>
      <c r="DI36" s="161"/>
      <c r="DJ36" s="161"/>
      <c r="DK36" s="177"/>
      <c r="DL36" s="177"/>
      <c r="DM36" s="177"/>
      <c r="DN36" s="177"/>
      <c r="DO36" s="177"/>
      <c r="DP36" s="177"/>
      <c r="DQ36" s="177"/>
      <c r="DR36" s="177"/>
      <c r="DS36" s="177"/>
      <c r="DT36" s="177"/>
      <c r="DU36" s="177"/>
      <c r="DV36" s="177"/>
      <c r="DW36" s="177"/>
      <c r="DX36" s="177"/>
      <c r="DY36" s="177"/>
      <c r="DZ36" s="177"/>
      <c r="EA36" s="177"/>
      <c r="EB36" s="808"/>
      <c r="EC36" s="808"/>
      <c r="ED36" s="808"/>
      <c r="EF36" s="161"/>
      <c r="EH36" s="161"/>
      <c r="EM36" s="161"/>
      <c r="EN36" s="161"/>
      <c r="EO36" s="161"/>
      <c r="EP36" s="161"/>
      <c r="FL36" s="161"/>
      <c r="FM36" s="161"/>
      <c r="FN36" s="161"/>
      <c r="FO36" s="430"/>
      <c r="FP36" s="161"/>
      <c r="FQ36" s="161"/>
      <c r="FR36" s="430"/>
      <c r="FS36" s="639"/>
      <c r="FT36" s="639"/>
      <c r="FU36" s="667"/>
      <c r="FV36" s="667"/>
      <c r="FW36" s="667"/>
      <c r="FX36" s="667"/>
      <c r="FY36" s="747"/>
      <c r="FZ36" s="747"/>
      <c r="GA36" s="780"/>
      <c r="GB36" s="780"/>
      <c r="GC36" s="808"/>
      <c r="GD36" s="780"/>
      <c r="GE36" s="808"/>
    </row>
    <row r="37" spans="1:187">
      <c r="A37" s="161"/>
      <c r="B37" s="163" t="s">
        <v>445</v>
      </c>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161"/>
      <c r="BN37" s="161"/>
      <c r="BO37" s="161"/>
      <c r="BP37" s="161"/>
      <c r="BQ37" s="161"/>
      <c r="BR37" s="161"/>
      <c r="BS37" s="161"/>
      <c r="BT37" s="161"/>
      <c r="BU37" s="780"/>
      <c r="BV37" s="780"/>
      <c r="BW37" s="780"/>
      <c r="BX37" s="780"/>
      <c r="BY37" s="161"/>
      <c r="BZ37" s="161"/>
      <c r="CA37" s="161"/>
      <c r="CB37" s="161"/>
      <c r="CC37" s="161"/>
      <c r="CD37" s="161"/>
      <c r="CE37" s="161"/>
      <c r="CF37" s="161"/>
      <c r="CG37" s="161"/>
      <c r="CH37" s="161"/>
      <c r="CI37" s="161"/>
      <c r="CJ37" s="161"/>
      <c r="CK37" s="161"/>
      <c r="CL37" s="161"/>
      <c r="CM37" s="161"/>
      <c r="CN37" s="161"/>
      <c r="CO37" s="161"/>
      <c r="CP37" s="161"/>
      <c r="CQ37" s="161"/>
      <c r="CR37" s="161"/>
      <c r="CS37" s="161"/>
      <c r="CT37" s="161"/>
      <c r="CU37" s="161"/>
      <c r="CV37" s="161"/>
      <c r="CW37" s="161"/>
      <c r="CX37" s="161"/>
      <c r="CY37" s="161"/>
      <c r="CZ37" s="161"/>
      <c r="DA37" s="161"/>
      <c r="DB37" s="161"/>
      <c r="DC37" s="161"/>
      <c r="DD37" s="161"/>
      <c r="DE37" s="161"/>
      <c r="DF37" s="161"/>
      <c r="DG37" s="161"/>
      <c r="DH37" s="161"/>
      <c r="DI37" s="161"/>
      <c r="DJ37" s="161"/>
      <c r="DK37" s="177"/>
      <c r="DL37" s="177"/>
      <c r="DM37" s="177"/>
      <c r="DN37" s="177"/>
      <c r="DO37" s="177"/>
      <c r="DP37" s="177"/>
      <c r="DQ37" s="177"/>
      <c r="DR37" s="177"/>
      <c r="DS37" s="177"/>
      <c r="DT37" s="177"/>
      <c r="DU37" s="177"/>
      <c r="DV37" s="177"/>
      <c r="DW37" s="177"/>
      <c r="DX37" s="177"/>
      <c r="DY37" s="177"/>
      <c r="DZ37" s="177"/>
      <c r="EA37" s="177"/>
      <c r="EB37" s="808"/>
      <c r="EC37" s="808"/>
      <c r="ED37" s="808"/>
      <c r="EF37" s="161"/>
      <c r="EH37" s="161"/>
      <c r="EM37" s="161"/>
      <c r="EN37" s="161"/>
      <c r="EO37" s="161"/>
      <c r="EP37" s="161"/>
      <c r="FL37" s="161"/>
      <c r="FM37" s="161"/>
      <c r="FN37" s="161"/>
      <c r="FO37" s="430"/>
      <c r="FP37" s="161"/>
      <c r="FQ37" s="161"/>
      <c r="FR37" s="430"/>
      <c r="FS37" s="639"/>
      <c r="FT37" s="639"/>
      <c r="FU37" s="667"/>
      <c r="FV37" s="667"/>
      <c r="FW37" s="667"/>
      <c r="FX37" s="667"/>
      <c r="FY37" s="747"/>
      <c r="FZ37" s="747"/>
      <c r="GA37" s="780"/>
      <c r="GB37" s="780"/>
      <c r="GC37" s="808"/>
      <c r="GD37" s="780"/>
      <c r="GE37" s="808"/>
    </row>
    <row r="38" spans="1:187">
      <c r="A38" s="161"/>
      <c r="B38" s="161" t="str">
        <f>B50</f>
        <v>Video</v>
      </c>
      <c r="C38" s="161"/>
      <c r="D38" s="161"/>
      <c r="E38" s="161"/>
      <c r="F38" s="161"/>
      <c r="G38" s="161"/>
      <c r="H38" s="161"/>
      <c r="I38" s="1006">
        <v>2.7E-2</v>
      </c>
      <c r="J38" s="1007"/>
      <c r="K38" s="1007"/>
      <c r="L38" s="1006">
        <v>3.4000000000000002E-2</v>
      </c>
      <c r="M38" s="1006">
        <v>2.4E-2</v>
      </c>
      <c r="N38" s="1006">
        <v>2.8000000000000001E-2</v>
      </c>
      <c r="O38" s="1006">
        <v>2.4E-2</v>
      </c>
      <c r="P38" s="1006">
        <v>2.5999999999999999E-2</v>
      </c>
      <c r="Q38" s="1006">
        <v>2.7E-2</v>
      </c>
      <c r="R38" s="1006">
        <v>0.03</v>
      </c>
      <c r="S38" s="1006">
        <v>2.8000000000000001E-2</v>
      </c>
      <c r="T38" s="1006">
        <v>0.03</v>
      </c>
      <c r="U38" s="1006">
        <v>3.1E-2</v>
      </c>
      <c r="V38" s="1006">
        <v>2.9000000000000001E-2</v>
      </c>
      <c r="W38" s="1006">
        <v>2.8000000000000001E-2</v>
      </c>
      <c r="X38" s="1006">
        <v>2.8000000000000001E-2</v>
      </c>
      <c r="Y38" s="1006">
        <v>2.5999999999999999E-2</v>
      </c>
      <c r="Z38" s="1006">
        <v>2.7E-2</v>
      </c>
      <c r="AA38" s="1006">
        <v>2.1000000000000001E-2</v>
      </c>
      <c r="AB38" s="1006">
        <v>2.4E-2</v>
      </c>
      <c r="AC38" s="1006">
        <v>2.4E-2</v>
      </c>
      <c r="AD38" s="1006">
        <v>2.8000000000000001E-2</v>
      </c>
      <c r="AE38" s="1006">
        <v>2.3E-2</v>
      </c>
      <c r="AF38" s="1006">
        <v>2.4E-2</v>
      </c>
      <c r="AG38" s="1006">
        <v>2.9000000000000001E-2</v>
      </c>
      <c r="AH38" s="1006">
        <v>3.2000000000000001E-2</v>
      </c>
      <c r="AI38" s="1006">
        <v>3.7999999999999999E-2</v>
      </c>
      <c r="AJ38" s="1006">
        <v>3.4000000000000002E-2</v>
      </c>
      <c r="AK38" s="1006">
        <v>0.03</v>
      </c>
      <c r="AL38" s="1006">
        <v>2.7E-2</v>
      </c>
      <c r="AM38" s="1006">
        <v>2.4E-2</v>
      </c>
      <c r="AN38" s="1006">
        <v>2.4E-2</v>
      </c>
      <c r="AO38" s="1006">
        <v>2.4E-2</v>
      </c>
      <c r="AP38" s="1006">
        <v>2.7E-2</v>
      </c>
      <c r="AQ38" s="1006">
        <v>1.9E-2</v>
      </c>
      <c r="AR38" s="1006">
        <v>2.8000000000000001E-2</v>
      </c>
      <c r="AS38" s="1006">
        <v>2.8000000000000001E-2</v>
      </c>
      <c r="AT38" s="1006">
        <v>2.9000000000000001E-2</v>
      </c>
      <c r="AU38" s="1006">
        <v>2.4E-2</v>
      </c>
      <c r="AV38" s="1006">
        <v>2.1000000000000001E-2</v>
      </c>
      <c r="AW38" s="1006">
        <v>1.7999999999999999E-2</v>
      </c>
      <c r="AX38" s="1006">
        <v>1.7000000000000001E-2</v>
      </c>
      <c r="AY38" s="1006">
        <v>1.6E-2</v>
      </c>
      <c r="AZ38" s="1006">
        <v>1.7000000000000001E-2</v>
      </c>
      <c r="BA38" s="1006">
        <v>2.1999999999999999E-2</v>
      </c>
      <c r="BB38" s="1006">
        <v>2.3E-2</v>
      </c>
      <c r="BC38" s="1006">
        <v>2.1999999999999999E-2</v>
      </c>
      <c r="BD38" s="1006">
        <v>2.3E-2</v>
      </c>
      <c r="BE38" s="1006">
        <v>2.5999999999999999E-2</v>
      </c>
      <c r="BF38" s="1006">
        <v>2.4E-2</v>
      </c>
      <c r="BG38" s="1006">
        <v>1.7999999999999999E-2</v>
      </c>
      <c r="BH38" s="1006">
        <v>0.02</v>
      </c>
      <c r="BI38" s="1006">
        <v>0.02</v>
      </c>
      <c r="BJ38" s="1006">
        <v>2.3E-2</v>
      </c>
      <c r="BK38" s="1006">
        <v>2.1999999999999999E-2</v>
      </c>
      <c r="BL38" s="1006">
        <v>2.1000000000000001E-2</v>
      </c>
      <c r="BM38" s="1006">
        <v>2.5999999999999999E-2</v>
      </c>
      <c r="BN38" s="1006">
        <v>2.4E-2</v>
      </c>
      <c r="BO38" s="1006">
        <v>2.1000000000000001E-2</v>
      </c>
      <c r="BP38" s="1006">
        <v>2.5000000000000001E-2</v>
      </c>
      <c r="BQ38" s="1006">
        <v>2.3E-2</v>
      </c>
      <c r="BR38" s="1006">
        <v>2.7E-2</v>
      </c>
      <c r="BS38" s="1006">
        <v>2.3E-2</v>
      </c>
      <c r="BT38" s="1006">
        <v>2.4E-2</v>
      </c>
      <c r="BU38" s="788">
        <v>2.3E-2</v>
      </c>
      <c r="BV38" s="788">
        <v>2.2499999999999999E-2</v>
      </c>
      <c r="BW38" s="788">
        <f>4*BX38-BT38-BU38-BV38</f>
        <v>2.2500000000000006E-2</v>
      </c>
      <c r="BX38" s="1014">
        <v>2.3E-2</v>
      </c>
      <c r="BY38" s="161"/>
      <c r="BZ38" s="161"/>
      <c r="CA38" s="161"/>
      <c r="CB38" s="161"/>
      <c r="CC38" s="161"/>
      <c r="CD38" s="161"/>
      <c r="CE38" s="161"/>
      <c r="CF38" s="161"/>
      <c r="CG38" s="161"/>
      <c r="CH38" s="161"/>
      <c r="CI38" s="161"/>
      <c r="CJ38" s="161"/>
      <c r="CK38" s="161"/>
      <c r="CL38" s="161"/>
      <c r="CM38" s="161"/>
      <c r="CN38" s="161"/>
      <c r="CO38" s="161"/>
      <c r="CP38" s="161"/>
      <c r="CQ38" s="161"/>
      <c r="CR38" s="161"/>
      <c r="CS38" s="161"/>
      <c r="CT38" s="161"/>
      <c r="CU38" s="161"/>
      <c r="CV38" s="161"/>
      <c r="CW38" s="161"/>
      <c r="CX38" s="161"/>
      <c r="CY38" s="161"/>
      <c r="CZ38" s="161"/>
      <c r="DA38" s="161"/>
      <c r="DB38" s="161"/>
      <c r="DC38" s="161"/>
      <c r="DD38" s="161"/>
      <c r="DE38" s="161"/>
      <c r="DF38" s="161"/>
      <c r="DG38" s="161"/>
      <c r="DH38" s="161"/>
      <c r="DI38" s="161"/>
      <c r="DJ38" s="161"/>
      <c r="DK38" s="177"/>
      <c r="DL38" s="177"/>
      <c r="DM38" s="177"/>
      <c r="DN38" s="177"/>
      <c r="DO38" s="177"/>
      <c r="DP38" s="177"/>
      <c r="DQ38" s="177"/>
      <c r="DR38" s="177"/>
      <c r="DS38" s="177"/>
      <c r="DT38" s="177"/>
      <c r="DU38" s="177"/>
      <c r="DV38" s="177"/>
      <c r="DW38" s="177"/>
      <c r="DX38" s="177"/>
      <c r="DY38" s="177"/>
      <c r="DZ38" s="177"/>
      <c r="EA38" s="177"/>
      <c r="EB38" s="808"/>
      <c r="EC38" s="808"/>
      <c r="ED38" s="808"/>
      <c r="EF38" s="161"/>
      <c r="EH38" s="161"/>
      <c r="EM38" s="161"/>
      <c r="EN38" s="161"/>
      <c r="EO38" s="161"/>
      <c r="EP38" s="161"/>
      <c r="FL38" s="293">
        <v>1.7999999999999999E-2</v>
      </c>
      <c r="FM38" s="293">
        <v>0.02</v>
      </c>
      <c r="FN38" s="293">
        <v>0.02</v>
      </c>
      <c r="FO38" s="440">
        <v>2.3E-2</v>
      </c>
      <c r="FP38" s="161"/>
      <c r="FQ38" s="161"/>
      <c r="FR38" s="430"/>
      <c r="FS38" s="652">
        <v>2.1000000000000001E-2</v>
      </c>
      <c r="FT38" s="639"/>
      <c r="FU38" s="681">
        <v>2.4E-2</v>
      </c>
      <c r="FV38" s="667"/>
      <c r="FW38" s="681">
        <v>2.1999999999999999E-2</v>
      </c>
      <c r="FX38" s="667"/>
      <c r="FY38" s="755">
        <v>2.4E-2</v>
      </c>
      <c r="FZ38" s="747"/>
      <c r="GA38" s="788">
        <v>2.5000000000000001E-2</v>
      </c>
      <c r="GB38" s="788">
        <v>2.5000000000000001E-2</v>
      </c>
      <c r="GC38" s="808"/>
      <c r="GD38" s="788">
        <v>2.5000000000000001E-2</v>
      </c>
      <c r="GE38" s="808"/>
    </row>
    <row r="39" spans="1:187">
      <c r="A39" s="161"/>
      <c r="B39" s="161" t="str">
        <f>B51</f>
        <v>Internet</v>
      </c>
      <c r="C39" s="161"/>
      <c r="D39" s="161"/>
      <c r="E39" s="161"/>
      <c r="F39" s="161"/>
      <c r="G39" s="161"/>
      <c r="H39" s="161"/>
      <c r="I39" s="1006">
        <v>3.7999999999999999E-2</v>
      </c>
      <c r="J39" s="1007"/>
      <c r="K39" s="1007"/>
      <c r="L39" s="1006">
        <v>4.1000000000000002E-2</v>
      </c>
      <c r="M39" s="1006">
        <v>3.5000000000000003E-2</v>
      </c>
      <c r="N39" s="1006">
        <v>3.4000000000000002E-2</v>
      </c>
      <c r="O39" s="1006">
        <v>3.2000000000000001E-2</v>
      </c>
      <c r="P39" s="1006">
        <v>3.2000000000000001E-2</v>
      </c>
      <c r="Q39" s="1006">
        <v>3.3000000000000002E-2</v>
      </c>
      <c r="R39" s="1006">
        <v>3.2000000000000001E-2</v>
      </c>
      <c r="S39" s="1006">
        <v>3.2000000000000001E-2</v>
      </c>
      <c r="T39" s="1006">
        <v>0.03</v>
      </c>
      <c r="U39" s="1006">
        <v>3.1E-2</v>
      </c>
      <c r="V39" s="1006">
        <v>3.1E-2</v>
      </c>
      <c r="W39" s="1006">
        <v>2.9000000000000001E-2</v>
      </c>
      <c r="X39" s="1006">
        <v>2.8000000000000001E-2</v>
      </c>
      <c r="Y39" s="1006">
        <v>2.9000000000000001E-2</v>
      </c>
      <c r="Z39" s="1006">
        <v>2.5999999999999999E-2</v>
      </c>
      <c r="AA39" s="1006">
        <v>0.02</v>
      </c>
      <c r="AB39" s="1006">
        <v>2.5000000000000001E-2</v>
      </c>
      <c r="AC39" s="1006">
        <v>2.5999999999999999E-2</v>
      </c>
      <c r="AD39" s="1006">
        <v>2.8000000000000001E-2</v>
      </c>
      <c r="AE39" s="1006">
        <v>2.5999999999999999E-2</v>
      </c>
      <c r="AF39" s="1006">
        <v>2.8000000000000001E-2</v>
      </c>
      <c r="AG39" s="1006">
        <v>0.03</v>
      </c>
      <c r="AH39" s="1006">
        <v>3.1E-2</v>
      </c>
      <c r="AI39" s="1006">
        <v>2.5999999999999999E-2</v>
      </c>
      <c r="AJ39" s="1006">
        <v>2.7E-2</v>
      </c>
      <c r="AK39" s="1006">
        <v>2.5999999999999999E-2</v>
      </c>
      <c r="AL39" s="1006">
        <v>2.5000000000000001E-2</v>
      </c>
      <c r="AM39" s="1006">
        <v>2.5000000000000001E-2</v>
      </c>
      <c r="AN39" s="1006">
        <v>2.3E-2</v>
      </c>
      <c r="AO39" s="1006">
        <v>2.4E-2</v>
      </c>
      <c r="AP39" s="1006">
        <v>2.5999999999999999E-2</v>
      </c>
      <c r="AQ39" s="1006">
        <v>0.02</v>
      </c>
      <c r="AR39" s="1006">
        <v>2.7E-2</v>
      </c>
      <c r="AS39" s="1006">
        <v>2.7E-2</v>
      </c>
      <c r="AT39" s="1006">
        <v>2.8000000000000001E-2</v>
      </c>
      <c r="AU39" s="1006">
        <v>2.3E-2</v>
      </c>
      <c r="AV39" s="1006">
        <v>1.9E-2</v>
      </c>
      <c r="AW39" s="1006">
        <v>1.6E-2</v>
      </c>
      <c r="AX39" s="1006">
        <v>1.4999999999999999E-2</v>
      </c>
      <c r="AY39" s="1006">
        <v>1.6E-2</v>
      </c>
      <c r="AZ39" s="1006">
        <v>1.9E-2</v>
      </c>
      <c r="BA39" s="1006">
        <v>0.02</v>
      </c>
      <c r="BB39" s="1006">
        <v>0.02</v>
      </c>
      <c r="BC39" s="1006">
        <v>0.02</v>
      </c>
      <c r="BD39" s="1006">
        <v>2.1000000000000001E-2</v>
      </c>
      <c r="BE39" s="1006">
        <v>2.7E-2</v>
      </c>
      <c r="BF39" s="1006">
        <v>2.3E-2</v>
      </c>
      <c r="BG39" s="1006">
        <v>1.7000000000000001E-2</v>
      </c>
      <c r="BH39" s="1006">
        <v>1.9E-2</v>
      </c>
      <c r="BI39" s="1006">
        <v>1.9E-2</v>
      </c>
      <c r="BJ39" s="1006">
        <v>2.1000000000000001E-2</v>
      </c>
      <c r="BK39" s="1006">
        <v>1.7999999999999999E-2</v>
      </c>
      <c r="BL39" s="1006">
        <v>1.7999999999999999E-2</v>
      </c>
      <c r="BM39" s="1006">
        <v>2.1000000000000001E-2</v>
      </c>
      <c r="BN39" s="1006">
        <v>0.02</v>
      </c>
      <c r="BO39" s="1006">
        <v>1.7000000000000001E-2</v>
      </c>
      <c r="BP39" s="1006">
        <v>2.1000000000000001E-2</v>
      </c>
      <c r="BQ39" s="1006">
        <v>2.1999999999999999E-2</v>
      </c>
      <c r="BR39" s="1006">
        <v>2.3E-2</v>
      </c>
      <c r="BS39" s="1006">
        <v>0.02</v>
      </c>
      <c r="BT39" s="1006">
        <v>0.02</v>
      </c>
      <c r="BU39" s="788">
        <v>0.02</v>
      </c>
      <c r="BV39" s="788">
        <v>0.02</v>
      </c>
      <c r="BW39" s="788">
        <f>4*BX39-BT39-BU39-BV39</f>
        <v>1.9999999999999993E-2</v>
      </c>
      <c r="BX39" s="1014">
        <v>0.02</v>
      </c>
      <c r="BY39" s="161"/>
      <c r="BZ39" s="161"/>
      <c r="CA39" s="161"/>
      <c r="CB39" s="161"/>
      <c r="CC39" s="161"/>
      <c r="CD39" s="161"/>
      <c r="CE39" s="161"/>
      <c r="CF39" s="161"/>
      <c r="CG39" s="161"/>
      <c r="CH39" s="161"/>
      <c r="CI39" s="161"/>
      <c r="CJ39" s="161"/>
      <c r="CK39" s="161"/>
      <c r="CL39" s="161"/>
      <c r="CM39" s="161"/>
      <c r="CN39" s="161"/>
      <c r="CO39" s="161"/>
      <c r="CP39" s="161"/>
      <c r="CQ39" s="161"/>
      <c r="CR39" s="161"/>
      <c r="CS39" s="161"/>
      <c r="CT39" s="161"/>
      <c r="CU39" s="161"/>
      <c r="CV39" s="161"/>
      <c r="CW39" s="161"/>
      <c r="CX39" s="161"/>
      <c r="CY39" s="161"/>
      <c r="CZ39" s="161"/>
      <c r="DA39" s="161"/>
      <c r="DB39" s="161"/>
      <c r="DC39" s="161"/>
      <c r="DD39" s="161"/>
      <c r="DE39" s="161"/>
      <c r="DF39" s="161"/>
      <c r="DG39" s="161"/>
      <c r="DH39" s="161"/>
      <c r="DI39" s="161"/>
      <c r="DJ39" s="161"/>
      <c r="DK39" s="177"/>
      <c r="DL39" s="177"/>
      <c r="DM39" s="177"/>
      <c r="DN39" s="177"/>
      <c r="DO39" s="177"/>
      <c r="DP39" s="177"/>
      <c r="DQ39" s="177"/>
      <c r="DR39" s="177"/>
      <c r="DS39" s="177"/>
      <c r="DT39" s="177"/>
      <c r="DU39" s="177"/>
      <c r="DV39" s="177"/>
      <c r="DW39" s="177"/>
      <c r="DX39" s="177"/>
      <c r="DY39" s="177"/>
      <c r="DZ39" s="177"/>
      <c r="EA39" s="177"/>
      <c r="EB39" s="808"/>
      <c r="EC39" s="808"/>
      <c r="ED39" s="808"/>
      <c r="EF39" s="161"/>
      <c r="EH39" s="161"/>
      <c r="EM39" s="161"/>
      <c r="EN39" s="161"/>
      <c r="EO39" s="161"/>
      <c r="EP39" s="161"/>
      <c r="FL39" s="293">
        <v>1.7000000000000001E-2</v>
      </c>
      <c r="FM39" s="293">
        <v>1.9E-2</v>
      </c>
      <c r="FN39" s="293">
        <v>1.9E-2</v>
      </c>
      <c r="FO39" s="440">
        <v>2.1000000000000001E-2</v>
      </c>
      <c r="FP39" s="161"/>
      <c r="FQ39" s="161"/>
      <c r="FR39" s="430"/>
      <c r="FS39" s="652">
        <v>1.7999999999999999E-2</v>
      </c>
      <c r="FT39" s="639"/>
      <c r="FU39" s="681">
        <v>1.9E-2</v>
      </c>
      <c r="FV39" s="667"/>
      <c r="FW39" s="681">
        <v>1.7999999999999999E-2</v>
      </c>
      <c r="FX39" s="667"/>
      <c r="FY39" s="755">
        <v>0.02</v>
      </c>
      <c r="FZ39" s="747"/>
      <c r="GA39" s="788">
        <v>0.02</v>
      </c>
      <c r="GB39" s="788">
        <v>0.02</v>
      </c>
      <c r="GC39" s="808"/>
      <c r="GD39" s="788">
        <v>2.1999999999999999E-2</v>
      </c>
      <c r="GE39" s="808"/>
    </row>
    <row r="40" spans="1:187">
      <c r="A40" s="161"/>
      <c r="B40" s="161" t="str">
        <f>B52</f>
        <v>Voice</v>
      </c>
      <c r="C40" s="161"/>
      <c r="D40" s="161"/>
      <c r="E40" s="161"/>
      <c r="F40" s="161"/>
      <c r="G40" s="161"/>
      <c r="H40" s="161"/>
      <c r="I40" s="1006">
        <v>4.2999999999999997E-2</v>
      </c>
      <c r="J40" s="1007"/>
      <c r="K40" s="1007"/>
      <c r="L40" s="1006">
        <v>0.05</v>
      </c>
      <c r="M40" s="1006">
        <v>3.5999999999999997E-2</v>
      </c>
      <c r="N40" s="1006">
        <v>3.6999999999999998E-2</v>
      </c>
      <c r="O40" s="1006">
        <v>3.4000000000000002E-2</v>
      </c>
      <c r="P40" s="1006">
        <v>3.5000000000000003E-2</v>
      </c>
      <c r="Q40" s="1006">
        <v>3.5000000000000003E-2</v>
      </c>
      <c r="R40" s="1006">
        <v>3.6999999999999998E-2</v>
      </c>
      <c r="S40" s="1006">
        <v>3.6999999999999998E-2</v>
      </c>
      <c r="T40" s="1006">
        <v>3.9E-2</v>
      </c>
      <c r="U40" s="1006">
        <v>3.5999999999999997E-2</v>
      </c>
      <c r="V40" s="1006">
        <v>3.5999999999999997E-2</v>
      </c>
      <c r="W40" s="1006">
        <v>3.2000000000000001E-2</v>
      </c>
      <c r="X40" s="1006">
        <v>3.5999999999999997E-2</v>
      </c>
      <c r="Y40" s="1006">
        <v>4.1000000000000002E-2</v>
      </c>
      <c r="Z40" s="1006">
        <v>4.2000000000000003E-2</v>
      </c>
      <c r="AA40" s="1006">
        <v>4.1000000000000002E-2</v>
      </c>
      <c r="AB40" s="1006">
        <v>4.5999999999999999E-2</v>
      </c>
      <c r="AC40" s="1006">
        <v>4.9000000000000002E-2</v>
      </c>
      <c r="AD40" s="1006">
        <v>5.1999999999999998E-2</v>
      </c>
      <c r="AE40" s="1006">
        <v>5.1999999999999998E-2</v>
      </c>
      <c r="AF40" s="1006">
        <v>5.8999999999999997E-2</v>
      </c>
      <c r="AG40" s="1006">
        <v>5.1999999999999998E-2</v>
      </c>
      <c r="AH40" s="1006">
        <v>4.9000000000000002E-2</v>
      </c>
      <c r="AI40" s="1006">
        <v>0.04</v>
      </c>
      <c r="AJ40" s="1006">
        <v>0.05</v>
      </c>
      <c r="AK40" s="1006">
        <v>5.0999999999999997E-2</v>
      </c>
      <c r="AL40" s="1006">
        <v>4.9000000000000002E-2</v>
      </c>
      <c r="AM40" s="1006">
        <v>4.9000000000000002E-2</v>
      </c>
      <c r="AN40" s="1006">
        <v>4.8000000000000001E-2</v>
      </c>
      <c r="AO40" s="1006">
        <v>4.5999999999999999E-2</v>
      </c>
      <c r="AP40" s="1006">
        <v>3.9E-2</v>
      </c>
      <c r="AQ40" s="1006">
        <v>2.8000000000000001E-2</v>
      </c>
      <c r="AR40" s="1006">
        <v>3.9E-2</v>
      </c>
      <c r="AS40" s="1006">
        <v>3.9E-2</v>
      </c>
      <c r="AT40" s="1006">
        <v>3.6999999999999998E-2</v>
      </c>
      <c r="AU40" s="1006">
        <v>0.03</v>
      </c>
      <c r="AV40" s="1006">
        <v>2.5999999999999999E-2</v>
      </c>
      <c r="AW40" s="1006">
        <v>2.4E-2</v>
      </c>
      <c r="AX40" s="1006">
        <v>2.1000000000000001E-2</v>
      </c>
      <c r="AY40" s="1006">
        <v>2.1000000000000001E-2</v>
      </c>
      <c r="AZ40" s="1006">
        <v>2.1999999999999999E-2</v>
      </c>
      <c r="BA40" s="1006">
        <v>2.5000000000000001E-2</v>
      </c>
      <c r="BB40" s="1006">
        <v>2.5000000000000001E-2</v>
      </c>
      <c r="BC40" s="1006">
        <v>2.4E-2</v>
      </c>
      <c r="BD40" s="1006">
        <v>2.5000000000000001E-2</v>
      </c>
      <c r="BE40" s="1006">
        <v>2.9000000000000001E-2</v>
      </c>
      <c r="BF40" s="1006">
        <v>2.5000000000000001E-2</v>
      </c>
      <c r="BG40" s="1006">
        <v>1.9E-2</v>
      </c>
      <c r="BH40" s="1006">
        <v>2.1000000000000001E-2</v>
      </c>
      <c r="BI40" s="1006">
        <v>0.02</v>
      </c>
      <c r="BJ40" s="1006">
        <v>2.1999999999999999E-2</v>
      </c>
      <c r="BK40" s="1006">
        <v>0.02</v>
      </c>
      <c r="BL40" s="1006">
        <v>2.1000000000000001E-2</v>
      </c>
      <c r="BM40" s="1006">
        <v>2.3E-2</v>
      </c>
      <c r="BN40" s="1006">
        <v>2.3E-2</v>
      </c>
      <c r="BO40" s="1006">
        <v>1.9E-2</v>
      </c>
      <c r="BP40" s="1006">
        <v>2.5000000000000001E-2</v>
      </c>
      <c r="BQ40" s="1006">
        <v>2.5000000000000001E-2</v>
      </c>
      <c r="BR40" s="1006">
        <v>2.7E-2</v>
      </c>
      <c r="BS40" s="1006">
        <v>2.5999999999999999E-2</v>
      </c>
      <c r="BT40" s="1006">
        <v>2.1000000000000001E-2</v>
      </c>
      <c r="BU40" s="788">
        <v>2.1000000000000001E-2</v>
      </c>
      <c r="BV40" s="788">
        <v>2.1000000000000001E-2</v>
      </c>
      <c r="BW40" s="788">
        <f>4*BX40-BT40-BU40-BV40</f>
        <v>2.0999999999999994E-2</v>
      </c>
      <c r="BX40" s="1014">
        <v>2.1000000000000001E-2</v>
      </c>
      <c r="BY40" s="161"/>
      <c r="BZ40" s="161"/>
      <c r="CA40" s="161"/>
      <c r="CB40" s="161"/>
      <c r="CC40" s="161"/>
      <c r="CD40" s="161"/>
      <c r="CE40" s="161"/>
      <c r="CF40" s="161"/>
      <c r="CG40" s="161"/>
      <c r="CH40" s="161"/>
      <c r="CI40" s="161"/>
      <c r="CJ40" s="161"/>
      <c r="CK40" s="161"/>
      <c r="CL40" s="161"/>
      <c r="CM40" s="161"/>
      <c r="CN40" s="161"/>
      <c r="CO40" s="161"/>
      <c r="CP40" s="161"/>
      <c r="CQ40" s="161"/>
      <c r="CR40" s="161"/>
      <c r="CS40" s="161"/>
      <c r="CT40" s="161"/>
      <c r="CU40" s="161"/>
      <c r="CV40" s="161"/>
      <c r="CW40" s="161"/>
      <c r="CX40" s="161"/>
      <c r="CY40" s="161"/>
      <c r="CZ40" s="161"/>
      <c r="DA40" s="161"/>
      <c r="DB40" s="161"/>
      <c r="DC40" s="161"/>
      <c r="DD40" s="161"/>
      <c r="DE40" s="161"/>
      <c r="DF40" s="161"/>
      <c r="DG40" s="161"/>
      <c r="DH40" s="161"/>
      <c r="DI40" s="161"/>
      <c r="DJ40" s="161"/>
      <c r="DK40" s="177"/>
      <c r="DL40" s="177"/>
      <c r="DM40" s="177"/>
      <c r="DN40" s="177"/>
      <c r="DO40" s="177"/>
      <c r="DP40" s="177"/>
      <c r="DQ40" s="177"/>
      <c r="DR40" s="177"/>
      <c r="DS40" s="177"/>
      <c r="DT40" s="177"/>
      <c r="DU40" s="177"/>
      <c r="DV40" s="177"/>
      <c r="DW40" s="177"/>
      <c r="DX40" s="177"/>
      <c r="DY40" s="177"/>
      <c r="DZ40" s="177"/>
      <c r="EA40" s="177"/>
      <c r="EB40" s="808"/>
      <c r="EC40" s="808"/>
      <c r="ED40" s="808"/>
      <c r="EF40" s="161"/>
      <c r="EH40" s="161"/>
      <c r="EM40" s="161"/>
      <c r="EN40" s="161"/>
      <c r="EO40" s="161"/>
      <c r="EP40" s="161"/>
      <c r="FL40" s="293">
        <v>1.9E-2</v>
      </c>
      <c r="FM40" s="293">
        <v>2.1000000000000001E-2</v>
      </c>
      <c r="FN40" s="293">
        <v>0.02</v>
      </c>
      <c r="FO40" s="440">
        <v>2.1999999999999999E-2</v>
      </c>
      <c r="FP40" s="161"/>
      <c r="FQ40" s="161"/>
      <c r="FR40" s="430"/>
      <c r="FS40" s="652">
        <v>2.1000000000000001E-2</v>
      </c>
      <c r="FT40" s="639"/>
      <c r="FU40" s="681">
        <v>2.1999999999999999E-2</v>
      </c>
      <c r="FV40" s="667"/>
      <c r="FW40" s="681">
        <v>2.1000000000000001E-2</v>
      </c>
      <c r="FX40" s="667"/>
      <c r="FY40" s="755">
        <v>2.3E-2</v>
      </c>
      <c r="FZ40" s="747"/>
      <c r="GA40" s="788">
        <v>2.1999999999999999E-2</v>
      </c>
      <c r="GB40" s="788">
        <v>2.1999999999999999E-2</v>
      </c>
      <c r="GC40" s="808"/>
      <c r="GD40" s="788">
        <v>2.5000000000000001E-2</v>
      </c>
      <c r="GE40" s="808"/>
    </row>
    <row r="41" spans="1:187">
      <c r="A41" s="161"/>
      <c r="B41" s="161"/>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c r="AA41" s="161"/>
      <c r="AB41" s="161"/>
      <c r="AC41" s="161"/>
      <c r="AD41" s="161"/>
      <c r="AE41" s="161"/>
      <c r="AF41" s="161"/>
      <c r="AG41" s="161"/>
      <c r="AH41" s="161"/>
      <c r="AI41" s="161"/>
      <c r="AJ41" s="161"/>
      <c r="AK41" s="161"/>
      <c r="AL41" s="161"/>
      <c r="AM41" s="161"/>
      <c r="AN41" s="161"/>
      <c r="AO41" s="161"/>
      <c r="AP41" s="161"/>
      <c r="AQ41" s="161"/>
      <c r="AR41" s="161"/>
      <c r="AS41" s="161"/>
      <c r="AT41" s="161"/>
      <c r="AU41" s="161"/>
      <c r="AV41" s="161"/>
      <c r="AW41" s="161"/>
      <c r="AX41" s="161"/>
      <c r="AY41" s="161"/>
      <c r="AZ41" s="161"/>
      <c r="BA41" s="161"/>
      <c r="BB41" s="161"/>
      <c r="BC41" s="161"/>
      <c r="BD41" s="161"/>
      <c r="BE41" s="161"/>
      <c r="BF41" s="161"/>
      <c r="BG41" s="161"/>
      <c r="BH41" s="161"/>
      <c r="BI41" s="161"/>
      <c r="BJ41" s="161"/>
      <c r="BK41" s="161"/>
      <c r="BL41" s="161"/>
      <c r="BM41" s="161"/>
      <c r="BN41" s="161"/>
      <c r="BO41" s="161"/>
      <c r="BP41" s="161"/>
      <c r="BQ41" s="161"/>
      <c r="BR41" s="161"/>
      <c r="BS41" s="161"/>
      <c r="BT41" s="161"/>
      <c r="BU41" s="780"/>
      <c r="BV41" s="780"/>
      <c r="BW41" s="780"/>
      <c r="BX41" s="780"/>
      <c r="BY41" s="161"/>
      <c r="BZ41" s="161"/>
      <c r="CA41" s="161"/>
      <c r="CB41" s="161"/>
      <c r="CC41" s="161"/>
      <c r="CD41" s="161"/>
      <c r="CE41" s="161"/>
      <c r="CF41" s="161"/>
      <c r="CG41" s="161"/>
      <c r="CH41" s="161"/>
      <c r="CI41" s="161"/>
      <c r="CJ41" s="161"/>
      <c r="CK41" s="161"/>
      <c r="CL41" s="161"/>
      <c r="CM41" s="161"/>
      <c r="CN41" s="161"/>
      <c r="CO41" s="161"/>
      <c r="CP41" s="161"/>
      <c r="CQ41" s="161"/>
      <c r="CR41" s="161"/>
      <c r="CS41" s="161"/>
      <c r="CT41" s="161"/>
      <c r="CU41" s="161"/>
      <c r="CV41" s="161"/>
      <c r="CW41" s="161"/>
      <c r="CX41" s="161"/>
      <c r="CY41" s="161"/>
      <c r="CZ41" s="161"/>
      <c r="DA41" s="161"/>
      <c r="DB41" s="161"/>
      <c r="DC41" s="161"/>
      <c r="DD41" s="161"/>
      <c r="DE41" s="161"/>
      <c r="DF41" s="161"/>
      <c r="DG41" s="161"/>
      <c r="DH41" s="161"/>
      <c r="DI41" s="161"/>
      <c r="DJ41" s="161"/>
      <c r="DK41" s="177"/>
      <c r="DL41" s="177"/>
      <c r="DM41" s="177"/>
      <c r="DN41" s="177"/>
      <c r="DO41" s="177"/>
      <c r="DP41" s="177"/>
      <c r="DQ41" s="177"/>
      <c r="DR41" s="177"/>
      <c r="DS41" s="177"/>
      <c r="DT41" s="177"/>
      <c r="DU41" s="177"/>
      <c r="DV41" s="177"/>
      <c r="DW41" s="177"/>
      <c r="DX41" s="177"/>
      <c r="DY41" s="177"/>
      <c r="DZ41" s="177"/>
      <c r="EA41" s="177"/>
      <c r="EB41" s="808"/>
      <c r="EC41" s="808"/>
      <c r="ED41" s="808"/>
      <c r="EF41" s="161"/>
      <c r="EH41" s="161"/>
      <c r="EM41" s="161"/>
      <c r="EN41" s="161"/>
      <c r="EO41" s="161"/>
      <c r="EP41" s="161"/>
      <c r="FL41" s="161"/>
      <c r="FM41" s="161"/>
      <c r="FN41" s="161"/>
      <c r="FO41" s="430"/>
      <c r="FP41" s="161"/>
      <c r="FQ41" s="161"/>
      <c r="FR41" s="430"/>
      <c r="FS41" s="639"/>
      <c r="FT41" s="639"/>
      <c r="FU41" s="667"/>
      <c r="FV41" s="667"/>
      <c r="FW41" s="667"/>
      <c r="FX41" s="667"/>
      <c r="FY41" s="747"/>
      <c r="FZ41" s="747"/>
      <c r="GA41" s="780"/>
      <c r="GB41" s="780"/>
      <c r="GC41" s="808"/>
      <c r="GD41" s="780"/>
      <c r="GE41" s="808"/>
    </row>
    <row r="42" spans="1:187">
      <c r="A42" s="161"/>
      <c r="B42" s="163" t="s">
        <v>446</v>
      </c>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61"/>
      <c r="AZ42" s="161"/>
      <c r="BA42" s="161"/>
      <c r="BB42" s="161"/>
      <c r="BC42" s="161"/>
      <c r="BD42" s="161"/>
      <c r="BE42" s="161"/>
      <c r="BF42" s="161"/>
      <c r="BG42" s="161"/>
      <c r="BH42" s="161"/>
      <c r="BI42" s="161"/>
      <c r="BJ42" s="161"/>
      <c r="BK42" s="161"/>
      <c r="BL42" s="161"/>
      <c r="BM42" s="161"/>
      <c r="BN42" s="161"/>
      <c r="BO42" s="161"/>
      <c r="BP42" s="161"/>
      <c r="BQ42" s="161"/>
      <c r="BR42" s="161"/>
      <c r="BS42" s="161"/>
      <c r="BT42" s="161"/>
      <c r="BU42" s="780"/>
      <c r="BV42" s="780"/>
      <c r="BW42" s="780"/>
      <c r="BX42" s="780"/>
      <c r="BY42" s="161"/>
      <c r="BZ42" s="161"/>
      <c r="CA42" s="161"/>
      <c r="CB42" s="161"/>
      <c r="CC42" s="161"/>
      <c r="CD42" s="161"/>
      <c r="CE42" s="161"/>
      <c r="CF42" s="161"/>
      <c r="CG42" s="161"/>
      <c r="CH42" s="161"/>
      <c r="CI42" s="161"/>
      <c r="CJ42" s="161"/>
      <c r="CK42" s="161"/>
      <c r="CL42" s="161"/>
      <c r="CM42" s="161"/>
      <c r="CN42" s="161"/>
      <c r="CO42" s="161"/>
      <c r="CP42" s="161"/>
      <c r="CQ42" s="161"/>
      <c r="CR42" s="161"/>
      <c r="CS42" s="161"/>
      <c r="CT42" s="161"/>
      <c r="CU42" s="161"/>
      <c r="CV42" s="161"/>
      <c r="CW42" s="161"/>
      <c r="CX42" s="161"/>
      <c r="CY42" s="161"/>
      <c r="CZ42" s="161"/>
      <c r="DA42" s="161"/>
      <c r="DB42" s="161"/>
      <c r="DC42" s="161"/>
      <c r="DD42" s="161"/>
      <c r="DE42" s="161"/>
      <c r="DF42" s="161"/>
      <c r="DG42" s="161"/>
      <c r="DH42" s="161"/>
      <c r="DI42" s="161"/>
      <c r="DJ42" s="161"/>
      <c r="DK42" s="177"/>
      <c r="DL42" s="177"/>
      <c r="DM42" s="177"/>
      <c r="DN42" s="177"/>
      <c r="DO42" s="177"/>
      <c r="DP42" s="177"/>
      <c r="DQ42" s="177"/>
      <c r="DR42" s="177"/>
      <c r="DS42" s="177"/>
      <c r="DT42" s="177"/>
      <c r="DU42" s="177"/>
      <c r="DV42" s="177"/>
      <c r="DW42" s="177"/>
      <c r="DX42" s="177"/>
      <c r="DY42" s="177"/>
      <c r="DZ42" s="177"/>
      <c r="EA42" s="177"/>
      <c r="EB42" s="808"/>
      <c r="EC42" s="808"/>
      <c r="ED42" s="808"/>
      <c r="EF42" s="161"/>
      <c r="EH42" s="161"/>
      <c r="EM42" s="161"/>
      <c r="EN42" s="161"/>
      <c r="EO42" s="161"/>
      <c r="EP42" s="161"/>
      <c r="FL42" s="161"/>
      <c r="FM42" s="161"/>
      <c r="FN42" s="161"/>
      <c r="FO42" s="430"/>
      <c r="FP42" s="161"/>
      <c r="FQ42" s="161"/>
      <c r="FR42" s="430"/>
      <c r="FS42" s="639"/>
      <c r="FT42" s="639"/>
      <c r="FU42" s="667"/>
      <c r="FV42" s="667"/>
      <c r="FW42" s="667"/>
      <c r="FX42" s="667"/>
      <c r="FY42" s="747"/>
      <c r="FZ42" s="747"/>
      <c r="GA42" s="780"/>
      <c r="GB42" s="780"/>
      <c r="GC42" s="808"/>
      <c r="GD42" s="780"/>
      <c r="GE42" s="808"/>
    </row>
    <row r="43" spans="1:187">
      <c r="A43" s="161"/>
      <c r="B43" s="161" t="str">
        <f>B38</f>
        <v>Video</v>
      </c>
      <c r="C43" s="307"/>
      <c r="D43" s="307">
        <f t="shared" ref="D43:AI43" si="70">D38*3*C12+D13</f>
        <v>8</v>
      </c>
      <c r="E43" s="307">
        <f t="shared" si="70"/>
        <v>15</v>
      </c>
      <c r="F43" s="307">
        <f t="shared" si="70"/>
        <v>39</v>
      </c>
      <c r="G43" s="307">
        <f t="shared" si="70"/>
        <v>48</v>
      </c>
      <c r="H43" s="307">
        <f t="shared" si="70"/>
        <v>14</v>
      </c>
      <c r="I43" s="307">
        <f t="shared" si="70"/>
        <v>250.53499999999994</v>
      </c>
      <c r="J43" s="307">
        <f t="shared" si="70"/>
        <v>18.632000000000062</v>
      </c>
      <c r="K43" s="307">
        <f t="shared" si="70"/>
        <v>11</v>
      </c>
      <c r="L43" s="307">
        <f t="shared" si="70"/>
        <v>153.21400000000003</v>
      </c>
      <c r="M43" s="307">
        <f t="shared" si="70"/>
        <v>163.911</v>
      </c>
      <c r="N43" s="307">
        <f t="shared" si="70"/>
        <v>242.42443600000001</v>
      </c>
      <c r="O43" s="307">
        <f t="shared" si="70"/>
        <v>214.20800000000003</v>
      </c>
      <c r="P43" s="307">
        <f t="shared" si="70"/>
        <v>195.63200000000001</v>
      </c>
      <c r="Q43" s="307">
        <f t="shared" si="70"/>
        <v>183.02799999999999</v>
      </c>
      <c r="R43" s="307">
        <f t="shared" si="70"/>
        <v>207.9</v>
      </c>
      <c r="S43" s="307">
        <f t="shared" si="70"/>
        <v>234.108</v>
      </c>
      <c r="T43" s="307">
        <f t="shared" si="70"/>
        <v>201</v>
      </c>
      <c r="U43" s="307">
        <f t="shared" si="70"/>
        <v>211.416</v>
      </c>
      <c r="V43" s="307">
        <f t="shared" si="70"/>
        <v>192.04900000000001</v>
      </c>
      <c r="W43" s="307">
        <f t="shared" si="70"/>
        <v>188.256</v>
      </c>
      <c r="X43" s="307">
        <f t="shared" si="70"/>
        <v>217.61199999999991</v>
      </c>
      <c r="Y43" s="307">
        <f t="shared" si="70"/>
        <v>238.5327999999999</v>
      </c>
      <c r="Z43" s="307">
        <f t="shared" si="70"/>
        <v>231.92672600000034</v>
      </c>
      <c r="AA43" s="307">
        <f t="shared" si="70"/>
        <v>252.07440000000003</v>
      </c>
      <c r="AB43" s="307">
        <f t="shared" si="70"/>
        <v>257.88559999999967</v>
      </c>
      <c r="AC43" s="307">
        <f t="shared" si="70"/>
        <v>258.63040000000018</v>
      </c>
      <c r="AD43" s="307">
        <f t="shared" si="70"/>
        <v>292.38</v>
      </c>
      <c r="AE43" s="307">
        <f t="shared" si="70"/>
        <v>370.25949999999989</v>
      </c>
      <c r="AF43" s="307">
        <f t="shared" si="70"/>
        <v>337.30787200000026</v>
      </c>
      <c r="AG43" s="307">
        <f t="shared" si="70"/>
        <v>297.78079999999977</v>
      </c>
      <c r="AH43" s="307">
        <f t="shared" si="70"/>
        <v>311.55663200000026</v>
      </c>
      <c r="AI43" s="307">
        <f t="shared" si="70"/>
        <v>286.70859999999971</v>
      </c>
      <c r="AJ43" s="307">
        <f t="shared" ref="AJ43:BO43" si="71">AJ38*3*AI12+AJ13</f>
        <v>239.85640000000035</v>
      </c>
      <c r="AK43" s="307">
        <f t="shared" si="71"/>
        <v>276.72545999999988</v>
      </c>
      <c r="AL43" s="307">
        <f t="shared" si="71"/>
        <v>283.11200000000019</v>
      </c>
      <c r="AM43" s="307">
        <f t="shared" si="71"/>
        <v>284.72212799999966</v>
      </c>
      <c r="AN43" s="307">
        <f t="shared" si="71"/>
        <v>279.62201600000026</v>
      </c>
      <c r="AO43" s="307">
        <f t="shared" si="71"/>
        <v>275.97199999999987</v>
      </c>
      <c r="AP43" s="307">
        <f t="shared" si="71"/>
        <v>281.14970000000028</v>
      </c>
      <c r="AQ43" s="307">
        <f t="shared" si="71"/>
        <v>204.0098000000001</v>
      </c>
      <c r="AR43" s="307">
        <f t="shared" si="71"/>
        <v>263.59945600000003</v>
      </c>
      <c r="AS43" s="307">
        <f t="shared" si="71"/>
        <v>289.29219999999998</v>
      </c>
      <c r="AT43" s="307">
        <f t="shared" si="71"/>
        <v>286.36680699999988</v>
      </c>
      <c r="AU43" s="307">
        <f t="shared" si="71"/>
        <v>232.92599999999979</v>
      </c>
      <c r="AV43" s="307">
        <f t="shared" si="71"/>
        <v>211.86727400000038</v>
      </c>
      <c r="AW43" s="307">
        <f t="shared" si="71"/>
        <v>202.50616199999993</v>
      </c>
      <c r="AX43" s="307">
        <f t="shared" si="71"/>
        <v>266.40340000000015</v>
      </c>
      <c r="AY43" s="307">
        <f t="shared" si="71"/>
        <v>212.52565599999974</v>
      </c>
      <c r="AZ43" s="307">
        <f t="shared" si="71"/>
        <v>197.66499699999989</v>
      </c>
      <c r="BA43" s="307">
        <f t="shared" si="71"/>
        <v>248.52662200000017</v>
      </c>
      <c r="BB43" s="307">
        <f t="shared" si="71"/>
        <v>296.79599999999999</v>
      </c>
      <c r="BC43" s="307">
        <f t="shared" si="71"/>
        <v>255.6948040000002</v>
      </c>
      <c r="BD43" s="307">
        <f t="shared" si="71"/>
        <v>246.42557999999991</v>
      </c>
      <c r="BE43" s="307">
        <f t="shared" si="71"/>
        <v>277.75584400000002</v>
      </c>
      <c r="BF43" s="307">
        <f t="shared" si="71"/>
        <v>303.84041600000006</v>
      </c>
      <c r="BG43" s="307">
        <f t="shared" si="71"/>
        <v>277.40515199999965</v>
      </c>
      <c r="BH43" s="307">
        <f t="shared" si="71"/>
        <v>306.83389999999997</v>
      </c>
      <c r="BI43" s="307">
        <f t="shared" si="71"/>
        <v>309.64672000000019</v>
      </c>
      <c r="BJ43" s="307">
        <f t="shared" si="71"/>
        <v>308.40523599999995</v>
      </c>
      <c r="BK43" s="307">
        <f t="shared" si="71"/>
        <v>281.87047600000017</v>
      </c>
      <c r="BL43" s="307">
        <f t="shared" si="71"/>
        <v>261.43666999999971</v>
      </c>
      <c r="BM43" s="307">
        <f t="shared" si="71"/>
        <v>246.44624200000004</v>
      </c>
      <c r="BN43" s="307">
        <f t="shared" si="71"/>
        <v>266.27081600000008</v>
      </c>
      <c r="BO43" s="307">
        <f t="shared" si="71"/>
        <v>235.48906800000017</v>
      </c>
      <c r="BP43" s="307">
        <f t="shared" ref="BP43:BW43" si="72">BP38*3*BO12+BP13</f>
        <v>267.82477499999999</v>
      </c>
      <c r="BQ43" s="307">
        <f t="shared" si="72"/>
        <v>309.277355</v>
      </c>
      <c r="BR43" s="307">
        <f t="shared" si="72"/>
        <v>434.37601999999993</v>
      </c>
      <c r="BS43" s="307">
        <f t="shared" si="72"/>
        <v>311.15938100000017</v>
      </c>
      <c r="BT43" s="307">
        <f t="shared" si="72"/>
        <v>337.62856799999969</v>
      </c>
      <c r="BU43" s="1009">
        <f t="shared" si="72"/>
        <v>321.32093500000002</v>
      </c>
      <c r="BV43" s="1009">
        <f t="shared" si="72"/>
        <v>317.90526249999999</v>
      </c>
      <c r="BW43" s="1009">
        <f t="shared" si="72"/>
        <v>305.10926250000085</v>
      </c>
      <c r="BX43" s="1009">
        <f>BX38*12*BS12+BX13</f>
        <v>1264.1748440000006</v>
      </c>
      <c r="BY43" s="161"/>
      <c r="BZ43" s="161"/>
      <c r="CA43" s="161"/>
      <c r="CB43" s="161"/>
      <c r="CC43" s="161"/>
      <c r="CD43" s="161"/>
      <c r="CE43" s="161"/>
      <c r="CF43" s="161"/>
      <c r="CG43" s="161"/>
      <c r="CH43" s="161"/>
      <c r="CI43" s="161"/>
      <c r="CJ43" s="161"/>
      <c r="CK43" s="161"/>
      <c r="CL43" s="161"/>
      <c r="CM43" s="161"/>
      <c r="CN43" s="161"/>
      <c r="CO43" s="161"/>
      <c r="CP43" s="161"/>
      <c r="CQ43" s="161"/>
      <c r="CR43" s="161"/>
      <c r="CS43" s="161"/>
      <c r="CT43" s="161"/>
      <c r="CU43" s="161"/>
      <c r="CV43" s="161"/>
      <c r="CW43" s="161"/>
      <c r="CX43" s="161"/>
      <c r="CY43" s="161"/>
      <c r="CZ43" s="161"/>
      <c r="DA43" s="161"/>
      <c r="DB43" s="161"/>
      <c r="DC43" s="161"/>
      <c r="DD43" s="161"/>
      <c r="DE43" s="161"/>
      <c r="DF43" s="161"/>
      <c r="DG43" s="161"/>
      <c r="DH43" s="161"/>
      <c r="DI43" s="161"/>
      <c r="DJ43" s="161"/>
      <c r="DK43" s="177"/>
      <c r="DL43" s="177"/>
      <c r="DM43" s="177"/>
      <c r="DN43" s="177"/>
      <c r="DO43" s="177"/>
      <c r="DP43" s="177"/>
      <c r="DQ43" s="177"/>
      <c r="DR43" s="177"/>
      <c r="DS43" s="177"/>
      <c r="DT43" s="177"/>
      <c r="DU43" s="177"/>
      <c r="DV43" s="177"/>
      <c r="DW43" s="177"/>
      <c r="DX43" s="177"/>
      <c r="DY43" s="177"/>
      <c r="DZ43" s="177"/>
      <c r="EA43" s="177"/>
      <c r="EB43" s="808"/>
      <c r="EC43" s="808"/>
      <c r="ED43" s="808"/>
      <c r="EF43" s="161"/>
      <c r="EH43" s="161"/>
      <c r="EM43" s="161"/>
      <c r="EN43" s="161"/>
      <c r="EO43" s="161"/>
      <c r="EP43" s="161"/>
      <c r="FL43" s="263">
        <v>248.48320999999996</v>
      </c>
      <c r="FM43" s="263">
        <v>295.71471999999994</v>
      </c>
      <c r="FN43" s="263">
        <v>305.75063999999998</v>
      </c>
      <c r="FO43" s="433">
        <v>320.06213399999984</v>
      </c>
      <c r="FP43" s="161"/>
      <c r="FQ43" s="161"/>
      <c r="FR43" s="430"/>
      <c r="FS43" s="643">
        <v>297.52315699999997</v>
      </c>
      <c r="FT43" s="639"/>
      <c r="FU43" s="670">
        <v>299.63481600000011</v>
      </c>
      <c r="FV43" s="667"/>
      <c r="FW43" s="670">
        <v>251.99197600000019</v>
      </c>
      <c r="FX43" s="667"/>
      <c r="FY43" s="751">
        <v>287.13930400000004</v>
      </c>
      <c r="FZ43" s="747"/>
      <c r="GA43" s="784">
        <v>277.12212500000004</v>
      </c>
      <c r="GB43" s="784">
        <v>280.50650000000007</v>
      </c>
      <c r="GC43" s="808"/>
      <c r="GD43" s="784">
        <v>354.66167500000023</v>
      </c>
      <c r="GE43" s="808"/>
    </row>
    <row r="44" spans="1:187">
      <c r="A44" s="161"/>
      <c r="B44" s="161" t="str">
        <f>B39</f>
        <v>Internet</v>
      </c>
      <c r="C44" s="307"/>
      <c r="D44" s="307">
        <f t="shared" ref="D44:AI44" si="73">D39*3*C19+D20</f>
        <v>10</v>
      </c>
      <c r="E44" s="307">
        <f t="shared" si="73"/>
        <v>17</v>
      </c>
      <c r="F44" s="307">
        <f t="shared" si="73"/>
        <v>41</v>
      </c>
      <c r="G44" s="307">
        <f t="shared" si="73"/>
        <v>21</v>
      </c>
      <c r="H44" s="307">
        <f t="shared" si="73"/>
        <v>16</v>
      </c>
      <c r="I44" s="307">
        <f t="shared" si="73"/>
        <v>71.393000000000001</v>
      </c>
      <c r="J44" s="307">
        <f t="shared" si="73"/>
        <v>42.254999999999995</v>
      </c>
      <c r="K44" s="307">
        <f t="shared" si="73"/>
        <v>9</v>
      </c>
      <c r="L44" s="307">
        <f t="shared" si="73"/>
        <v>69.587999999999951</v>
      </c>
      <c r="M44" s="307">
        <f t="shared" si="73"/>
        <v>65.244230000000044</v>
      </c>
      <c r="N44" s="307">
        <f t="shared" si="73"/>
        <v>111.79903000000002</v>
      </c>
      <c r="O44" s="307">
        <f t="shared" si="73"/>
        <v>99.92</v>
      </c>
      <c r="P44" s="307">
        <f t="shared" si="73"/>
        <v>102.568</v>
      </c>
      <c r="Q44" s="307">
        <f t="shared" si="73"/>
        <v>90.28</v>
      </c>
      <c r="R44" s="307">
        <f t="shared" si="73"/>
        <v>131.94400000000002</v>
      </c>
      <c r="S44" s="307">
        <f t="shared" si="73"/>
        <v>111.8</v>
      </c>
      <c r="T44" s="307">
        <f t="shared" si="73"/>
        <v>110.14999999999999</v>
      </c>
      <c r="U44" s="307">
        <f t="shared" si="73"/>
        <v>94.91</v>
      </c>
      <c r="V44" s="307">
        <f t="shared" si="73"/>
        <v>98.212000000000003</v>
      </c>
      <c r="W44" s="307">
        <f t="shared" si="73"/>
        <v>129.30000000000001</v>
      </c>
      <c r="X44" s="307">
        <f t="shared" si="73"/>
        <v>160.88400000000001</v>
      </c>
      <c r="Y44" s="307">
        <f t="shared" si="73"/>
        <v>157.44899999999996</v>
      </c>
      <c r="Z44" s="307">
        <f t="shared" si="73"/>
        <v>194.50586999999996</v>
      </c>
      <c r="AA44" s="307">
        <f t="shared" si="73"/>
        <v>194.70681999999996</v>
      </c>
      <c r="AB44" s="307">
        <f t="shared" si="73"/>
        <v>222.79500000000002</v>
      </c>
      <c r="AC44" s="307">
        <f t="shared" si="73"/>
        <v>215.78080000000008</v>
      </c>
      <c r="AD44" s="307">
        <f t="shared" si="73"/>
        <v>276.00399999999996</v>
      </c>
      <c r="AE44" s="307">
        <f t="shared" si="73"/>
        <v>262.36739999999998</v>
      </c>
      <c r="AF44" s="307">
        <f t="shared" si="73"/>
        <v>247.41514400000003</v>
      </c>
      <c r="AG44" s="307">
        <f t="shared" si="73"/>
        <v>225.18120000000005</v>
      </c>
      <c r="AH44" s="307">
        <f t="shared" si="73"/>
        <v>322.57005700000019</v>
      </c>
      <c r="AI44" s="307">
        <f t="shared" si="73"/>
        <v>277.29339999999974</v>
      </c>
      <c r="AJ44" s="307">
        <f t="shared" ref="AJ44:BO44" si="74">AJ39*3*AI19+AJ20</f>
        <v>256.22660000000019</v>
      </c>
      <c r="AK44" s="307">
        <f t="shared" si="74"/>
        <v>288.88249799999983</v>
      </c>
      <c r="AL44" s="307">
        <f t="shared" si="74"/>
        <v>282.15167500000018</v>
      </c>
      <c r="AM44" s="307">
        <f t="shared" si="74"/>
        <v>299.76212500000014</v>
      </c>
      <c r="AN44" s="307">
        <f t="shared" si="74"/>
        <v>292.08682899999985</v>
      </c>
      <c r="AO44" s="307">
        <f t="shared" si="74"/>
        <v>276.85900000000021</v>
      </c>
      <c r="AP44" s="307">
        <f t="shared" si="74"/>
        <v>297.570626</v>
      </c>
      <c r="AQ44" s="307">
        <f t="shared" si="74"/>
        <v>222.23099999999963</v>
      </c>
      <c r="AR44" s="307">
        <f t="shared" si="74"/>
        <v>249.53164300000012</v>
      </c>
      <c r="AS44" s="307">
        <f t="shared" si="74"/>
        <v>308.60460000000029</v>
      </c>
      <c r="AT44" s="307">
        <f t="shared" si="74"/>
        <v>297.96589199999983</v>
      </c>
      <c r="AU44" s="307">
        <f t="shared" si="74"/>
        <v>242.25100000000018</v>
      </c>
      <c r="AV44" s="307">
        <f t="shared" si="74"/>
        <v>225.3177959999997</v>
      </c>
      <c r="AW44" s="307">
        <f t="shared" si="74"/>
        <v>234.04528800000023</v>
      </c>
      <c r="AX44" s="307">
        <f t="shared" si="74"/>
        <v>329.91799999999978</v>
      </c>
      <c r="AY44" s="307">
        <f t="shared" si="74"/>
        <v>260.20076000000017</v>
      </c>
      <c r="AZ44" s="307">
        <f t="shared" si="74"/>
        <v>279.50446799999969</v>
      </c>
      <c r="BA44" s="307">
        <f t="shared" si="74"/>
        <v>273.54440000000028</v>
      </c>
      <c r="BB44" s="307">
        <f t="shared" si="74"/>
        <v>323.88599999999974</v>
      </c>
      <c r="BC44" s="307">
        <f t="shared" si="74"/>
        <v>306.1557200000002</v>
      </c>
      <c r="BD44" s="307">
        <f t="shared" si="74"/>
        <v>300.93925899999999</v>
      </c>
      <c r="BE44" s="307">
        <f t="shared" si="74"/>
        <v>334.53505699999988</v>
      </c>
      <c r="BF44" s="307">
        <f t="shared" si="74"/>
        <v>370.61777500000017</v>
      </c>
      <c r="BG44" s="307">
        <f t="shared" si="74"/>
        <v>329.39773199999962</v>
      </c>
      <c r="BH44" s="307">
        <f t="shared" si="74"/>
        <v>383.16302000000024</v>
      </c>
      <c r="BI44" s="307">
        <f t="shared" si="74"/>
        <v>407.56640499999986</v>
      </c>
      <c r="BJ44" s="307">
        <f t="shared" si="74"/>
        <v>397.38105100000041</v>
      </c>
      <c r="BK44" s="307">
        <f t="shared" si="74"/>
        <v>402.49061599999936</v>
      </c>
      <c r="BL44" s="307">
        <f t="shared" si="74"/>
        <v>406.2938079999999</v>
      </c>
      <c r="BM44" s="307">
        <f t="shared" si="74"/>
        <v>397.7565660000003</v>
      </c>
      <c r="BN44" s="307">
        <f t="shared" si="74"/>
        <v>479.61882000000014</v>
      </c>
      <c r="BO44" s="307">
        <f t="shared" si="74"/>
        <v>428.92079699999971</v>
      </c>
      <c r="BP44" s="307">
        <f t="shared" ref="BP44:BW44" si="75">BP39*3*BO19+BP20</f>
        <v>434.80384999999984</v>
      </c>
      <c r="BQ44" s="307">
        <f t="shared" si="75"/>
        <v>489.64366600000062</v>
      </c>
      <c r="BR44" s="307">
        <f t="shared" si="75"/>
        <v>511.1156739999995</v>
      </c>
      <c r="BS44" s="307">
        <f t="shared" si="75"/>
        <v>473.01628000000028</v>
      </c>
      <c r="BT44" s="307">
        <f t="shared" si="75"/>
        <v>449.60613999999993</v>
      </c>
      <c r="BU44" s="1009">
        <f t="shared" si="75"/>
        <v>454.41891999999996</v>
      </c>
      <c r="BV44" s="1009">
        <f t="shared" si="75"/>
        <v>460.41891999999996</v>
      </c>
      <c r="BW44" s="1009">
        <f t="shared" si="75"/>
        <v>465.15591999999998</v>
      </c>
      <c r="BX44" s="1009">
        <f>BX39*12*BS19+BX20</f>
        <v>1793.37256</v>
      </c>
      <c r="BY44" s="161"/>
      <c r="BZ44" s="161"/>
      <c r="CA44" s="161"/>
      <c r="CB44" s="161"/>
      <c r="CC44" s="161"/>
      <c r="CD44" s="161"/>
      <c r="CE44" s="161"/>
      <c r="CF44" s="161"/>
      <c r="CG44" s="161"/>
      <c r="CH44" s="161"/>
      <c r="CI44" s="161"/>
      <c r="CJ44" s="161"/>
      <c r="CK44" s="161"/>
      <c r="CL44" s="161"/>
      <c r="CM44" s="161"/>
      <c r="CN44" s="161"/>
      <c r="CO44" s="161"/>
      <c r="CP44" s="161"/>
      <c r="CQ44" s="161"/>
      <c r="CR44" s="161"/>
      <c r="CS44" s="161"/>
      <c r="CT44" s="161"/>
      <c r="CU44" s="161"/>
      <c r="CV44" s="161"/>
      <c r="CW44" s="161"/>
      <c r="CX44" s="161"/>
      <c r="CY44" s="161"/>
      <c r="CZ44" s="161"/>
      <c r="DA44" s="161"/>
      <c r="DB44" s="161"/>
      <c r="DC44" s="161"/>
      <c r="DD44" s="161"/>
      <c r="DE44" s="161"/>
      <c r="DF44" s="161"/>
      <c r="DG44" s="161"/>
      <c r="DH44" s="161"/>
      <c r="DI44" s="161"/>
      <c r="DJ44" s="161"/>
      <c r="DK44" s="177"/>
      <c r="DL44" s="177"/>
      <c r="DM44" s="177"/>
      <c r="DN44" s="177"/>
      <c r="DO44" s="177"/>
      <c r="DP44" s="177"/>
      <c r="DQ44" s="177"/>
      <c r="DR44" s="177"/>
      <c r="DS44" s="177"/>
      <c r="DT44" s="177"/>
      <c r="DU44" s="177"/>
      <c r="DV44" s="177"/>
      <c r="DW44" s="177"/>
      <c r="DX44" s="177"/>
      <c r="DY44" s="177"/>
      <c r="DZ44" s="177"/>
      <c r="EA44" s="177"/>
      <c r="EB44" s="808"/>
      <c r="EC44" s="808"/>
      <c r="ED44" s="808"/>
      <c r="EF44" s="161"/>
      <c r="EH44" s="161"/>
      <c r="EM44" s="161"/>
      <c r="EN44" s="161"/>
      <c r="EO44" s="161"/>
      <c r="EP44" s="161"/>
      <c r="FL44" s="263">
        <v>291.03085999999996</v>
      </c>
      <c r="FM44" s="263">
        <v>374.25440499999996</v>
      </c>
      <c r="FN44" s="263">
        <v>378.56318899999997</v>
      </c>
      <c r="FO44" s="433">
        <v>419.88905199999942</v>
      </c>
      <c r="FP44" s="161"/>
      <c r="FQ44" s="161"/>
      <c r="FR44" s="430"/>
      <c r="FS44" s="643">
        <v>403.13562799999994</v>
      </c>
      <c r="FT44" s="639"/>
      <c r="FU44" s="670">
        <v>399.28087900000003</v>
      </c>
      <c r="FV44" s="667"/>
      <c r="FW44" s="670">
        <v>423.95913799999954</v>
      </c>
      <c r="FX44" s="667"/>
      <c r="FY44" s="751">
        <v>448.71699999999998</v>
      </c>
      <c r="FZ44" s="747"/>
      <c r="GA44" s="784">
        <v>434.72605999999996</v>
      </c>
      <c r="GB44" s="784">
        <v>442.67275999999998</v>
      </c>
      <c r="GC44" s="808"/>
      <c r="GD44" s="784">
        <v>493.28580800000009</v>
      </c>
      <c r="GE44" s="808"/>
    </row>
    <row r="45" spans="1:187">
      <c r="A45" s="161"/>
      <c r="B45" s="161" t="str">
        <f>B40</f>
        <v>Voice</v>
      </c>
      <c r="C45" s="307"/>
      <c r="D45" s="856">
        <f t="shared" ref="D45:AI45" si="76">D40*3*C24+D25</f>
        <v>29</v>
      </c>
      <c r="E45" s="856">
        <f t="shared" si="76"/>
        <v>42</v>
      </c>
      <c r="F45" s="856">
        <f t="shared" si="76"/>
        <v>44</v>
      </c>
      <c r="G45" s="856">
        <f t="shared" si="76"/>
        <v>23</v>
      </c>
      <c r="H45" s="856">
        <f t="shared" si="76"/>
        <v>10</v>
      </c>
      <c r="I45" s="856">
        <f t="shared" si="76"/>
        <v>84.702000000000012</v>
      </c>
      <c r="J45" s="856">
        <f t="shared" si="76"/>
        <v>4.1229999999999905</v>
      </c>
      <c r="K45" s="856">
        <f t="shared" si="76"/>
        <v>4</v>
      </c>
      <c r="L45" s="856">
        <f t="shared" si="76"/>
        <v>49.450000000000017</v>
      </c>
      <c r="M45" s="856">
        <f t="shared" si="76"/>
        <v>55.694999999999993</v>
      </c>
      <c r="N45" s="856">
        <f t="shared" si="76"/>
        <v>73.193460999999985</v>
      </c>
      <c r="O45" s="856">
        <f t="shared" si="76"/>
        <v>69.348000000000013</v>
      </c>
      <c r="P45" s="856">
        <f t="shared" si="76"/>
        <v>57.975000000000001</v>
      </c>
      <c r="Q45" s="856">
        <f t="shared" si="76"/>
        <v>63.605000000000004</v>
      </c>
      <c r="R45" s="856">
        <f t="shared" si="76"/>
        <v>78.831999999999994</v>
      </c>
      <c r="S45" s="856">
        <f t="shared" si="76"/>
        <v>81.274000000000001</v>
      </c>
      <c r="T45" s="856">
        <f t="shared" si="76"/>
        <v>77.051999999999992</v>
      </c>
      <c r="U45" s="856">
        <f t="shared" si="76"/>
        <v>64.343999999999994</v>
      </c>
      <c r="V45" s="856">
        <f t="shared" si="76"/>
        <v>45.667999999999992</v>
      </c>
      <c r="W45" s="856">
        <f t="shared" si="76"/>
        <v>76.28</v>
      </c>
      <c r="X45" s="856">
        <f t="shared" si="76"/>
        <v>98.92099999999995</v>
      </c>
      <c r="Y45" s="856">
        <f t="shared" si="76"/>
        <v>98.892131000000077</v>
      </c>
      <c r="Z45" s="856">
        <f t="shared" si="76"/>
        <v>121.012556</v>
      </c>
      <c r="AA45" s="856">
        <f t="shared" si="76"/>
        <v>126.43696499999997</v>
      </c>
      <c r="AB45" s="856">
        <f t="shared" si="76"/>
        <v>138.116996</v>
      </c>
      <c r="AC45" s="856">
        <f t="shared" si="76"/>
        <v>151.72000000000003</v>
      </c>
      <c r="AD45" s="856">
        <f t="shared" si="76"/>
        <v>174.3</v>
      </c>
      <c r="AE45" s="856">
        <f t="shared" si="76"/>
        <v>179.33800000000002</v>
      </c>
      <c r="AF45" s="856">
        <f t="shared" si="76"/>
        <v>173.44393199999993</v>
      </c>
      <c r="AG45" s="856">
        <f t="shared" si="76"/>
        <v>160.59947199999999</v>
      </c>
      <c r="AH45" s="856">
        <f t="shared" si="76"/>
        <v>266.26996600000007</v>
      </c>
      <c r="AI45" s="856">
        <f t="shared" si="76"/>
        <v>243.90399999999994</v>
      </c>
      <c r="AJ45" s="856">
        <f t="shared" ref="AJ45:BO45" si="77">AJ40*3*AI24+AJ25</f>
        <v>199.38000000000005</v>
      </c>
      <c r="AK45" s="856">
        <f t="shared" si="77"/>
        <v>282.92294000000004</v>
      </c>
      <c r="AL45" s="856">
        <f t="shared" si="77"/>
        <v>274.77347299999991</v>
      </c>
      <c r="AM45" s="856">
        <f t="shared" si="77"/>
        <v>287.38277300000016</v>
      </c>
      <c r="AN45" s="856">
        <f t="shared" si="77"/>
        <v>298.64603999999997</v>
      </c>
      <c r="AO45" s="856">
        <f t="shared" si="77"/>
        <v>284.58699999999999</v>
      </c>
      <c r="AP45" s="856">
        <f t="shared" si="77"/>
        <v>303.68879499999991</v>
      </c>
      <c r="AQ45" s="856">
        <f t="shared" si="77"/>
        <v>221.05620000000013</v>
      </c>
      <c r="AR45" s="856">
        <f t="shared" si="77"/>
        <v>305.82607699999983</v>
      </c>
      <c r="AS45" s="856">
        <f t="shared" si="77"/>
        <v>304.57420000000013</v>
      </c>
      <c r="AT45" s="856">
        <f t="shared" si="77"/>
        <v>305.57732199999987</v>
      </c>
      <c r="AU45" s="856">
        <f t="shared" si="77"/>
        <v>244.108</v>
      </c>
      <c r="AV45" s="856">
        <f t="shared" si="77"/>
        <v>222.14496400000019</v>
      </c>
      <c r="AW45" s="856">
        <f t="shared" si="77"/>
        <v>239.02707199999975</v>
      </c>
      <c r="AX45" s="856">
        <f t="shared" si="77"/>
        <v>386.37130000000025</v>
      </c>
      <c r="AY45" s="856">
        <f t="shared" si="77"/>
        <v>273.44660299999964</v>
      </c>
      <c r="AZ45" s="856">
        <f t="shared" si="77"/>
        <v>274.04766800000004</v>
      </c>
      <c r="BA45" s="856">
        <f t="shared" si="77"/>
        <v>282.98377500000026</v>
      </c>
      <c r="BB45" s="856">
        <f t="shared" si="77"/>
        <v>339.08249999999987</v>
      </c>
      <c r="BC45" s="856">
        <f t="shared" si="77"/>
        <v>307.86588000000017</v>
      </c>
      <c r="BD45" s="856">
        <f t="shared" si="77"/>
        <v>285.43092499999977</v>
      </c>
      <c r="BE45" s="856">
        <f t="shared" si="77"/>
        <v>313.88279200000011</v>
      </c>
      <c r="BF45" s="856">
        <f t="shared" si="77"/>
        <v>364.00127499999996</v>
      </c>
      <c r="BG45" s="856">
        <f t="shared" si="77"/>
        <v>326.86799100000007</v>
      </c>
      <c r="BH45" s="856">
        <f t="shared" si="77"/>
        <v>388.921875</v>
      </c>
      <c r="BI45" s="856">
        <f t="shared" si="77"/>
        <v>398.99421999999998</v>
      </c>
      <c r="BJ45" s="856">
        <f t="shared" si="77"/>
        <v>391.916156</v>
      </c>
      <c r="BK45" s="856">
        <f t="shared" si="77"/>
        <v>410.00797999999986</v>
      </c>
      <c r="BL45" s="856">
        <f t="shared" si="77"/>
        <v>430.28646499999974</v>
      </c>
      <c r="BM45" s="856">
        <f t="shared" si="77"/>
        <v>403.81986800000067</v>
      </c>
      <c r="BN45" s="856">
        <f t="shared" si="77"/>
        <v>527.79456499999969</v>
      </c>
      <c r="BO45" s="856">
        <f t="shared" si="77"/>
        <v>436.73017600000026</v>
      </c>
      <c r="BP45" s="856">
        <f t="shared" ref="BP45:BW45" si="78">BP40*3*BO24+BP25</f>
        <v>441.26569999999975</v>
      </c>
      <c r="BQ45" s="856">
        <f t="shared" si="78"/>
        <v>497.50249999999988</v>
      </c>
      <c r="BR45" s="856">
        <f t="shared" si="78"/>
        <v>501.68040000000042</v>
      </c>
      <c r="BS45" s="856">
        <f t="shared" si="78"/>
        <v>452.82983200000018</v>
      </c>
      <c r="BT45" s="856">
        <f t="shared" si="78"/>
        <v>388.6863129999997</v>
      </c>
      <c r="BU45" s="1015">
        <f t="shared" si="78"/>
        <v>377.83284800000001</v>
      </c>
      <c r="BV45" s="1015">
        <f t="shared" si="78"/>
        <v>380.98284799999999</v>
      </c>
      <c r="BW45" s="1015">
        <f t="shared" si="78"/>
        <v>364.1878480000002</v>
      </c>
      <c r="BX45" s="1015">
        <f>BX40*12*BS24+BX25</f>
        <v>1489.965252</v>
      </c>
      <c r="BY45" s="161"/>
      <c r="BZ45" s="161"/>
      <c r="CA45" s="161"/>
      <c r="CB45" s="161"/>
      <c r="CC45" s="161"/>
      <c r="CD45" s="161"/>
      <c r="CE45" s="161"/>
      <c r="CF45" s="161"/>
      <c r="CG45" s="161"/>
      <c r="CH45" s="161"/>
      <c r="CI45" s="161"/>
      <c r="CJ45" s="161"/>
      <c r="CK45" s="161"/>
      <c r="CL45" s="161"/>
      <c r="CM45" s="161"/>
      <c r="CN45" s="161"/>
      <c r="CO45" s="161"/>
      <c r="CP45" s="161"/>
      <c r="CQ45" s="161"/>
      <c r="CR45" s="161"/>
      <c r="CS45" s="161"/>
      <c r="CT45" s="161"/>
      <c r="CU45" s="161"/>
      <c r="CV45" s="161"/>
      <c r="CW45" s="161"/>
      <c r="CX45" s="161"/>
      <c r="CY45" s="161"/>
      <c r="CZ45" s="161"/>
      <c r="DA45" s="161"/>
      <c r="DB45" s="161"/>
      <c r="DC45" s="161"/>
      <c r="DD45" s="161"/>
      <c r="DE45" s="161"/>
      <c r="DF45" s="161"/>
      <c r="DG45" s="161"/>
      <c r="DH45" s="161"/>
      <c r="DI45" s="161"/>
      <c r="DJ45" s="161"/>
      <c r="DK45" s="177"/>
      <c r="DL45" s="177"/>
      <c r="DM45" s="177"/>
      <c r="DN45" s="177"/>
      <c r="DO45" s="177"/>
      <c r="DP45" s="177"/>
      <c r="DQ45" s="177"/>
      <c r="DR45" s="177"/>
      <c r="DS45" s="177"/>
      <c r="DT45" s="177"/>
      <c r="DU45" s="177"/>
      <c r="DV45" s="177"/>
      <c r="DW45" s="177"/>
      <c r="DX45" s="177"/>
      <c r="DY45" s="177"/>
      <c r="DZ45" s="177"/>
      <c r="EA45" s="177"/>
      <c r="EB45" s="808"/>
      <c r="EC45" s="808"/>
      <c r="ED45" s="808"/>
      <c r="EF45" s="161"/>
      <c r="EH45" s="161"/>
      <c r="EM45" s="161"/>
      <c r="EN45" s="161"/>
      <c r="EO45" s="161"/>
      <c r="EP45" s="161"/>
      <c r="FL45" s="870">
        <v>314.03512499999999</v>
      </c>
      <c r="FM45" s="870">
        <v>375.45098100000001</v>
      </c>
      <c r="FN45" s="870">
        <v>365.77195999999998</v>
      </c>
      <c r="FO45" s="873">
        <v>395.51657800000004</v>
      </c>
      <c r="FP45" s="161"/>
      <c r="FQ45" s="161"/>
      <c r="FR45" s="430"/>
      <c r="FS45" s="874">
        <v>418.07583599999998</v>
      </c>
      <c r="FT45" s="639"/>
      <c r="FU45" s="678">
        <v>392.73040999999984</v>
      </c>
      <c r="FV45" s="667"/>
      <c r="FW45" s="678">
        <v>454.38098400000041</v>
      </c>
      <c r="FX45" s="667"/>
      <c r="FY45" s="756">
        <v>468.91996400000005</v>
      </c>
      <c r="FZ45" s="747"/>
      <c r="GA45" s="841">
        <v>440.14620000000002</v>
      </c>
      <c r="GB45" s="841">
        <v>448.97039999999998</v>
      </c>
      <c r="GC45" s="808"/>
      <c r="GD45" s="841">
        <v>465.78780000000012</v>
      </c>
      <c r="GE45" s="808"/>
    </row>
    <row r="46" spans="1:187">
      <c r="A46" s="161"/>
      <c r="B46" s="161" t="s">
        <v>447</v>
      </c>
      <c r="C46" s="307"/>
      <c r="D46" s="307">
        <f t="shared" ref="D46:K46" si="79">SUM(D43:D45)</f>
        <v>47</v>
      </c>
      <c r="E46" s="307">
        <f t="shared" si="79"/>
        <v>74</v>
      </c>
      <c r="F46" s="307">
        <f t="shared" si="79"/>
        <v>124</v>
      </c>
      <c r="G46" s="307">
        <f t="shared" si="79"/>
        <v>92</v>
      </c>
      <c r="H46" s="307">
        <f t="shared" si="79"/>
        <v>40</v>
      </c>
      <c r="I46" s="307">
        <f t="shared" si="79"/>
        <v>406.62999999999994</v>
      </c>
      <c r="J46" s="307">
        <f t="shared" si="79"/>
        <v>65.010000000000048</v>
      </c>
      <c r="K46" s="307">
        <f t="shared" si="79"/>
        <v>24</v>
      </c>
      <c r="L46" s="307">
        <f t="shared" ref="L46:S46" si="80">SUM(L43:L45)</f>
        <v>272.25199999999995</v>
      </c>
      <c r="M46" s="307">
        <f t="shared" si="80"/>
        <v>284.85023000000001</v>
      </c>
      <c r="N46" s="307">
        <f t="shared" si="80"/>
        <v>427.41692699999999</v>
      </c>
      <c r="O46" s="307">
        <f t="shared" si="80"/>
        <v>383.47600000000006</v>
      </c>
      <c r="P46" s="307">
        <f t="shared" si="80"/>
        <v>356.17500000000001</v>
      </c>
      <c r="Q46" s="307">
        <f t="shared" si="80"/>
        <v>336.91300000000001</v>
      </c>
      <c r="R46" s="307">
        <f t="shared" si="80"/>
        <v>418.67600000000004</v>
      </c>
      <c r="S46" s="307">
        <f t="shared" si="80"/>
        <v>427.18200000000002</v>
      </c>
      <c r="T46" s="307">
        <f t="shared" ref="T46:BD46" si="81">SUM(T43:T45)</f>
        <v>388.202</v>
      </c>
      <c r="U46" s="307">
        <f t="shared" si="81"/>
        <v>370.67</v>
      </c>
      <c r="V46" s="307">
        <f t="shared" si="81"/>
        <v>335.92900000000003</v>
      </c>
      <c r="W46" s="307">
        <f t="shared" si="81"/>
        <v>393.83600000000001</v>
      </c>
      <c r="X46" s="307">
        <f t="shared" si="81"/>
        <v>477.41699999999986</v>
      </c>
      <c r="Y46" s="307">
        <f t="shared" si="81"/>
        <v>494.87393099999991</v>
      </c>
      <c r="Z46" s="307">
        <f t="shared" si="81"/>
        <v>547.44515200000035</v>
      </c>
      <c r="AA46" s="307">
        <f t="shared" si="81"/>
        <v>573.21818499999995</v>
      </c>
      <c r="AB46" s="307">
        <f t="shared" si="81"/>
        <v>618.79759599999966</v>
      </c>
      <c r="AC46" s="307">
        <f t="shared" si="81"/>
        <v>626.13120000000026</v>
      </c>
      <c r="AD46" s="307">
        <f t="shared" si="81"/>
        <v>742.68399999999997</v>
      </c>
      <c r="AE46" s="307">
        <f t="shared" si="81"/>
        <v>811.96489999999994</v>
      </c>
      <c r="AF46" s="307">
        <f t="shared" si="81"/>
        <v>758.16694800000016</v>
      </c>
      <c r="AG46" s="307">
        <f t="shared" si="81"/>
        <v>683.56147199999975</v>
      </c>
      <c r="AH46" s="307">
        <f t="shared" si="81"/>
        <v>900.39665500000046</v>
      </c>
      <c r="AI46" s="307">
        <f t="shared" si="81"/>
        <v>807.90599999999949</v>
      </c>
      <c r="AJ46" s="307">
        <f t="shared" si="81"/>
        <v>695.46300000000065</v>
      </c>
      <c r="AK46" s="307">
        <f t="shared" si="81"/>
        <v>848.53089799999975</v>
      </c>
      <c r="AL46" s="307">
        <f t="shared" si="81"/>
        <v>840.03714800000034</v>
      </c>
      <c r="AM46" s="307">
        <f t="shared" si="81"/>
        <v>871.86702600000001</v>
      </c>
      <c r="AN46" s="307">
        <f t="shared" si="81"/>
        <v>870.35488500000008</v>
      </c>
      <c r="AO46" s="307">
        <f t="shared" si="81"/>
        <v>837.41800000000012</v>
      </c>
      <c r="AP46" s="307">
        <f t="shared" si="81"/>
        <v>882.40912100000025</v>
      </c>
      <c r="AQ46" s="307">
        <f t="shared" si="81"/>
        <v>647.2969999999998</v>
      </c>
      <c r="AR46" s="307">
        <f t="shared" si="81"/>
        <v>818.957176</v>
      </c>
      <c r="AS46" s="307">
        <f t="shared" si="81"/>
        <v>902.47100000000034</v>
      </c>
      <c r="AT46" s="307">
        <f t="shared" si="81"/>
        <v>889.91002099999957</v>
      </c>
      <c r="AU46" s="307">
        <f t="shared" si="81"/>
        <v>719.28499999999997</v>
      </c>
      <c r="AV46" s="307">
        <f t="shared" si="81"/>
        <v>659.3300340000003</v>
      </c>
      <c r="AW46" s="307">
        <f t="shared" si="81"/>
        <v>675.57852199999991</v>
      </c>
      <c r="AX46" s="307">
        <f t="shared" si="81"/>
        <v>982.69270000000017</v>
      </c>
      <c r="AY46" s="307">
        <f t="shared" si="81"/>
        <v>746.17301899999961</v>
      </c>
      <c r="AZ46" s="307">
        <f t="shared" si="81"/>
        <v>751.21713299999965</v>
      </c>
      <c r="BA46" s="307">
        <f t="shared" si="81"/>
        <v>805.05479700000069</v>
      </c>
      <c r="BB46" s="307">
        <f t="shared" si="81"/>
        <v>959.76449999999966</v>
      </c>
      <c r="BC46" s="307">
        <f t="shared" si="81"/>
        <v>869.71640400000058</v>
      </c>
      <c r="BD46" s="307">
        <f t="shared" si="81"/>
        <v>832.79576399999962</v>
      </c>
      <c r="BE46" s="307">
        <f t="shared" ref="BE46:BX46" si="82">SUM(BE43:BE45)</f>
        <v>926.17369299999996</v>
      </c>
      <c r="BF46" s="307">
        <f t="shared" si="82"/>
        <v>1038.4594660000002</v>
      </c>
      <c r="BG46" s="307">
        <f t="shared" si="82"/>
        <v>933.67087499999934</v>
      </c>
      <c r="BH46" s="307">
        <f t="shared" si="82"/>
        <v>1078.9187950000003</v>
      </c>
      <c r="BI46" s="307">
        <f t="shared" si="82"/>
        <v>1116.207345</v>
      </c>
      <c r="BJ46" s="307">
        <f t="shared" si="82"/>
        <v>1097.7024430000004</v>
      </c>
      <c r="BK46" s="307">
        <f t="shared" si="82"/>
        <v>1094.3690719999995</v>
      </c>
      <c r="BL46" s="307">
        <f t="shared" si="82"/>
        <v>1098.0169429999994</v>
      </c>
      <c r="BM46" s="307">
        <f t="shared" si="82"/>
        <v>1048.022676000001</v>
      </c>
      <c r="BN46" s="307">
        <f t="shared" si="82"/>
        <v>1273.684201</v>
      </c>
      <c r="BO46" s="307">
        <f t="shared" si="82"/>
        <v>1101.1400410000001</v>
      </c>
      <c r="BP46" s="307">
        <f t="shared" si="82"/>
        <v>1143.8943249999995</v>
      </c>
      <c r="BQ46" s="307">
        <f t="shared" si="82"/>
        <v>1296.4235210000004</v>
      </c>
      <c r="BR46" s="307">
        <f t="shared" si="82"/>
        <v>1447.1720939999998</v>
      </c>
      <c r="BS46" s="307">
        <f t="shared" si="82"/>
        <v>1237.0054930000006</v>
      </c>
      <c r="BT46" s="307">
        <f t="shared" si="82"/>
        <v>1175.9210209999992</v>
      </c>
      <c r="BU46" s="1009">
        <f t="shared" si="82"/>
        <v>1153.572703</v>
      </c>
      <c r="BV46" s="1009">
        <f t="shared" si="82"/>
        <v>1159.3070305000001</v>
      </c>
      <c r="BW46" s="1009">
        <f t="shared" si="82"/>
        <v>1134.453030500001</v>
      </c>
      <c r="BX46" s="1009">
        <f t="shared" si="82"/>
        <v>4547.5126560000008</v>
      </c>
      <c r="BY46" s="161"/>
      <c r="BZ46" s="161"/>
      <c r="CA46" s="161"/>
      <c r="CB46" s="161"/>
      <c r="CC46" s="161"/>
      <c r="CD46" s="161"/>
      <c r="CE46" s="161"/>
      <c r="CF46" s="161"/>
      <c r="CG46" s="161"/>
      <c r="CH46" s="161"/>
      <c r="CI46" s="161"/>
      <c r="CJ46" s="161"/>
      <c r="CK46" s="161"/>
      <c r="CL46" s="161"/>
      <c r="CM46" s="161"/>
      <c r="CN46" s="161"/>
      <c r="CO46" s="161"/>
      <c r="CP46" s="161"/>
      <c r="CQ46" s="161"/>
      <c r="CR46" s="161"/>
      <c r="CS46" s="161"/>
      <c r="CT46" s="161"/>
      <c r="CU46" s="161"/>
      <c r="CV46" s="161"/>
      <c r="CW46" s="161"/>
      <c r="CX46" s="161"/>
      <c r="CY46" s="161"/>
      <c r="CZ46" s="161"/>
      <c r="DA46" s="161"/>
      <c r="DB46" s="161"/>
      <c r="DC46" s="161"/>
      <c r="DD46" s="161"/>
      <c r="DE46" s="161"/>
      <c r="DF46" s="161"/>
      <c r="DG46" s="161"/>
      <c r="DH46" s="161"/>
      <c r="DI46" s="161"/>
      <c r="DJ46" s="161"/>
      <c r="DK46" s="177"/>
      <c r="DL46" s="177"/>
      <c r="DM46" s="177"/>
      <c r="DN46" s="177"/>
      <c r="DO46" s="177"/>
      <c r="DP46" s="177"/>
      <c r="DQ46" s="177"/>
      <c r="DR46" s="177"/>
      <c r="DS46" s="177"/>
      <c r="DT46" s="177"/>
      <c r="DU46" s="177"/>
      <c r="DV46" s="177"/>
      <c r="DW46" s="177"/>
      <c r="DX46" s="177"/>
      <c r="DY46" s="177"/>
      <c r="DZ46" s="177"/>
      <c r="EA46" s="177"/>
      <c r="EB46" s="808"/>
      <c r="EC46" s="808"/>
      <c r="ED46" s="808"/>
      <c r="EF46" s="161"/>
      <c r="EH46" s="161"/>
      <c r="EM46" s="161"/>
      <c r="EN46" s="161"/>
      <c r="EO46" s="161"/>
      <c r="EP46" s="161"/>
      <c r="FL46" s="263">
        <v>853.54919499999994</v>
      </c>
      <c r="FM46" s="263">
        <v>1045.4201059999998</v>
      </c>
      <c r="FN46" s="263">
        <v>1050.085789</v>
      </c>
      <c r="FO46" s="433">
        <v>1135.4677639999993</v>
      </c>
      <c r="FP46" s="161"/>
      <c r="FQ46" s="161"/>
      <c r="FR46" s="430"/>
      <c r="FS46" s="643">
        <v>1118.7346209999998</v>
      </c>
      <c r="FT46" s="639"/>
      <c r="FU46" s="670">
        <v>1091.646105</v>
      </c>
      <c r="FV46" s="667"/>
      <c r="FW46" s="670">
        <v>1130.3320980000001</v>
      </c>
      <c r="FX46" s="667"/>
      <c r="FY46" s="751">
        <v>1204.7762680000001</v>
      </c>
      <c r="FZ46" s="747"/>
      <c r="GA46" s="784">
        <v>1151.994385</v>
      </c>
      <c r="GB46" s="784">
        <v>1172.14966</v>
      </c>
      <c r="GC46" s="808"/>
      <c r="GD46" s="784">
        <v>1313.7352830000004</v>
      </c>
      <c r="GE46" s="808"/>
    </row>
    <row r="47" spans="1:187">
      <c r="A47" s="161"/>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265"/>
      <c r="AA47" s="265"/>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c r="BJ47" s="161"/>
      <c r="BK47" s="161"/>
      <c r="BL47" s="161"/>
      <c r="BM47" s="161"/>
      <c r="BN47" s="161"/>
      <c r="BO47" s="161"/>
      <c r="BP47" s="161"/>
      <c r="BQ47" s="161"/>
      <c r="BR47" s="161"/>
      <c r="BS47" s="161"/>
      <c r="BT47" s="161"/>
      <c r="BU47" s="780"/>
      <c r="BV47" s="780"/>
      <c r="BW47" s="780"/>
      <c r="BX47" s="780"/>
      <c r="BY47" s="161"/>
      <c r="BZ47" s="161"/>
      <c r="CA47" s="161"/>
      <c r="CB47" s="161"/>
      <c r="CC47" s="161"/>
      <c r="CD47" s="161"/>
      <c r="CE47" s="161"/>
      <c r="CF47" s="161"/>
      <c r="CG47" s="161"/>
      <c r="CH47" s="161"/>
      <c r="CI47" s="161"/>
      <c r="CJ47" s="161"/>
      <c r="CK47" s="161"/>
      <c r="CL47" s="161"/>
      <c r="CM47" s="161"/>
      <c r="CN47" s="161"/>
      <c r="CO47" s="161"/>
      <c r="CP47" s="161"/>
      <c r="CQ47" s="161"/>
      <c r="CR47" s="161"/>
      <c r="CS47" s="161"/>
      <c r="CT47" s="161"/>
      <c r="CU47" s="161"/>
      <c r="CV47" s="161"/>
      <c r="CW47" s="161"/>
      <c r="CX47" s="161"/>
      <c r="CY47" s="161"/>
      <c r="CZ47" s="161"/>
      <c r="DA47" s="161"/>
      <c r="DB47" s="161"/>
      <c r="DC47" s="161"/>
      <c r="DD47" s="161"/>
      <c r="DE47" s="161"/>
      <c r="DF47" s="161"/>
      <c r="DG47" s="161"/>
      <c r="DH47" s="161"/>
      <c r="DI47" s="161"/>
      <c r="DJ47" s="161"/>
      <c r="DK47" s="177"/>
      <c r="DL47" s="177"/>
      <c r="DM47" s="177"/>
      <c r="DN47" s="177"/>
      <c r="DO47" s="177"/>
      <c r="DP47" s="177"/>
      <c r="DQ47" s="177"/>
      <c r="DR47" s="177"/>
      <c r="DS47" s="177"/>
      <c r="DT47" s="177"/>
      <c r="DU47" s="177"/>
      <c r="DV47" s="177"/>
      <c r="DW47" s="177"/>
      <c r="DX47" s="177"/>
      <c r="DY47" s="177"/>
      <c r="DZ47" s="177"/>
      <c r="EA47" s="177"/>
      <c r="EB47" s="808"/>
      <c r="EC47" s="808"/>
      <c r="ED47" s="808"/>
      <c r="EF47" s="161"/>
      <c r="EH47" s="161"/>
      <c r="EM47" s="161"/>
      <c r="EN47" s="161"/>
      <c r="EO47" s="161"/>
      <c r="EP47" s="161"/>
      <c r="FL47" s="161"/>
      <c r="FM47" s="161"/>
      <c r="FN47" s="161"/>
      <c r="FO47" s="430"/>
      <c r="FP47" s="161"/>
      <c r="FQ47" s="161"/>
      <c r="FR47" s="430"/>
      <c r="FS47" s="639"/>
      <c r="FT47" s="639"/>
      <c r="FU47" s="667"/>
      <c r="FV47" s="667"/>
      <c r="FW47" s="667"/>
      <c r="FX47" s="667"/>
      <c r="FY47" s="747"/>
      <c r="FZ47" s="747"/>
      <c r="GA47" s="780"/>
      <c r="GB47" s="780"/>
      <c r="GC47" s="808"/>
      <c r="GD47" s="780"/>
      <c r="GE47" s="808"/>
    </row>
    <row r="48" spans="1:187">
      <c r="A48" s="161"/>
      <c r="B48" s="163" t="s">
        <v>448</v>
      </c>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263"/>
      <c r="BE48" s="263"/>
      <c r="BF48" s="263"/>
      <c r="BG48" s="263"/>
      <c r="BH48" s="263"/>
      <c r="BI48" s="263"/>
      <c r="BJ48" s="263"/>
      <c r="BK48" s="263"/>
      <c r="BL48" s="263"/>
      <c r="BM48" s="263"/>
      <c r="BN48" s="263"/>
      <c r="BO48" s="161"/>
      <c r="BP48" s="161"/>
      <c r="BQ48" s="161"/>
      <c r="BR48" s="161"/>
      <c r="BS48" s="161"/>
      <c r="BT48" s="161"/>
      <c r="BU48" s="780"/>
      <c r="BV48" s="780"/>
      <c r="BW48" s="780"/>
      <c r="BX48" s="780"/>
      <c r="BY48" s="161"/>
      <c r="BZ48" s="161"/>
      <c r="CA48" s="161"/>
      <c r="CB48" s="161"/>
      <c r="CC48" s="161"/>
      <c r="CD48" s="161"/>
      <c r="CE48" s="161"/>
      <c r="CF48" s="161"/>
      <c r="CG48" s="161"/>
      <c r="CH48" s="161"/>
      <c r="CI48" s="161"/>
      <c r="CJ48" s="161"/>
      <c r="CK48" s="161"/>
      <c r="CL48" s="161"/>
      <c r="CM48" s="161"/>
      <c r="CN48" s="161"/>
      <c r="CO48" s="161"/>
      <c r="CP48" s="161"/>
      <c r="CQ48" s="161"/>
      <c r="CR48" s="161"/>
      <c r="CS48" s="161"/>
      <c r="CT48" s="161"/>
      <c r="CU48" s="161"/>
      <c r="CV48" s="161"/>
      <c r="CW48" s="161"/>
      <c r="CX48" s="161"/>
      <c r="CY48" s="161"/>
      <c r="CZ48" s="161"/>
      <c r="DA48" s="161"/>
      <c r="DB48" s="161"/>
      <c r="DC48" s="161"/>
      <c r="DD48" s="161"/>
      <c r="DE48" s="161"/>
      <c r="DF48" s="161"/>
      <c r="DG48" s="161"/>
      <c r="DH48" s="161"/>
      <c r="DI48" s="161"/>
      <c r="DJ48" s="161"/>
      <c r="DK48" s="177"/>
      <c r="DL48" s="177"/>
      <c r="DM48" s="177"/>
      <c r="DN48" s="177"/>
      <c r="DO48" s="177"/>
      <c r="DP48" s="177"/>
      <c r="DQ48" s="177"/>
      <c r="DR48" s="177"/>
      <c r="DS48" s="177"/>
      <c r="DT48" s="177"/>
      <c r="DU48" s="177"/>
      <c r="DV48" s="177"/>
      <c r="DW48" s="177"/>
      <c r="DX48" s="177"/>
      <c r="DY48" s="177"/>
      <c r="DZ48" s="177"/>
      <c r="EA48" s="177"/>
      <c r="EB48" s="808"/>
      <c r="EC48" s="808"/>
      <c r="ED48" s="808"/>
      <c r="EF48" s="161"/>
      <c r="EH48" s="161"/>
      <c r="EM48" s="161"/>
      <c r="EN48" s="161"/>
      <c r="EO48" s="161"/>
      <c r="EP48" s="161"/>
      <c r="FL48" s="161"/>
      <c r="FM48" s="161"/>
      <c r="FN48" s="161"/>
      <c r="FO48" s="430"/>
      <c r="FP48" s="161"/>
      <c r="FQ48" s="161"/>
      <c r="FR48" s="430"/>
      <c r="FS48" s="639"/>
      <c r="FT48" s="639"/>
      <c r="FU48" s="667"/>
      <c r="FV48" s="667"/>
      <c r="FW48" s="667"/>
      <c r="FX48" s="667"/>
      <c r="FY48" s="747"/>
      <c r="FZ48" s="747"/>
      <c r="GA48" s="780"/>
      <c r="GB48" s="780"/>
      <c r="GC48" s="808"/>
      <c r="GD48" s="780"/>
      <c r="GE48" s="808"/>
    </row>
    <row r="49" spans="1:187">
      <c r="A49" s="161"/>
      <c r="B49" s="161" t="s">
        <v>338</v>
      </c>
      <c r="C49" s="161"/>
      <c r="D49" s="161"/>
      <c r="E49" s="161"/>
      <c r="F49" s="161"/>
      <c r="G49" s="161"/>
      <c r="H49" s="161"/>
      <c r="I49" s="161">
        <v>361.9</v>
      </c>
      <c r="J49" s="161"/>
      <c r="K49" s="161"/>
      <c r="L49" s="161">
        <v>382.4</v>
      </c>
      <c r="M49" s="161">
        <v>372.6</v>
      </c>
      <c r="N49" s="161">
        <v>366.2</v>
      </c>
      <c r="O49" s="161">
        <v>367.3</v>
      </c>
      <c r="P49" s="161">
        <v>366.9</v>
      </c>
      <c r="Q49" s="161">
        <v>352.3</v>
      </c>
      <c r="R49" s="161">
        <v>359</v>
      </c>
      <c r="S49" s="161">
        <v>353.5</v>
      </c>
      <c r="T49" s="161">
        <v>363.5</v>
      </c>
      <c r="U49" s="161">
        <v>366.9</v>
      </c>
      <c r="V49" s="161">
        <v>370.3</v>
      </c>
      <c r="W49" s="161">
        <v>407.6</v>
      </c>
      <c r="X49" s="161">
        <v>390.8</v>
      </c>
      <c r="Y49" s="277">
        <v>351.2</v>
      </c>
      <c r="Z49" s="277">
        <v>349.9</v>
      </c>
      <c r="AA49" s="277">
        <v>354.6</v>
      </c>
      <c r="AB49" s="277">
        <v>355.1</v>
      </c>
      <c r="AC49" s="277">
        <v>344.3</v>
      </c>
      <c r="AD49" s="277">
        <v>349.9</v>
      </c>
      <c r="AE49" s="277">
        <v>366.4</v>
      </c>
      <c r="AF49" s="277">
        <v>353.7</v>
      </c>
      <c r="AG49" s="277">
        <v>358.4</v>
      </c>
      <c r="AH49" s="277">
        <v>349.5</v>
      </c>
      <c r="AI49" s="277">
        <v>358.2</v>
      </c>
      <c r="AJ49" s="277">
        <v>358.4</v>
      </c>
      <c r="AK49" s="277">
        <v>359</v>
      </c>
      <c r="AL49" s="277">
        <v>359.1</v>
      </c>
      <c r="AM49" s="277">
        <v>371.7</v>
      </c>
      <c r="AN49" s="277">
        <v>375.7</v>
      </c>
      <c r="AO49" s="277">
        <v>373.9</v>
      </c>
      <c r="AP49" s="277">
        <v>377.8</v>
      </c>
      <c r="AQ49" s="277">
        <v>386.2</v>
      </c>
      <c r="AR49" s="277">
        <v>390.3</v>
      </c>
      <c r="AS49" s="277">
        <v>396.5</v>
      </c>
      <c r="AT49" s="277">
        <v>398.5</v>
      </c>
      <c r="AU49" s="277">
        <v>410.3</v>
      </c>
      <c r="AV49" s="277">
        <v>416.9</v>
      </c>
      <c r="AW49" s="277">
        <v>405.7</v>
      </c>
      <c r="AX49" s="277">
        <v>406.5</v>
      </c>
      <c r="AY49" s="277">
        <v>405.2</v>
      </c>
      <c r="AZ49" s="277">
        <v>411.4</v>
      </c>
      <c r="BA49" s="277">
        <v>412.8</v>
      </c>
      <c r="BB49" s="277">
        <v>411.5</v>
      </c>
      <c r="BC49" s="277">
        <v>422.6</v>
      </c>
      <c r="BD49" s="277">
        <v>422.4</v>
      </c>
      <c r="BE49" s="277">
        <v>427.3</v>
      </c>
      <c r="BF49" s="277">
        <v>415.4</v>
      </c>
      <c r="BG49" s="277">
        <v>419.5</v>
      </c>
      <c r="BH49" s="277">
        <v>420.4</v>
      </c>
      <c r="BI49" s="277">
        <v>420.8</v>
      </c>
      <c r="BJ49" s="277">
        <v>418.7</v>
      </c>
      <c r="BK49" s="277">
        <v>426.3</v>
      </c>
      <c r="BL49" s="277">
        <v>421.7</v>
      </c>
      <c r="BM49" s="277">
        <v>421.9</v>
      </c>
      <c r="BN49" s="277">
        <v>418.9</v>
      </c>
      <c r="BO49" s="277">
        <v>421.6</v>
      </c>
      <c r="BP49" s="277">
        <v>417.5</v>
      </c>
      <c r="BQ49" s="279">
        <v>421</v>
      </c>
      <c r="BR49" s="279">
        <v>422.3</v>
      </c>
      <c r="BS49" s="984">
        <f>BS56/BO56*BO49</f>
        <v>422.84989737742308</v>
      </c>
      <c r="BT49" s="984">
        <f>BT56/BP56*BP49</f>
        <v>424.72485002307343</v>
      </c>
      <c r="BU49" s="784"/>
      <c r="BV49" s="784"/>
      <c r="BW49" s="784"/>
      <c r="BX49" s="784"/>
      <c r="BY49" s="161"/>
      <c r="BZ49" s="161"/>
      <c r="CA49" s="264">
        <f t="shared" ref="CA49:CJ52" si="83">T49/P49-1</f>
        <v>-9.2668301989642377E-3</v>
      </c>
      <c r="CB49" s="264">
        <f t="shared" si="83"/>
        <v>4.1441952881067223E-2</v>
      </c>
      <c r="CC49" s="264">
        <f t="shared" si="83"/>
        <v>3.1476323119777216E-2</v>
      </c>
      <c r="CD49" s="264">
        <f t="shared" si="83"/>
        <v>0.15304101838755302</v>
      </c>
      <c r="CE49" s="264">
        <f t="shared" si="83"/>
        <v>7.5103163686382368E-2</v>
      </c>
      <c r="CF49" s="264">
        <f t="shared" si="83"/>
        <v>-4.279095121286447E-2</v>
      </c>
      <c r="CG49" s="264">
        <f t="shared" si="83"/>
        <v>-5.5090467188765979E-2</v>
      </c>
      <c r="CH49" s="264">
        <f t="shared" si="83"/>
        <v>-0.13002944062806676</v>
      </c>
      <c r="CI49" s="264">
        <f t="shared" si="83"/>
        <v>-9.1351074718526104E-2</v>
      </c>
      <c r="CJ49" s="264">
        <f t="shared" si="83"/>
        <v>-1.9646924829157086E-2</v>
      </c>
      <c r="CK49" s="264">
        <f t="shared" ref="CK49:CT52" si="84">AD49/Z49-1</f>
        <v>0</v>
      </c>
      <c r="CL49" s="264">
        <f t="shared" si="84"/>
        <v>3.3276931754089079E-2</v>
      </c>
      <c r="CM49" s="264">
        <f t="shared" si="84"/>
        <v>-3.9425513939735923E-3</v>
      </c>
      <c r="CN49" s="264">
        <f t="shared" si="84"/>
        <v>4.0952657566075912E-2</v>
      </c>
      <c r="CO49" s="264">
        <f t="shared" si="84"/>
        <v>-1.1431837667904565E-3</v>
      </c>
      <c r="CP49" s="264">
        <f t="shared" si="84"/>
        <v>-2.2379912663755386E-2</v>
      </c>
      <c r="CQ49" s="264">
        <f t="shared" si="84"/>
        <v>1.3288097257562859E-2</v>
      </c>
      <c r="CR49" s="264">
        <f t="shared" si="84"/>
        <v>1.6741071428572063E-3</v>
      </c>
      <c r="CS49" s="264">
        <f t="shared" si="84"/>
        <v>2.7467811158798261E-2</v>
      </c>
      <c r="CT49" s="264">
        <f t="shared" si="84"/>
        <v>3.7688442211055273E-2</v>
      </c>
      <c r="CU49" s="264">
        <f t="shared" ref="CU49:DD52" si="85">AN49/AJ49-1</f>
        <v>4.8270089285714413E-2</v>
      </c>
      <c r="CV49" s="264">
        <f t="shared" si="85"/>
        <v>4.1504178272980363E-2</v>
      </c>
      <c r="CW49" s="264">
        <f t="shared" si="85"/>
        <v>5.2074631021999496E-2</v>
      </c>
      <c r="CX49" s="264">
        <f t="shared" si="85"/>
        <v>3.9009954264191515E-2</v>
      </c>
      <c r="CY49" s="264">
        <f t="shared" si="85"/>
        <v>3.8860793186052733E-2</v>
      </c>
      <c r="CZ49" s="264">
        <f t="shared" si="85"/>
        <v>6.0443968975661955E-2</v>
      </c>
      <c r="DA49" s="264">
        <f t="shared" si="85"/>
        <v>5.4790894653255595E-2</v>
      </c>
      <c r="DB49" s="264">
        <f t="shared" si="85"/>
        <v>6.2402900051786725E-2</v>
      </c>
      <c r="DC49" s="264">
        <f t="shared" si="85"/>
        <v>6.8152703048936614E-2</v>
      </c>
      <c r="DD49" s="264">
        <f t="shared" si="85"/>
        <v>2.3203026481714906E-2</v>
      </c>
      <c r="DE49" s="264">
        <f t="shared" ref="DE49:DN52" si="86">AX49/AT49-1</f>
        <v>2.0075282308657405E-2</v>
      </c>
      <c r="DF49" s="264">
        <f t="shared" si="86"/>
        <v>-1.2429929320009858E-2</v>
      </c>
      <c r="DG49" s="264">
        <f t="shared" si="86"/>
        <v>-1.319261213720313E-2</v>
      </c>
      <c r="DH49" s="264">
        <f t="shared" si="86"/>
        <v>1.7500616218881104E-2</v>
      </c>
      <c r="DI49" s="264">
        <f t="shared" si="86"/>
        <v>1.2300123001230068E-2</v>
      </c>
      <c r="DJ49" s="264">
        <f t="shared" si="86"/>
        <v>4.2941757156959692E-2</v>
      </c>
      <c r="DK49" s="467">
        <f t="shared" si="86"/>
        <v>2.673796791443861E-2</v>
      </c>
      <c r="DL49" s="467">
        <f t="shared" si="86"/>
        <v>3.5125968992248069E-2</v>
      </c>
      <c r="DM49" s="467">
        <f t="shared" si="86"/>
        <v>9.4775212636695194E-3</v>
      </c>
      <c r="DN49" s="467">
        <f t="shared" si="86"/>
        <v>-7.3355418835778785E-3</v>
      </c>
      <c r="DO49" s="467">
        <f t="shared" ref="DO49:DX52" si="87">BH49/BD49-1</f>
        <v>-4.7348484848485084E-3</v>
      </c>
      <c r="DP49" s="467">
        <f t="shared" si="87"/>
        <v>-1.5211794991809025E-2</v>
      </c>
      <c r="DQ49" s="467">
        <f t="shared" si="87"/>
        <v>7.9441502166586186E-3</v>
      </c>
      <c r="DR49" s="467">
        <f t="shared" si="87"/>
        <v>1.6209773539928474E-2</v>
      </c>
      <c r="DS49" s="467">
        <f t="shared" si="87"/>
        <v>3.0922930542340854E-3</v>
      </c>
      <c r="DT49" s="467">
        <f t="shared" si="87"/>
        <v>2.6140684410644877E-3</v>
      </c>
      <c r="DU49" s="467">
        <f t="shared" si="87"/>
        <v>4.7766897540002518E-4</v>
      </c>
      <c r="DV49" s="467">
        <f t="shared" si="87"/>
        <v>-1.1025099695050389E-2</v>
      </c>
      <c r="DW49" s="467">
        <f t="shared" si="87"/>
        <v>-9.9596869812662581E-3</v>
      </c>
      <c r="DX49" s="467">
        <f t="shared" si="87"/>
        <v>-2.1332069210713289E-3</v>
      </c>
      <c r="DY49" s="491">
        <f t="shared" ref="DY49:EA52" si="88">BR49/BN49-1</f>
        <v>8.1164955836716679E-3</v>
      </c>
      <c r="DZ49" s="491">
        <f t="shared" si="88"/>
        <v>2.9646522234891837E-3</v>
      </c>
      <c r="EA49" s="491">
        <f t="shared" si="88"/>
        <v>1.7305029995385413E-2</v>
      </c>
      <c r="EB49" s="812"/>
      <c r="EC49" s="812"/>
      <c r="ED49" s="812"/>
      <c r="EF49" s="161"/>
      <c r="EH49" s="161"/>
      <c r="EM49" s="161"/>
      <c r="EN49" s="161"/>
      <c r="EO49" s="161"/>
      <c r="EP49" s="161"/>
      <c r="FL49" s="278"/>
      <c r="FM49" s="278"/>
      <c r="FN49" s="280">
        <v>410.62608918766227</v>
      </c>
      <c r="FO49" s="433"/>
      <c r="FP49" s="161"/>
      <c r="FQ49" s="161"/>
      <c r="FR49" s="430"/>
      <c r="FS49" s="643"/>
      <c r="FT49" s="639"/>
      <c r="FU49" s="670"/>
      <c r="FV49" s="667"/>
      <c r="FW49" s="670"/>
      <c r="FX49" s="667"/>
      <c r="FY49" s="751"/>
      <c r="FZ49" s="747"/>
      <c r="GA49" s="784"/>
      <c r="GB49" s="784"/>
      <c r="GC49" s="808"/>
      <c r="GD49" s="784"/>
      <c r="GE49" s="808"/>
    </row>
    <row r="50" spans="1:187" outlineLevel="1">
      <c r="A50" s="161"/>
      <c r="B50" s="161" t="s">
        <v>343</v>
      </c>
      <c r="C50" s="161"/>
      <c r="D50" s="161"/>
      <c r="E50" s="161"/>
      <c r="F50" s="161"/>
      <c r="G50" s="161"/>
      <c r="H50" s="161"/>
      <c r="I50" s="161">
        <v>228.8</v>
      </c>
      <c r="J50" s="161"/>
      <c r="K50" s="161"/>
      <c r="L50" s="161">
        <v>241</v>
      </c>
      <c r="M50" s="161">
        <v>231.1</v>
      </c>
      <c r="N50" s="161">
        <v>228.2</v>
      </c>
      <c r="O50" s="161">
        <v>226.3</v>
      </c>
      <c r="P50" s="161">
        <v>231.8</v>
      </c>
      <c r="Q50" s="161">
        <v>225.5</v>
      </c>
      <c r="R50" s="161">
        <v>228.6</v>
      </c>
      <c r="S50" s="161">
        <v>224.7</v>
      </c>
      <c r="T50" s="161">
        <v>228.6</v>
      </c>
      <c r="U50" s="161">
        <v>231.1</v>
      </c>
      <c r="V50" s="161">
        <v>230.5</v>
      </c>
      <c r="W50" s="277">
        <v>243.2</v>
      </c>
      <c r="X50" s="161">
        <v>235.7</v>
      </c>
      <c r="Y50" s="277">
        <v>229.3</v>
      </c>
      <c r="Z50" s="277">
        <v>227.8</v>
      </c>
      <c r="AA50" s="277">
        <v>229.1</v>
      </c>
      <c r="AB50" s="277">
        <v>225.7</v>
      </c>
      <c r="AC50" s="277">
        <v>215.2</v>
      </c>
      <c r="AD50" s="277">
        <v>217.1</v>
      </c>
      <c r="AE50" s="277">
        <v>227</v>
      </c>
      <c r="AF50" s="277">
        <v>218.2</v>
      </c>
      <c r="AG50" s="277">
        <v>220.4</v>
      </c>
      <c r="AH50" s="277">
        <v>214.3</v>
      </c>
      <c r="AI50" s="277">
        <v>214.1</v>
      </c>
      <c r="AJ50" s="277">
        <v>212.4</v>
      </c>
      <c r="AK50" s="277">
        <v>208.8</v>
      </c>
      <c r="AL50" s="277">
        <v>208.1</v>
      </c>
      <c r="AM50" s="277">
        <v>216.5</v>
      </c>
      <c r="AN50" s="277">
        <v>216.3</v>
      </c>
      <c r="AO50" s="277">
        <v>213.1</v>
      </c>
      <c r="AP50" s="277">
        <v>214.7</v>
      </c>
      <c r="AQ50" s="277">
        <v>219.1</v>
      </c>
      <c r="AR50" s="277">
        <v>228.6</v>
      </c>
      <c r="AS50" s="277">
        <v>232.6</v>
      </c>
      <c r="AT50" s="277">
        <v>232.3</v>
      </c>
      <c r="AU50" s="277">
        <v>237.4</v>
      </c>
      <c r="AV50" s="277">
        <v>241.8</v>
      </c>
      <c r="AW50" s="277">
        <v>233.6</v>
      </c>
      <c r="AX50" s="277">
        <v>231.6</v>
      </c>
      <c r="AY50" s="279">
        <v>229</v>
      </c>
      <c r="AZ50" s="279">
        <v>228.5</v>
      </c>
      <c r="BA50" s="279">
        <v>226.1</v>
      </c>
      <c r="BB50" s="279">
        <v>223.9</v>
      </c>
      <c r="BC50" s="279">
        <v>231.7</v>
      </c>
      <c r="BD50" s="279">
        <v>229</v>
      </c>
      <c r="BE50" s="279">
        <v>230.7</v>
      </c>
      <c r="BF50" s="279">
        <v>229.3</v>
      </c>
      <c r="BG50" s="279">
        <v>232.8</v>
      </c>
      <c r="BH50" s="279">
        <v>233.9</v>
      </c>
      <c r="BI50" s="279">
        <v>232.7</v>
      </c>
      <c r="BJ50" s="279">
        <v>232.4</v>
      </c>
      <c r="BK50" s="279">
        <v>240.7</v>
      </c>
      <c r="BL50" s="279">
        <v>238.5</v>
      </c>
      <c r="BM50" s="279">
        <v>239.2</v>
      </c>
      <c r="BN50" s="773">
        <v>241</v>
      </c>
      <c r="BO50" s="773">
        <v>245.25</v>
      </c>
      <c r="BP50" s="281"/>
      <c r="BQ50" s="281"/>
      <c r="BR50" s="281"/>
      <c r="BS50" s="281"/>
      <c r="BT50" s="281"/>
      <c r="BU50" s="789"/>
      <c r="BV50" s="789"/>
      <c r="BW50" s="789"/>
      <c r="BX50" s="789"/>
      <c r="BY50" s="161"/>
      <c r="BZ50" s="161"/>
      <c r="CA50" s="264">
        <f t="shared" si="83"/>
        <v>-1.3805004314063951E-2</v>
      </c>
      <c r="CB50" s="264">
        <f t="shared" si="83"/>
        <v>2.4833702882483433E-2</v>
      </c>
      <c r="CC50" s="264">
        <f t="shared" si="83"/>
        <v>8.3114610673666878E-3</v>
      </c>
      <c r="CD50" s="264">
        <f t="shared" si="83"/>
        <v>8.2331998219848712E-2</v>
      </c>
      <c r="CE50" s="264">
        <f t="shared" si="83"/>
        <v>3.1058617672790945E-2</v>
      </c>
      <c r="CF50" s="264">
        <f t="shared" si="83"/>
        <v>-7.7888360017307479E-3</v>
      </c>
      <c r="CG50" s="264">
        <f t="shared" si="83"/>
        <v>-1.1713665943600793E-2</v>
      </c>
      <c r="CH50" s="264">
        <f t="shared" si="83"/>
        <v>-5.7976973684210509E-2</v>
      </c>
      <c r="CI50" s="264">
        <f t="shared" si="83"/>
        <v>-4.242681374628765E-2</v>
      </c>
      <c r="CJ50" s="264">
        <f t="shared" si="83"/>
        <v>-6.1491495856956013E-2</v>
      </c>
      <c r="CK50" s="264">
        <f t="shared" si="84"/>
        <v>-4.6971027216856975E-2</v>
      </c>
      <c r="CL50" s="264">
        <f t="shared" si="84"/>
        <v>-9.1663029244870575E-3</v>
      </c>
      <c r="CM50" s="264">
        <f t="shared" si="84"/>
        <v>-3.32299512627382E-2</v>
      </c>
      <c r="CN50" s="264">
        <f t="shared" si="84"/>
        <v>2.4163568773234223E-2</v>
      </c>
      <c r="CO50" s="264">
        <f t="shared" si="84"/>
        <v>-1.2897282358360074E-2</v>
      </c>
      <c r="CP50" s="264">
        <f t="shared" si="84"/>
        <v>-5.6828193832599183E-2</v>
      </c>
      <c r="CQ50" s="264">
        <f t="shared" si="84"/>
        <v>-2.6581118240146528E-2</v>
      </c>
      <c r="CR50" s="264">
        <f t="shared" si="84"/>
        <v>-5.2631578947368363E-2</v>
      </c>
      <c r="CS50" s="264">
        <f t="shared" si="84"/>
        <v>-2.8931404573028563E-2</v>
      </c>
      <c r="CT50" s="264">
        <f t="shared" si="84"/>
        <v>1.1209715086408334E-2</v>
      </c>
      <c r="CU50" s="264">
        <f t="shared" si="85"/>
        <v>1.836158192090398E-2</v>
      </c>
      <c r="CV50" s="264">
        <f t="shared" si="85"/>
        <v>2.0593869731800662E-2</v>
      </c>
      <c r="CW50" s="264">
        <f t="shared" si="85"/>
        <v>3.1715521383949952E-2</v>
      </c>
      <c r="CX50" s="264">
        <f t="shared" si="85"/>
        <v>1.2009237875288736E-2</v>
      </c>
      <c r="CY50" s="264">
        <f t="shared" si="85"/>
        <v>5.6865464632454898E-2</v>
      </c>
      <c r="CZ50" s="264">
        <f t="shared" si="85"/>
        <v>9.1506335053965326E-2</v>
      </c>
      <c r="DA50" s="264">
        <f t="shared" si="85"/>
        <v>8.1974848625989916E-2</v>
      </c>
      <c r="DB50" s="264">
        <f t="shared" si="85"/>
        <v>8.3523505248744856E-2</v>
      </c>
      <c r="DC50" s="264">
        <f t="shared" si="85"/>
        <v>5.7742782152230943E-2</v>
      </c>
      <c r="DD50" s="264">
        <f t="shared" si="85"/>
        <v>4.2992261392948983E-3</v>
      </c>
      <c r="DE50" s="264">
        <f t="shared" si="86"/>
        <v>-3.0133448127421802E-3</v>
      </c>
      <c r="DF50" s="264">
        <f t="shared" si="86"/>
        <v>-3.5383319292333626E-2</v>
      </c>
      <c r="DG50" s="264">
        <f t="shared" si="86"/>
        <v>-5.5004135649296959E-2</v>
      </c>
      <c r="DH50" s="264">
        <f t="shared" si="86"/>
        <v>-3.210616438356162E-2</v>
      </c>
      <c r="DI50" s="264">
        <f t="shared" si="86"/>
        <v>-3.3246977547495615E-2</v>
      </c>
      <c r="DJ50" s="264">
        <f t="shared" si="86"/>
        <v>1.1790393013100475E-2</v>
      </c>
      <c r="DK50" s="467">
        <f t="shared" si="86"/>
        <v>2.1881838074397919E-3</v>
      </c>
      <c r="DL50" s="467">
        <f t="shared" si="86"/>
        <v>2.0344980097302123E-2</v>
      </c>
      <c r="DM50" s="467">
        <f t="shared" si="86"/>
        <v>2.4117909781152358E-2</v>
      </c>
      <c r="DN50" s="467">
        <f t="shared" si="86"/>
        <v>4.747518342684609E-3</v>
      </c>
      <c r="DO50" s="467">
        <f t="shared" si="87"/>
        <v>2.1397379912663883E-2</v>
      </c>
      <c r="DP50" s="467">
        <f t="shared" si="87"/>
        <v>8.6692674469006636E-3</v>
      </c>
      <c r="DQ50" s="467">
        <f t="shared" si="87"/>
        <v>1.3519406890536434E-2</v>
      </c>
      <c r="DR50" s="467">
        <f t="shared" si="87"/>
        <v>3.3934707903779948E-2</v>
      </c>
      <c r="DS50" s="467">
        <f t="shared" si="87"/>
        <v>1.9666524155621978E-2</v>
      </c>
      <c r="DT50" s="467">
        <f t="shared" si="87"/>
        <v>2.7932960893854775E-2</v>
      </c>
      <c r="DU50" s="803">
        <f t="shared" si="87"/>
        <v>3.7005163511187655E-2</v>
      </c>
      <c r="DV50" s="803">
        <f t="shared" si="87"/>
        <v>1.8903199002908266E-2</v>
      </c>
      <c r="DW50" s="803">
        <f t="shared" si="87"/>
        <v>-1</v>
      </c>
      <c r="DX50" s="803">
        <f t="shared" si="87"/>
        <v>-1</v>
      </c>
      <c r="DY50" s="803">
        <f t="shared" si="88"/>
        <v>-1</v>
      </c>
      <c r="DZ50" s="803">
        <f t="shared" si="88"/>
        <v>-1</v>
      </c>
      <c r="EA50" s="803" t="e">
        <f t="shared" si="88"/>
        <v>#DIV/0!</v>
      </c>
      <c r="EB50" s="1033"/>
      <c r="EC50" s="1033"/>
      <c r="ED50" s="1033"/>
      <c r="EF50" s="161"/>
      <c r="EH50" s="161"/>
      <c r="EM50" s="161"/>
      <c r="EN50" s="161"/>
      <c r="EO50" s="161"/>
      <c r="EP50" s="161"/>
      <c r="FL50" s="271">
        <v>233</v>
      </c>
      <c r="FM50" s="280">
        <v>232</v>
      </c>
      <c r="FN50" s="280">
        <v>232</v>
      </c>
      <c r="FO50" s="436">
        <v>234.22639747858452</v>
      </c>
      <c r="FP50" s="264">
        <v>5.6350238404854203E-3</v>
      </c>
      <c r="FQ50" s="264">
        <v>1.1774967291757532E-2</v>
      </c>
      <c r="FR50" s="432">
        <v>6.1271369355004879E-3</v>
      </c>
      <c r="FS50" s="648">
        <v>238.58064915349817</v>
      </c>
      <c r="FT50" s="641">
        <v>2.527137582079142E-2</v>
      </c>
      <c r="FU50" s="675">
        <v>242.30151381737272</v>
      </c>
      <c r="FV50" s="668">
        <v>4.2605481141879231E-2</v>
      </c>
      <c r="FW50" s="689">
        <v>251.7088360350273</v>
      </c>
      <c r="FX50" s="668">
        <v>4.5736751288023791E-2</v>
      </c>
      <c r="FY50" s="757"/>
      <c r="FZ50" s="749">
        <v>-1</v>
      </c>
      <c r="GA50" s="789"/>
      <c r="GB50" s="789"/>
      <c r="GC50" s="808"/>
      <c r="GD50" s="789"/>
      <c r="GE50" s="808"/>
    </row>
    <row r="51" spans="1:187" outlineLevel="1">
      <c r="A51" s="161"/>
      <c r="B51" s="161" t="s">
        <v>38</v>
      </c>
      <c r="C51" s="161"/>
      <c r="D51" s="161"/>
      <c r="E51" s="161"/>
      <c r="F51" s="161"/>
      <c r="G51" s="161"/>
      <c r="H51" s="161"/>
      <c r="I51" s="161">
        <v>193.2</v>
      </c>
      <c r="J51" s="161"/>
      <c r="K51" s="161"/>
      <c r="L51" s="161">
        <v>214</v>
      </c>
      <c r="M51" s="161">
        <v>215.6</v>
      </c>
      <c r="N51" s="161">
        <v>218.8</v>
      </c>
      <c r="O51" s="161">
        <v>223.9</v>
      </c>
      <c r="P51" s="161">
        <v>210.6</v>
      </c>
      <c r="Q51" s="161">
        <v>198.6</v>
      </c>
      <c r="R51" s="161">
        <v>196</v>
      </c>
      <c r="S51" s="161">
        <v>190.1</v>
      </c>
      <c r="T51" s="161">
        <v>195.7</v>
      </c>
      <c r="U51" s="161">
        <v>204.5</v>
      </c>
      <c r="V51" s="161">
        <v>199.8</v>
      </c>
      <c r="W51" s="161">
        <v>201.3</v>
      </c>
      <c r="X51" s="277">
        <v>190.1</v>
      </c>
      <c r="Y51" s="277">
        <v>194</v>
      </c>
      <c r="Z51" s="277">
        <v>179.9</v>
      </c>
      <c r="AA51" s="277">
        <v>180.1</v>
      </c>
      <c r="AB51" s="277">
        <v>185.8</v>
      </c>
      <c r="AC51" s="277">
        <v>179.3</v>
      </c>
      <c r="AD51" s="277">
        <v>179.2</v>
      </c>
      <c r="AE51" s="277">
        <v>188.2</v>
      </c>
      <c r="AF51" s="277">
        <v>188.2</v>
      </c>
      <c r="AG51" s="277">
        <v>188.1</v>
      </c>
      <c r="AH51" s="277">
        <v>180.5</v>
      </c>
      <c r="AI51" s="277">
        <v>180.4</v>
      </c>
      <c r="AJ51" s="277">
        <v>178.4</v>
      </c>
      <c r="AK51" s="277">
        <v>178.7</v>
      </c>
      <c r="AL51" s="277">
        <v>175.2</v>
      </c>
      <c r="AM51" s="277">
        <v>177.2</v>
      </c>
      <c r="AN51" s="277">
        <v>181.9</v>
      </c>
      <c r="AO51" s="277">
        <v>179.3</v>
      </c>
      <c r="AP51" s="277">
        <v>178.2</v>
      </c>
      <c r="AQ51" s="277">
        <v>179.8</v>
      </c>
      <c r="AR51" s="279">
        <v>182</v>
      </c>
      <c r="AS51" s="277">
        <v>182.7</v>
      </c>
      <c r="AT51" s="277">
        <v>181.9</v>
      </c>
      <c r="AU51" s="279">
        <v>185</v>
      </c>
      <c r="AV51" s="277">
        <v>186.2</v>
      </c>
      <c r="AW51" s="277">
        <v>181.9</v>
      </c>
      <c r="AX51" s="279">
        <v>181</v>
      </c>
      <c r="AY51" s="279">
        <v>182.1</v>
      </c>
      <c r="AZ51" s="279">
        <v>185.5</v>
      </c>
      <c r="BA51" s="279">
        <v>187</v>
      </c>
      <c r="BB51" s="279">
        <v>185.7</v>
      </c>
      <c r="BC51" s="279">
        <v>187.6</v>
      </c>
      <c r="BD51" s="279">
        <v>188.4</v>
      </c>
      <c r="BE51" s="279">
        <v>194</v>
      </c>
      <c r="BF51" s="279">
        <v>187.8</v>
      </c>
      <c r="BG51" s="279">
        <v>188.2</v>
      </c>
      <c r="BH51" s="279">
        <v>189.3</v>
      </c>
      <c r="BI51" s="279">
        <v>192.3</v>
      </c>
      <c r="BJ51" s="279">
        <v>193.4</v>
      </c>
      <c r="BK51" s="279">
        <v>197.6</v>
      </c>
      <c r="BL51" s="279">
        <v>198.7</v>
      </c>
      <c r="BM51" s="279">
        <v>202.9</v>
      </c>
      <c r="BN51" s="773">
        <v>205</v>
      </c>
      <c r="BO51" s="773">
        <v>210</v>
      </c>
      <c r="BP51" s="281"/>
      <c r="BQ51" s="281"/>
      <c r="BR51" s="281"/>
      <c r="BS51" s="281"/>
      <c r="BT51" s="281"/>
      <c r="BU51" s="789"/>
      <c r="BV51" s="789"/>
      <c r="BW51" s="789"/>
      <c r="BX51" s="789"/>
      <c r="BY51" s="161"/>
      <c r="BZ51" s="161"/>
      <c r="CA51" s="264">
        <f t="shared" si="83"/>
        <v>-7.0750237416904116E-2</v>
      </c>
      <c r="CB51" s="264">
        <f t="shared" si="83"/>
        <v>2.9707955689828758E-2</v>
      </c>
      <c r="CC51" s="264">
        <f t="shared" si="83"/>
        <v>1.9387755102040938E-2</v>
      </c>
      <c r="CD51" s="264">
        <f t="shared" si="83"/>
        <v>5.8916359810626151E-2</v>
      </c>
      <c r="CE51" s="264">
        <f t="shared" si="83"/>
        <v>-2.8615227388860465E-2</v>
      </c>
      <c r="CF51" s="264">
        <f t="shared" si="83"/>
        <v>-5.1344743276283578E-2</v>
      </c>
      <c r="CG51" s="264">
        <f t="shared" si="83"/>
        <v>-9.9599599599599631E-2</v>
      </c>
      <c r="CH51" s="264">
        <f t="shared" si="83"/>
        <v>-0.10531544957774475</v>
      </c>
      <c r="CI51" s="264">
        <f t="shared" si="83"/>
        <v>-2.2619673855865274E-2</v>
      </c>
      <c r="CJ51" s="264">
        <f t="shared" si="83"/>
        <v>-7.5773195876288613E-2</v>
      </c>
      <c r="CK51" s="264">
        <f t="shared" si="84"/>
        <v>-3.8910505836576847E-3</v>
      </c>
      <c r="CL51" s="264">
        <f t="shared" si="84"/>
        <v>4.4975013881177084E-2</v>
      </c>
      <c r="CM51" s="264">
        <f t="shared" si="84"/>
        <v>1.2917115177610183E-2</v>
      </c>
      <c r="CN51" s="264">
        <f t="shared" si="84"/>
        <v>4.9079754601226933E-2</v>
      </c>
      <c r="CO51" s="264">
        <f t="shared" si="84"/>
        <v>7.2544642857144126E-3</v>
      </c>
      <c r="CP51" s="264">
        <f t="shared" si="84"/>
        <v>-4.144527098831019E-2</v>
      </c>
      <c r="CQ51" s="264">
        <f t="shared" si="84"/>
        <v>-5.207226354941541E-2</v>
      </c>
      <c r="CR51" s="264">
        <f t="shared" si="84"/>
        <v>-4.9973418394471003E-2</v>
      </c>
      <c r="CS51" s="264">
        <f t="shared" si="84"/>
        <v>-2.936288088642669E-2</v>
      </c>
      <c r="CT51" s="264">
        <f t="shared" si="84"/>
        <v>-1.7738359201773912E-2</v>
      </c>
      <c r="CU51" s="264">
        <f t="shared" si="85"/>
        <v>1.9618834080717518E-2</v>
      </c>
      <c r="CV51" s="264">
        <f t="shared" si="85"/>
        <v>3.357582540570947E-3</v>
      </c>
      <c r="CW51" s="264">
        <f t="shared" si="85"/>
        <v>1.7123287671232834E-2</v>
      </c>
      <c r="CX51" s="264">
        <f t="shared" si="85"/>
        <v>1.4672686230248422E-2</v>
      </c>
      <c r="CY51" s="264">
        <f t="shared" si="85"/>
        <v>5.4975261132494957E-4</v>
      </c>
      <c r="CZ51" s="264">
        <f t="shared" si="85"/>
        <v>1.8962632459564865E-2</v>
      </c>
      <c r="DA51" s="264">
        <f t="shared" si="85"/>
        <v>2.0763187429854169E-2</v>
      </c>
      <c r="DB51" s="264">
        <f t="shared" si="85"/>
        <v>2.8921023359288034E-2</v>
      </c>
      <c r="DC51" s="264">
        <f t="shared" si="85"/>
        <v>2.3076923076922995E-2</v>
      </c>
      <c r="DD51" s="264">
        <f t="shared" si="85"/>
        <v>-4.3787629994526123E-3</v>
      </c>
      <c r="DE51" s="264">
        <f t="shared" si="86"/>
        <v>-4.9477735019242131E-3</v>
      </c>
      <c r="DF51" s="264">
        <f t="shared" si="86"/>
        <v>-1.5675675675675738E-2</v>
      </c>
      <c r="DG51" s="264">
        <f t="shared" si="86"/>
        <v>-3.759398496240518E-3</v>
      </c>
      <c r="DH51" s="264">
        <f t="shared" si="86"/>
        <v>2.8037383177569986E-2</v>
      </c>
      <c r="DI51" s="264">
        <f t="shared" si="86"/>
        <v>2.5966850828729182E-2</v>
      </c>
      <c r="DJ51" s="264">
        <f t="shared" si="86"/>
        <v>3.0203185063152116E-2</v>
      </c>
      <c r="DK51" s="467">
        <f t="shared" si="86"/>
        <v>1.563342318059302E-2</v>
      </c>
      <c r="DL51" s="467">
        <f t="shared" si="86"/>
        <v>3.7433155080213831E-2</v>
      </c>
      <c r="DM51" s="467">
        <f t="shared" si="86"/>
        <v>1.1308562197092309E-2</v>
      </c>
      <c r="DN51" s="467">
        <f t="shared" si="86"/>
        <v>3.1982942430703876E-3</v>
      </c>
      <c r="DO51" s="467">
        <f t="shared" si="87"/>
        <v>4.7770700636942109E-3</v>
      </c>
      <c r="DP51" s="467">
        <f t="shared" si="87"/>
        <v>-8.7628865979381132E-3</v>
      </c>
      <c r="DQ51" s="467">
        <f t="shared" si="87"/>
        <v>2.9818956336528091E-2</v>
      </c>
      <c r="DR51" s="467">
        <f t="shared" si="87"/>
        <v>4.9946865037194588E-2</v>
      </c>
      <c r="DS51" s="467">
        <f t="shared" si="87"/>
        <v>4.9656629688325182E-2</v>
      </c>
      <c r="DT51" s="467">
        <f t="shared" si="87"/>
        <v>5.5122204888195414E-2</v>
      </c>
      <c r="DU51" s="803">
        <f t="shared" si="87"/>
        <v>5.9979317476732241E-2</v>
      </c>
      <c r="DV51" s="803">
        <f t="shared" si="87"/>
        <v>6.2753036437247056E-2</v>
      </c>
      <c r="DW51" s="803">
        <f t="shared" si="87"/>
        <v>-1</v>
      </c>
      <c r="DX51" s="803">
        <f t="shared" si="87"/>
        <v>-1</v>
      </c>
      <c r="DY51" s="803">
        <f t="shared" si="88"/>
        <v>-1</v>
      </c>
      <c r="DZ51" s="803">
        <f t="shared" si="88"/>
        <v>-1</v>
      </c>
      <c r="EA51" s="803" t="e">
        <f t="shared" si="88"/>
        <v>#DIV/0!</v>
      </c>
      <c r="EB51" s="1033"/>
      <c r="EC51" s="1033"/>
      <c r="ED51" s="1033"/>
      <c r="EF51" s="161"/>
      <c r="EH51" s="161"/>
      <c r="EM51" s="161"/>
      <c r="EN51" s="161"/>
      <c r="EO51" s="161"/>
      <c r="EP51" s="161"/>
      <c r="FL51" s="271">
        <v>188</v>
      </c>
      <c r="FM51" s="280">
        <v>190</v>
      </c>
      <c r="FN51" s="280">
        <v>190</v>
      </c>
      <c r="FO51" s="436">
        <v>194.75301311310156</v>
      </c>
      <c r="FP51" s="264">
        <v>-2.0618556701030966E-2</v>
      </c>
      <c r="FQ51" s="264">
        <v>1.1714589989350266E-2</v>
      </c>
      <c r="FR51" s="432">
        <v>3.4819410802877648E-2</v>
      </c>
      <c r="FS51" s="648">
        <v>202.31112132557485</v>
      </c>
      <c r="FT51" s="641">
        <v>5.2059913289520754E-2</v>
      </c>
      <c r="FU51" s="675">
        <v>205.7685486822333</v>
      </c>
      <c r="FV51" s="668">
        <v>6.3953198977421355E-2</v>
      </c>
      <c r="FW51" s="689">
        <v>206.70585694838073</v>
      </c>
      <c r="FX51" s="668">
        <v>4.6082272005975478E-2</v>
      </c>
      <c r="FY51" s="757"/>
      <c r="FZ51" s="749">
        <v>-1</v>
      </c>
      <c r="GA51" s="789"/>
      <c r="GB51" s="789"/>
      <c r="GC51" s="808"/>
      <c r="GD51" s="789"/>
      <c r="GE51" s="808"/>
    </row>
    <row r="52" spans="1:187" outlineLevel="1">
      <c r="A52" s="161"/>
      <c r="B52" s="161" t="s">
        <v>40</v>
      </c>
      <c r="C52" s="161"/>
      <c r="D52" s="161"/>
      <c r="E52" s="161"/>
      <c r="F52" s="161"/>
      <c r="G52" s="161"/>
      <c r="H52" s="161"/>
      <c r="I52" s="161">
        <v>186.2</v>
      </c>
      <c r="J52" s="161"/>
      <c r="K52" s="161"/>
      <c r="L52" s="161">
        <v>211.5</v>
      </c>
      <c r="M52" s="161">
        <v>211.5</v>
      </c>
      <c r="N52" s="161">
        <v>196.9</v>
      </c>
      <c r="O52" s="161">
        <v>198.7</v>
      </c>
      <c r="P52" s="161">
        <v>194.5</v>
      </c>
      <c r="Q52" s="161">
        <v>181.8</v>
      </c>
      <c r="R52" s="161">
        <v>180</v>
      </c>
      <c r="S52" s="161">
        <v>172.9</v>
      </c>
      <c r="T52" s="161">
        <v>175.9</v>
      </c>
      <c r="U52" s="161">
        <v>182.4</v>
      </c>
      <c r="V52" s="161">
        <v>184.1</v>
      </c>
      <c r="W52" s="161">
        <v>182.1</v>
      </c>
      <c r="X52" s="161">
        <v>168.1</v>
      </c>
      <c r="Y52" s="277">
        <v>165.7</v>
      </c>
      <c r="Z52" s="279">
        <v>163</v>
      </c>
      <c r="AA52" s="277">
        <v>154.6</v>
      </c>
      <c r="AB52" s="277">
        <v>149.30000000000001</v>
      </c>
      <c r="AC52" s="277">
        <v>140.69999999999999</v>
      </c>
      <c r="AD52" s="277">
        <v>139.9</v>
      </c>
      <c r="AE52" s="277">
        <v>130.69999999999999</v>
      </c>
      <c r="AF52" s="277">
        <v>125.2</v>
      </c>
      <c r="AG52" s="277">
        <v>130.1</v>
      </c>
      <c r="AH52" s="277">
        <v>126.2</v>
      </c>
      <c r="AI52" s="277">
        <v>120.1</v>
      </c>
      <c r="AJ52" s="277">
        <v>117.1</v>
      </c>
      <c r="AK52" s="277">
        <v>109.8</v>
      </c>
      <c r="AL52" s="279">
        <v>102</v>
      </c>
      <c r="AM52" s="279">
        <v>94.2</v>
      </c>
      <c r="AN52" s="279">
        <v>85.8</v>
      </c>
      <c r="AO52" s="279">
        <v>85.8</v>
      </c>
      <c r="AP52" s="279">
        <v>84.7</v>
      </c>
      <c r="AQ52" s="279">
        <v>81</v>
      </c>
      <c r="AR52" s="279">
        <v>66.5</v>
      </c>
      <c r="AS52" s="279">
        <v>67.599999999999994</v>
      </c>
      <c r="AT52" s="279">
        <v>66.2</v>
      </c>
      <c r="AU52" s="279">
        <v>67.5</v>
      </c>
      <c r="AV52" s="279">
        <v>68.099999999999994</v>
      </c>
      <c r="AW52" s="279">
        <v>65</v>
      </c>
      <c r="AX52" s="279">
        <v>64.3</v>
      </c>
      <c r="AY52" s="279">
        <v>64.400000000000006</v>
      </c>
      <c r="AZ52" s="279">
        <v>68.3</v>
      </c>
      <c r="BA52" s="279">
        <v>69.2</v>
      </c>
      <c r="BB52" s="279">
        <v>68.400000000000006</v>
      </c>
      <c r="BC52" s="279">
        <v>69.900000000000006</v>
      </c>
      <c r="BD52" s="279">
        <v>71.099999999999994</v>
      </c>
      <c r="BE52" s="279">
        <v>67.599999999999994</v>
      </c>
      <c r="BF52" s="279">
        <v>60.1</v>
      </c>
      <c r="BG52" s="279">
        <v>59.9</v>
      </c>
      <c r="BH52" s="279">
        <v>59.2</v>
      </c>
      <c r="BI52" s="279">
        <v>58.1</v>
      </c>
      <c r="BJ52" s="279">
        <v>55.5</v>
      </c>
      <c r="BK52" s="279">
        <v>54.9</v>
      </c>
      <c r="BL52" s="279">
        <v>55.1</v>
      </c>
      <c r="BM52" s="279">
        <v>55.3</v>
      </c>
      <c r="BN52" s="773">
        <v>53.5</v>
      </c>
      <c r="BO52" s="773">
        <v>53.5</v>
      </c>
      <c r="BP52" s="281"/>
      <c r="BQ52" s="281"/>
      <c r="BR52" s="281"/>
      <c r="BS52" s="281"/>
      <c r="BT52" s="281"/>
      <c r="BU52" s="789"/>
      <c r="BV52" s="789"/>
      <c r="BW52" s="789"/>
      <c r="BX52" s="789"/>
      <c r="BY52" s="161"/>
      <c r="BZ52" s="161"/>
      <c r="CA52" s="264">
        <f t="shared" si="83"/>
        <v>-9.562982005141385E-2</v>
      </c>
      <c r="CB52" s="264">
        <f t="shared" si="83"/>
        <v>3.3003300330032292E-3</v>
      </c>
      <c r="CC52" s="264">
        <f t="shared" si="83"/>
        <v>2.2777777777777786E-2</v>
      </c>
      <c r="CD52" s="264">
        <f t="shared" si="83"/>
        <v>5.3209947946790015E-2</v>
      </c>
      <c r="CE52" s="264">
        <f t="shared" si="83"/>
        <v>-4.4343376918703825E-2</v>
      </c>
      <c r="CF52" s="264">
        <f t="shared" si="83"/>
        <v>-9.1557017543859698E-2</v>
      </c>
      <c r="CG52" s="264">
        <f t="shared" si="83"/>
        <v>-0.1146116241173275</v>
      </c>
      <c r="CH52" s="264">
        <f t="shared" si="83"/>
        <v>-0.15101592531576058</v>
      </c>
      <c r="CI52" s="264">
        <f t="shared" si="83"/>
        <v>-0.11183819155264718</v>
      </c>
      <c r="CJ52" s="264">
        <f t="shared" si="83"/>
        <v>-0.15087507543753775</v>
      </c>
      <c r="CK52" s="264">
        <f t="shared" si="84"/>
        <v>-0.1417177914110429</v>
      </c>
      <c r="CL52" s="264">
        <f t="shared" si="84"/>
        <v>-0.15459249676584741</v>
      </c>
      <c r="CM52" s="264">
        <f t="shared" si="84"/>
        <v>-0.16141995981245816</v>
      </c>
      <c r="CN52" s="264">
        <f t="shared" si="84"/>
        <v>-7.5337597725657401E-2</v>
      </c>
      <c r="CO52" s="264">
        <f t="shared" si="84"/>
        <v>-9.7927090779127979E-2</v>
      </c>
      <c r="CP52" s="264">
        <f t="shared" si="84"/>
        <v>-8.1101759755164426E-2</v>
      </c>
      <c r="CQ52" s="264">
        <f t="shared" si="84"/>
        <v>-6.469648562300323E-2</v>
      </c>
      <c r="CR52" s="264">
        <f t="shared" si="84"/>
        <v>-0.15603382013835509</v>
      </c>
      <c r="CS52" s="264">
        <f t="shared" si="84"/>
        <v>-0.19175911251980982</v>
      </c>
      <c r="CT52" s="264">
        <f t="shared" si="84"/>
        <v>-0.21565362198168192</v>
      </c>
      <c r="CU52" s="264">
        <f t="shared" si="85"/>
        <v>-0.26729291204099059</v>
      </c>
      <c r="CV52" s="264">
        <f t="shared" si="85"/>
        <v>-0.21857923497267762</v>
      </c>
      <c r="CW52" s="264">
        <f t="shared" si="85"/>
        <v>-0.16960784313725485</v>
      </c>
      <c r="CX52" s="264">
        <f t="shared" si="85"/>
        <v>-0.14012738853503193</v>
      </c>
      <c r="CY52" s="264">
        <f t="shared" si="85"/>
        <v>-0.22494172494172493</v>
      </c>
      <c r="CZ52" s="264">
        <f t="shared" si="85"/>
        <v>-0.21212121212121215</v>
      </c>
      <c r="DA52" s="264">
        <f t="shared" si="85"/>
        <v>-0.21841794569067297</v>
      </c>
      <c r="DB52" s="264">
        <f t="shared" si="85"/>
        <v>-0.16666666666666663</v>
      </c>
      <c r="DC52" s="264">
        <f t="shared" si="85"/>
        <v>2.4060150375939671E-2</v>
      </c>
      <c r="DD52" s="264">
        <f t="shared" si="85"/>
        <v>-3.8461538461538436E-2</v>
      </c>
      <c r="DE52" s="264">
        <f t="shared" si="86"/>
        <v>-2.8700906344410915E-2</v>
      </c>
      <c r="DF52" s="264">
        <f t="shared" si="86"/>
        <v>-4.5925925925925815E-2</v>
      </c>
      <c r="DG52" s="264">
        <f t="shared" si="86"/>
        <v>2.936857562408246E-3</v>
      </c>
      <c r="DH52" s="264">
        <f t="shared" si="86"/>
        <v>6.4615384615384741E-2</v>
      </c>
      <c r="DI52" s="264">
        <f t="shared" si="86"/>
        <v>6.3763608087091805E-2</v>
      </c>
      <c r="DJ52" s="264">
        <f t="shared" si="86"/>
        <v>8.5403726708074501E-2</v>
      </c>
      <c r="DK52" s="467">
        <f t="shared" si="86"/>
        <v>4.0995607613469875E-2</v>
      </c>
      <c r="DL52" s="467">
        <f t="shared" si="86"/>
        <v>-2.3121387283237094E-2</v>
      </c>
      <c r="DM52" s="467">
        <f t="shared" si="86"/>
        <v>-0.12134502923976609</v>
      </c>
      <c r="DN52" s="467">
        <f t="shared" si="86"/>
        <v>-0.14306151645207443</v>
      </c>
      <c r="DO52" s="467">
        <f t="shared" si="87"/>
        <v>-0.16736990154711662</v>
      </c>
      <c r="DP52" s="467">
        <f t="shared" si="87"/>
        <v>-0.14053254437869811</v>
      </c>
      <c r="DQ52" s="467">
        <f t="shared" si="87"/>
        <v>-7.6539101497504203E-2</v>
      </c>
      <c r="DR52" s="467">
        <f t="shared" si="87"/>
        <v>-8.347245409015025E-2</v>
      </c>
      <c r="DS52" s="467">
        <f t="shared" si="87"/>
        <v>-6.9256756756756799E-2</v>
      </c>
      <c r="DT52" s="467">
        <f t="shared" si="87"/>
        <v>-4.8192771084337394E-2</v>
      </c>
      <c r="DU52" s="803">
        <f t="shared" si="87"/>
        <v>-3.6036036036036001E-2</v>
      </c>
      <c r="DV52" s="803">
        <f t="shared" si="87"/>
        <v>-2.5500910746812377E-2</v>
      </c>
      <c r="DW52" s="803">
        <f t="shared" si="87"/>
        <v>-1</v>
      </c>
      <c r="DX52" s="803">
        <f t="shared" si="87"/>
        <v>-1</v>
      </c>
      <c r="DY52" s="803">
        <f t="shared" si="88"/>
        <v>-1</v>
      </c>
      <c r="DZ52" s="803">
        <f t="shared" si="88"/>
        <v>-1</v>
      </c>
      <c r="EA52" s="803" t="e">
        <f t="shared" si="88"/>
        <v>#DIV/0!</v>
      </c>
      <c r="EB52" s="1033"/>
      <c r="EC52" s="1033"/>
      <c r="ED52" s="1033"/>
      <c r="EF52" s="161"/>
      <c r="EH52" s="161"/>
      <c r="EM52" s="161"/>
      <c r="EN52" s="161"/>
      <c r="EO52" s="161"/>
      <c r="EP52" s="161"/>
      <c r="FL52" s="271">
        <v>58</v>
      </c>
      <c r="FM52" s="280">
        <v>57</v>
      </c>
      <c r="FN52" s="280">
        <v>51</v>
      </c>
      <c r="FO52" s="436">
        <v>55.65816003396553</v>
      </c>
      <c r="FP52" s="264">
        <v>-0.15680473372781056</v>
      </c>
      <c r="FQ52" s="264">
        <v>-0.15141430948419299</v>
      </c>
      <c r="FR52" s="432">
        <v>-7.0815358364515357E-2</v>
      </c>
      <c r="FS52" s="648">
        <v>54.655257728022512</v>
      </c>
      <c r="FT52" s="641">
        <v>-5.9289884199268283E-2</v>
      </c>
      <c r="FU52" s="675">
        <v>52.817920969676663</v>
      </c>
      <c r="FV52" s="668">
        <v>-4.8325748294114179E-2</v>
      </c>
      <c r="FW52" s="689">
        <v>53.611390389013465</v>
      </c>
      <c r="FX52" s="668">
        <v>-2.3471941912323047E-2</v>
      </c>
      <c r="FY52" s="757"/>
      <c r="FZ52" s="749">
        <v>-1</v>
      </c>
      <c r="GA52" s="789"/>
      <c r="GB52" s="789"/>
      <c r="GC52" s="808"/>
      <c r="GD52" s="789"/>
      <c r="GE52" s="808"/>
    </row>
    <row r="53" spans="1:187" outlineLevel="1">
      <c r="A53" s="161"/>
      <c r="B53" s="282" t="s">
        <v>449</v>
      </c>
      <c r="C53" s="161"/>
      <c r="D53" s="161"/>
      <c r="E53" s="161"/>
      <c r="F53" s="161"/>
      <c r="G53" s="161"/>
      <c r="H53" s="161"/>
      <c r="I53" s="282">
        <v>28.5</v>
      </c>
      <c r="J53" s="161"/>
      <c r="K53" s="161"/>
      <c r="L53" s="282">
        <v>22.8</v>
      </c>
      <c r="M53" s="282">
        <v>23.6</v>
      </c>
      <c r="N53" s="282">
        <v>21.7</v>
      </c>
      <c r="O53" s="282">
        <v>21.2</v>
      </c>
      <c r="P53" s="282">
        <v>21.1</v>
      </c>
      <c r="Q53" s="282">
        <v>20.7</v>
      </c>
      <c r="R53" s="282">
        <v>21.6</v>
      </c>
      <c r="S53" s="282">
        <v>21.5</v>
      </c>
      <c r="T53" s="282">
        <v>24.2</v>
      </c>
      <c r="U53" s="282">
        <v>18.600000000000001</v>
      </c>
      <c r="V53" s="282">
        <v>25.8</v>
      </c>
      <c r="W53" s="282">
        <v>48.6</v>
      </c>
      <c r="X53" s="282">
        <v>41.6</v>
      </c>
      <c r="Y53" s="282">
        <v>45.1</v>
      </c>
      <c r="Z53" s="283">
        <v>48.3</v>
      </c>
      <c r="AA53" s="283"/>
      <c r="AB53" s="161"/>
      <c r="AC53" s="161"/>
      <c r="AD53" s="161"/>
      <c r="AE53" s="161"/>
      <c r="AF53" s="161"/>
      <c r="AG53" s="161"/>
      <c r="AH53" s="263"/>
      <c r="AI53" s="263"/>
      <c r="AJ53" s="263"/>
      <c r="AK53" s="263"/>
      <c r="AL53" s="263"/>
      <c r="AM53" s="263"/>
      <c r="AN53" s="263"/>
      <c r="AO53" s="263"/>
      <c r="AP53" s="263"/>
      <c r="AQ53" s="263"/>
      <c r="AR53" s="263"/>
      <c r="AS53" s="263"/>
      <c r="AT53" s="263"/>
      <c r="AU53" s="263"/>
      <c r="AV53" s="263"/>
      <c r="AW53" s="263"/>
      <c r="AX53" s="263"/>
      <c r="AY53" s="263"/>
      <c r="AZ53" s="263"/>
      <c r="BA53" s="263"/>
      <c r="BB53" s="263"/>
      <c r="BC53" s="263"/>
      <c r="BD53" s="263">
        <f t="shared" ref="BD53:BO53" si="89">(BD67+BD68+BD69)/AVERAGE(BC32,BD32)/3*1000</f>
        <v>421.58844477233521</v>
      </c>
      <c r="BE53" s="263">
        <f t="shared" si="89"/>
        <v>426.53259218544633</v>
      </c>
      <c r="BF53" s="263">
        <f t="shared" si="89"/>
        <v>414.59510496219292</v>
      </c>
      <c r="BG53" s="263">
        <f t="shared" si="89"/>
        <v>418.05123181588925</v>
      </c>
      <c r="BH53" s="263">
        <f t="shared" si="89"/>
        <v>419.27671334306126</v>
      </c>
      <c r="BI53" s="263">
        <f t="shared" si="89"/>
        <v>419.93030131669445</v>
      </c>
      <c r="BJ53" s="263">
        <f t="shared" si="89"/>
        <v>418.04254578103314</v>
      </c>
      <c r="BK53" s="263">
        <f t="shared" si="89"/>
        <v>426.13060254689788</v>
      </c>
      <c r="BL53" s="263">
        <f t="shared" si="89"/>
        <v>422.1350337415455</v>
      </c>
      <c r="BM53" s="263">
        <f t="shared" si="89"/>
        <v>422.48655539111769</v>
      </c>
      <c r="BN53" s="772">
        <f t="shared" si="89"/>
        <v>418.91028774621202</v>
      </c>
      <c r="BO53" s="773">
        <f t="shared" si="89"/>
        <v>421.63499354622712</v>
      </c>
      <c r="BP53" s="266"/>
      <c r="BQ53" s="266"/>
      <c r="BR53" s="266"/>
      <c r="BS53" s="266"/>
      <c r="BT53" s="266"/>
      <c r="BU53" s="790"/>
      <c r="BV53" s="790"/>
      <c r="BW53" s="790"/>
      <c r="BX53" s="790"/>
      <c r="BY53" s="161"/>
      <c r="BZ53" s="161"/>
      <c r="CA53" s="264"/>
      <c r="CB53" s="264"/>
      <c r="CC53" s="264"/>
      <c r="CD53" s="264"/>
      <c r="CE53" s="264"/>
      <c r="CF53" s="264"/>
      <c r="CG53" s="264"/>
      <c r="CH53" s="264"/>
      <c r="CI53" s="161"/>
      <c r="CJ53" s="161"/>
      <c r="CK53" s="161"/>
      <c r="CL53" s="161"/>
      <c r="CM53" s="161"/>
      <c r="CN53" s="161"/>
      <c r="CO53" s="161"/>
      <c r="CP53" s="161"/>
      <c r="CQ53" s="161"/>
      <c r="CR53" s="161"/>
      <c r="CS53" s="161"/>
      <c r="CT53" s="161"/>
      <c r="CU53" s="161"/>
      <c r="CV53" s="161"/>
      <c r="CW53" s="161"/>
      <c r="CX53" s="161"/>
      <c r="CY53" s="161"/>
      <c r="CZ53" s="161"/>
      <c r="DA53" s="161"/>
      <c r="DB53" s="161"/>
      <c r="DC53" s="161"/>
      <c r="DD53" s="161"/>
      <c r="DE53" s="161"/>
      <c r="DF53" s="161"/>
      <c r="DG53" s="161"/>
      <c r="DH53" s="161"/>
      <c r="DI53" s="161"/>
      <c r="DJ53" s="161"/>
      <c r="DK53" s="467"/>
      <c r="DL53" s="467"/>
      <c r="DM53" s="467"/>
      <c r="DN53" s="467"/>
      <c r="DO53" s="467">
        <f t="shared" ref="DO53:EA53" si="90">BH53/BD53-1</f>
        <v>-5.4833842291913681E-3</v>
      </c>
      <c r="DP53" s="467">
        <f t="shared" si="90"/>
        <v>-1.5478983293922277E-2</v>
      </c>
      <c r="DQ53" s="467">
        <f t="shared" si="90"/>
        <v>8.3151990401686415E-3</v>
      </c>
      <c r="DR53" s="467">
        <f t="shared" si="90"/>
        <v>1.9326269404623675E-2</v>
      </c>
      <c r="DS53" s="467">
        <f t="shared" si="90"/>
        <v>6.8172648456761298E-3</v>
      </c>
      <c r="DT53" s="467">
        <f t="shared" si="90"/>
        <v>6.0873294125431965E-3</v>
      </c>
      <c r="DU53" s="803">
        <f t="shared" si="90"/>
        <v>2.0757264396562558E-3</v>
      </c>
      <c r="DV53" s="803">
        <f t="shared" si="90"/>
        <v>-1.0549838415268464E-2</v>
      </c>
      <c r="DW53" s="803">
        <f t="shared" si="90"/>
        <v>-1</v>
      </c>
      <c r="DX53" s="803">
        <f t="shared" si="90"/>
        <v>-1</v>
      </c>
      <c r="DY53" s="803">
        <f t="shared" si="90"/>
        <v>-1</v>
      </c>
      <c r="DZ53" s="803">
        <f t="shared" si="90"/>
        <v>-1</v>
      </c>
      <c r="EA53" s="803" t="e">
        <f t="shared" si="90"/>
        <v>#DIV/0!</v>
      </c>
      <c r="EB53" s="1033"/>
      <c r="EC53" s="1033"/>
      <c r="ED53" s="1033"/>
      <c r="EF53" s="161"/>
      <c r="EH53" s="161"/>
      <c r="EM53" s="161"/>
      <c r="EN53" s="161"/>
      <c r="EO53" s="161"/>
      <c r="EP53" s="161"/>
      <c r="FL53" s="266">
        <v>415.70096665579001</v>
      </c>
      <c r="FM53" s="266">
        <v>416.04852349780049</v>
      </c>
      <c r="FN53" s="266">
        <v>410.62608918766227</v>
      </c>
      <c r="FO53" s="437">
        <v>420.09882353169826</v>
      </c>
      <c r="FP53" s="161"/>
      <c r="FQ53" s="161"/>
      <c r="FR53" s="430"/>
      <c r="FS53" s="649">
        <v>422.70794855760602</v>
      </c>
      <c r="FT53" s="639"/>
      <c r="FU53" s="676">
        <v>420.71172730762288</v>
      </c>
      <c r="FV53" s="667"/>
      <c r="FW53" s="689">
        <v>423.58056679889773</v>
      </c>
      <c r="FX53" s="668">
        <v>-5.9841647906981876E-3</v>
      </c>
      <c r="FY53" s="758"/>
      <c r="FZ53" s="749">
        <v>-1</v>
      </c>
      <c r="GA53" s="790"/>
      <c r="GB53" s="790"/>
      <c r="GC53" s="808"/>
      <c r="GD53" s="790"/>
      <c r="GE53" s="808"/>
    </row>
    <row r="54" spans="1:187">
      <c r="A54" s="161"/>
      <c r="B54" s="161" t="s">
        <v>450</v>
      </c>
      <c r="C54" s="161"/>
      <c r="D54" s="161"/>
      <c r="E54" s="161"/>
      <c r="F54" s="161"/>
      <c r="G54" s="161"/>
      <c r="H54" s="161"/>
      <c r="I54" s="282"/>
      <c r="J54" s="161"/>
      <c r="K54" s="161"/>
      <c r="L54" s="282"/>
      <c r="M54" s="282"/>
      <c r="N54" s="282"/>
      <c r="O54" s="282"/>
      <c r="P54" s="282"/>
      <c r="Q54" s="282"/>
      <c r="R54" s="282"/>
      <c r="S54" s="282"/>
      <c r="T54" s="282"/>
      <c r="U54" s="282"/>
      <c r="V54" s="282"/>
      <c r="W54" s="282"/>
      <c r="X54" s="282"/>
      <c r="Y54" s="282"/>
      <c r="Z54" s="283"/>
      <c r="AA54" s="283"/>
      <c r="AB54" s="161"/>
      <c r="AC54" s="161"/>
      <c r="AD54" s="161"/>
      <c r="AE54" s="161"/>
      <c r="AF54" s="161"/>
      <c r="AG54" s="263"/>
      <c r="AH54" s="263"/>
      <c r="AI54" s="263"/>
      <c r="AJ54" s="263"/>
      <c r="AK54" s="263"/>
      <c r="AL54" s="263"/>
      <c r="AM54" s="263"/>
      <c r="AN54" s="263"/>
      <c r="AO54" s="263"/>
      <c r="AP54" s="263"/>
      <c r="AQ54" s="263"/>
      <c r="AR54" s="263"/>
      <c r="AS54" s="265"/>
      <c r="AT54" s="265"/>
      <c r="AU54" s="265"/>
      <c r="AV54" s="266">
        <f t="shared" ref="AV54:BT54" si="91">AV87/AVERAGE(AV32,AU32)/3*1000</f>
        <v>417.04253637979849</v>
      </c>
      <c r="AW54" s="266">
        <f t="shared" si="91"/>
        <v>406.00963116249261</v>
      </c>
      <c r="AX54" s="266">
        <f t="shared" si="91"/>
        <v>409.55823616037998</v>
      </c>
      <c r="AY54" s="266">
        <f t="shared" si="91"/>
        <v>410.17562448164415</v>
      </c>
      <c r="AZ54" s="266">
        <f t="shared" si="91"/>
        <v>417.49935734857229</v>
      </c>
      <c r="BA54" s="266">
        <f t="shared" si="91"/>
        <v>418.8930503537245</v>
      </c>
      <c r="BB54" s="266">
        <f t="shared" si="91"/>
        <v>418.74068142141783</v>
      </c>
      <c r="BC54" s="266">
        <f t="shared" si="91"/>
        <v>431.41601792625602</v>
      </c>
      <c r="BD54" s="266">
        <f t="shared" si="91"/>
        <v>433.93602236441228</v>
      </c>
      <c r="BE54" s="266">
        <f t="shared" si="91"/>
        <v>438.11271756880552</v>
      </c>
      <c r="BF54" s="266">
        <f t="shared" si="91"/>
        <v>427.80009451795831</v>
      </c>
      <c r="BG54" s="266">
        <f t="shared" si="91"/>
        <v>432.11899516228146</v>
      </c>
      <c r="BH54" s="266">
        <f t="shared" si="91"/>
        <v>434.0165515140572</v>
      </c>
      <c r="BI54" s="266">
        <f t="shared" si="91"/>
        <v>434.8235894317059</v>
      </c>
      <c r="BJ54" s="266">
        <f t="shared" si="91"/>
        <v>434.9554894766386</v>
      </c>
      <c r="BK54" s="266">
        <f t="shared" si="91"/>
        <v>440.47523621114505</v>
      </c>
      <c r="BL54" s="266">
        <f t="shared" si="91"/>
        <v>437.21970688671382</v>
      </c>
      <c r="BM54" s="266">
        <f t="shared" si="91"/>
        <v>434.07697216228263</v>
      </c>
      <c r="BN54" s="266">
        <f t="shared" si="91"/>
        <v>432.00006125302554</v>
      </c>
      <c r="BO54" s="266">
        <f t="shared" si="91"/>
        <v>434.37012582949671</v>
      </c>
      <c r="BP54" s="266">
        <f t="shared" si="91"/>
        <v>430.74342763338518</v>
      </c>
      <c r="BQ54" s="266">
        <f t="shared" si="91"/>
        <v>434.08401100501175</v>
      </c>
      <c r="BR54" s="266">
        <f t="shared" si="91"/>
        <v>436.22440503119583</v>
      </c>
      <c r="BS54" s="266">
        <f t="shared" si="91"/>
        <v>440.5486915738108</v>
      </c>
      <c r="BT54" s="266">
        <f t="shared" si="91"/>
        <v>446.86970407757349</v>
      </c>
      <c r="BU54" s="784"/>
      <c r="BV54" s="784"/>
      <c r="BW54" s="784"/>
      <c r="BX54" s="784"/>
      <c r="BY54" s="161"/>
      <c r="BZ54" s="161"/>
      <c r="CA54" s="264"/>
      <c r="CB54" s="264"/>
      <c r="CC54" s="264"/>
      <c r="CD54" s="264"/>
      <c r="CE54" s="264"/>
      <c r="CF54" s="264"/>
      <c r="CG54" s="264"/>
      <c r="CH54" s="264"/>
      <c r="CI54" s="161"/>
      <c r="CJ54" s="161"/>
      <c r="CK54" s="161"/>
      <c r="CL54" s="161"/>
      <c r="CM54" s="161"/>
      <c r="CN54" s="161"/>
      <c r="CO54" s="161"/>
      <c r="CP54" s="161"/>
      <c r="CQ54" s="161"/>
      <c r="CR54" s="161"/>
      <c r="CS54" s="161"/>
      <c r="CT54" s="161"/>
      <c r="CU54" s="161"/>
      <c r="CV54" s="161"/>
      <c r="CW54" s="161"/>
      <c r="CX54" s="161"/>
      <c r="CY54" s="161"/>
      <c r="CZ54" s="161"/>
      <c r="DA54" s="161"/>
      <c r="DB54" s="161"/>
      <c r="DC54" s="161"/>
      <c r="DD54" s="161"/>
      <c r="DE54" s="161"/>
      <c r="DF54" s="161"/>
      <c r="DG54" s="161"/>
      <c r="DH54" s="161"/>
      <c r="DI54" s="161"/>
      <c r="DJ54" s="161"/>
      <c r="DK54" s="177"/>
      <c r="DL54" s="177"/>
      <c r="DM54" s="177"/>
      <c r="DN54" s="177"/>
      <c r="DO54" s="177"/>
      <c r="DP54" s="177"/>
      <c r="DQ54" s="177"/>
      <c r="DR54" s="177"/>
      <c r="DS54" s="177"/>
      <c r="DT54" s="177"/>
      <c r="DU54" s="177"/>
      <c r="DV54" s="177"/>
      <c r="DW54" s="177"/>
      <c r="DX54" s="177"/>
      <c r="DY54" s="177"/>
      <c r="DZ54" s="177"/>
      <c r="EA54" s="177"/>
      <c r="EB54" s="808"/>
      <c r="EC54" s="808"/>
      <c r="ED54" s="808"/>
      <c r="EF54" s="161"/>
      <c r="EH54" s="161"/>
      <c r="EM54" s="161"/>
      <c r="EN54" s="161"/>
      <c r="EO54" s="161"/>
      <c r="EP54" s="161"/>
      <c r="FL54" s="263"/>
      <c r="FM54" s="263"/>
      <c r="FN54" s="263"/>
      <c r="FO54" s="433"/>
      <c r="FP54" s="161"/>
      <c r="FQ54" s="161"/>
      <c r="FR54" s="430"/>
      <c r="FS54" s="643"/>
      <c r="FT54" s="639"/>
      <c r="FU54" s="670"/>
      <c r="FV54" s="667"/>
      <c r="FW54" s="670"/>
      <c r="FX54" s="667"/>
      <c r="FY54" s="751"/>
      <c r="FZ54" s="747"/>
      <c r="GA54" s="784"/>
      <c r="GB54" s="784"/>
      <c r="GC54" s="808"/>
      <c r="GD54" s="784">
        <v>436</v>
      </c>
      <c r="GE54" s="808"/>
    </row>
    <row r="55" spans="1:187">
      <c r="A55" s="161"/>
      <c r="B55" s="161"/>
      <c r="C55" s="161"/>
      <c r="D55" s="161"/>
      <c r="E55" s="161"/>
      <c r="F55" s="161"/>
      <c r="G55" s="161"/>
      <c r="H55" s="161"/>
      <c r="I55" s="282"/>
      <c r="J55" s="161"/>
      <c r="K55" s="161"/>
      <c r="L55" s="282"/>
      <c r="M55" s="282"/>
      <c r="N55" s="282"/>
      <c r="O55" s="282"/>
      <c r="P55" s="282"/>
      <c r="Q55" s="282"/>
      <c r="R55" s="282"/>
      <c r="S55" s="282"/>
      <c r="T55" s="282"/>
      <c r="U55" s="282"/>
      <c r="V55" s="282"/>
      <c r="W55" s="282"/>
      <c r="X55" s="282"/>
      <c r="Y55" s="282"/>
      <c r="Z55" s="283"/>
      <c r="AA55" s="283"/>
      <c r="AB55" s="161"/>
      <c r="AC55" s="161"/>
      <c r="AD55" s="161"/>
      <c r="AE55" s="161"/>
      <c r="AF55" s="161"/>
      <c r="AG55" s="263"/>
      <c r="AH55" s="263"/>
      <c r="AI55" s="263"/>
      <c r="AJ55" s="263"/>
      <c r="AK55" s="263"/>
      <c r="AL55" s="263"/>
      <c r="AM55" s="263"/>
      <c r="AN55" s="263"/>
      <c r="AO55" s="263"/>
      <c r="AP55" s="263"/>
      <c r="AQ55" s="263"/>
      <c r="AR55" s="263"/>
      <c r="AS55" s="265"/>
      <c r="AT55" s="265"/>
      <c r="AU55" s="265"/>
      <c r="AV55" s="266"/>
      <c r="AW55" s="266"/>
      <c r="AX55" s="266"/>
      <c r="AY55" s="266"/>
      <c r="AZ55" s="266"/>
      <c r="BA55" s="266"/>
      <c r="BB55" s="266"/>
      <c r="BC55" s="266"/>
      <c r="BD55" s="266"/>
      <c r="BE55" s="266"/>
      <c r="BF55" s="266"/>
      <c r="BG55" s="266"/>
      <c r="BH55" s="266"/>
      <c r="BI55" s="266"/>
      <c r="BJ55" s="266"/>
      <c r="BK55" s="266"/>
      <c r="BL55" s="266"/>
      <c r="BM55" s="266"/>
      <c r="BN55" s="266"/>
      <c r="BO55" s="266"/>
      <c r="BP55" s="266"/>
      <c r="BQ55" s="266"/>
      <c r="BR55" s="266"/>
      <c r="BS55" s="266"/>
      <c r="BT55" s="266"/>
      <c r="BU55" s="784"/>
      <c r="BV55" s="784"/>
      <c r="BW55" s="784"/>
      <c r="BX55" s="784"/>
      <c r="BY55" s="161"/>
      <c r="BZ55" s="161"/>
      <c r="CA55" s="264"/>
      <c r="CB55" s="264"/>
      <c r="CC55" s="264"/>
      <c r="CD55" s="264"/>
      <c r="CE55" s="264"/>
      <c r="CF55" s="264"/>
      <c r="CG55" s="264"/>
      <c r="CH55" s="264"/>
      <c r="CI55" s="161"/>
      <c r="CJ55" s="161"/>
      <c r="CK55" s="161"/>
      <c r="CL55" s="161"/>
      <c r="CM55" s="161"/>
      <c r="CN55" s="161"/>
      <c r="CO55" s="161"/>
      <c r="CP55" s="161"/>
      <c r="CQ55" s="161"/>
      <c r="CR55" s="161"/>
      <c r="CS55" s="161"/>
      <c r="CT55" s="161"/>
      <c r="CU55" s="161"/>
      <c r="CV55" s="161"/>
      <c r="CW55" s="161"/>
      <c r="CX55" s="161"/>
      <c r="CY55" s="161"/>
      <c r="CZ55" s="161"/>
      <c r="DA55" s="161"/>
      <c r="DB55" s="161"/>
      <c r="DC55" s="161"/>
      <c r="DD55" s="161"/>
      <c r="DE55" s="161"/>
      <c r="DF55" s="161"/>
      <c r="DG55" s="161"/>
      <c r="DH55" s="161"/>
      <c r="DI55" s="161"/>
      <c r="DJ55" s="161"/>
      <c r="DK55" s="177"/>
      <c r="DL55" s="177"/>
      <c r="DM55" s="177"/>
      <c r="DN55" s="177"/>
      <c r="DO55" s="177"/>
      <c r="DP55" s="177"/>
      <c r="DQ55" s="177"/>
      <c r="DR55" s="177"/>
      <c r="DS55" s="177"/>
      <c r="DT55" s="177"/>
      <c r="DU55" s="177"/>
      <c r="DV55" s="177"/>
      <c r="DW55" s="177"/>
      <c r="DX55" s="177"/>
      <c r="DY55" s="177"/>
      <c r="DZ55" s="177"/>
      <c r="EA55" s="177"/>
      <c r="EB55" s="808"/>
      <c r="EC55" s="808"/>
      <c r="ED55" s="808"/>
      <c r="EF55" s="161"/>
      <c r="EH55" s="161"/>
      <c r="EM55" s="161"/>
      <c r="EN55" s="161"/>
      <c r="EO55" s="161"/>
      <c r="EP55" s="161"/>
      <c r="FL55" s="263"/>
      <c r="FM55" s="263"/>
      <c r="FN55" s="263"/>
      <c r="FO55" s="433"/>
      <c r="FP55" s="161"/>
      <c r="FQ55" s="161"/>
      <c r="FR55" s="430"/>
      <c r="FS55" s="643"/>
      <c r="FT55" s="639"/>
      <c r="FU55" s="670"/>
      <c r="FV55" s="667"/>
      <c r="FW55" s="670"/>
      <c r="FX55" s="667"/>
      <c r="FY55" s="751"/>
      <c r="FZ55" s="747"/>
      <c r="GA55" s="784"/>
      <c r="GB55" s="784"/>
      <c r="GC55" s="808"/>
      <c r="GD55" s="784"/>
      <c r="GE55" s="808"/>
    </row>
    <row r="56" spans="1:187">
      <c r="A56" s="161"/>
      <c r="B56" s="161" t="s">
        <v>3302</v>
      </c>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1"/>
      <c r="AB56" s="161"/>
      <c r="AC56" s="161"/>
      <c r="AD56" s="161"/>
      <c r="AE56" s="161"/>
      <c r="AF56" s="161"/>
      <c r="AG56" s="161"/>
      <c r="AH56" s="263"/>
      <c r="AI56" s="263"/>
      <c r="AJ56" s="263"/>
      <c r="AK56" s="263"/>
      <c r="AL56" s="263"/>
      <c r="AM56" s="263"/>
      <c r="AN56" s="263"/>
      <c r="AO56" s="263"/>
      <c r="AP56" s="263"/>
      <c r="AQ56" s="263"/>
      <c r="AR56" s="263"/>
      <c r="AS56" s="263"/>
      <c r="AT56" s="263"/>
      <c r="AU56" s="263"/>
      <c r="AV56" s="263"/>
      <c r="AW56" s="263"/>
      <c r="AX56" s="263"/>
      <c r="AY56" s="263"/>
      <c r="AZ56" s="263"/>
      <c r="BA56" s="263"/>
      <c r="BB56" s="263"/>
      <c r="BC56" s="263"/>
      <c r="BD56" s="263"/>
      <c r="BE56" s="263"/>
      <c r="BF56" s="263"/>
      <c r="BG56" s="263"/>
      <c r="BH56" s="263"/>
      <c r="BI56" s="263"/>
      <c r="BJ56" s="263"/>
      <c r="BK56" s="263"/>
      <c r="BL56" s="263"/>
      <c r="BM56" s="263"/>
      <c r="BN56" s="263"/>
      <c r="BO56" s="1038">
        <v>438.5</v>
      </c>
      <c r="BP56" s="1038">
        <v>433.4</v>
      </c>
      <c r="BQ56" s="1038">
        <v>436.4</v>
      </c>
      <c r="BR56" s="1038">
        <v>436.8</v>
      </c>
      <c r="BS56" s="1038">
        <v>439.8</v>
      </c>
      <c r="BT56" s="1038">
        <v>440.9</v>
      </c>
      <c r="BU56" s="784"/>
      <c r="BV56" s="784"/>
      <c r="BW56" s="784"/>
      <c r="BX56" s="784"/>
      <c r="BY56" s="161"/>
      <c r="BZ56" s="161"/>
      <c r="CA56" s="161"/>
      <c r="CB56" s="161"/>
      <c r="CC56" s="161"/>
      <c r="CD56" s="161"/>
      <c r="CE56" s="161"/>
      <c r="CF56" s="161"/>
      <c r="CG56" s="161"/>
      <c r="CH56" s="161"/>
      <c r="CI56" s="161"/>
      <c r="CJ56" s="161"/>
      <c r="CK56" s="161"/>
      <c r="CL56" s="161"/>
      <c r="CM56" s="161"/>
      <c r="CN56" s="161"/>
      <c r="CO56" s="161"/>
      <c r="CP56" s="161"/>
      <c r="CQ56" s="161"/>
      <c r="CR56" s="161"/>
      <c r="CS56" s="161"/>
      <c r="CT56" s="161"/>
      <c r="CU56" s="161"/>
      <c r="CV56" s="161"/>
      <c r="CW56" s="161"/>
      <c r="CX56" s="161"/>
      <c r="CY56" s="161"/>
      <c r="CZ56" s="161"/>
      <c r="DA56" s="161"/>
      <c r="DB56" s="161"/>
      <c r="DC56" s="161"/>
      <c r="DD56" s="161"/>
      <c r="DE56" s="161"/>
      <c r="DF56" s="161"/>
      <c r="DG56" s="161"/>
      <c r="DH56" s="161"/>
      <c r="DI56" s="161"/>
      <c r="DJ56" s="161"/>
      <c r="DK56" s="177"/>
      <c r="DL56" s="177"/>
      <c r="DM56" s="177"/>
      <c r="DN56" s="177"/>
      <c r="DO56" s="177"/>
      <c r="DP56" s="177"/>
      <c r="DQ56" s="177"/>
      <c r="DR56" s="177"/>
      <c r="DS56" s="177"/>
      <c r="DT56" s="177"/>
      <c r="DU56" s="177"/>
      <c r="DV56" s="177"/>
      <c r="DW56" s="177"/>
      <c r="DX56" s="177"/>
      <c r="DY56" s="467"/>
      <c r="DZ56" s="491">
        <f>BS56/BO56-1</f>
        <v>2.9646522234891837E-3</v>
      </c>
      <c r="EA56" s="491">
        <f>BT56/BP56-1</f>
        <v>1.7305029995385413E-2</v>
      </c>
      <c r="EB56" s="812"/>
      <c r="EC56" s="812"/>
      <c r="ED56" s="812"/>
      <c r="EF56" s="161"/>
      <c r="EH56" s="161"/>
      <c r="EM56" s="161"/>
      <c r="EN56" s="161"/>
      <c r="EO56" s="161"/>
      <c r="EP56" s="161"/>
      <c r="FL56" s="263"/>
      <c r="FM56" s="263"/>
      <c r="FN56" s="263"/>
      <c r="FO56" s="433"/>
      <c r="FP56" s="161"/>
      <c r="FQ56" s="161"/>
      <c r="FR56" s="430"/>
      <c r="FS56" s="643"/>
      <c r="FT56" s="639"/>
      <c r="FU56" s="670"/>
      <c r="FV56" s="667"/>
      <c r="FW56" s="670"/>
      <c r="FX56" s="667"/>
      <c r="FY56" s="751"/>
      <c r="FZ56" s="747"/>
      <c r="GA56" s="784"/>
      <c r="GB56" s="784"/>
      <c r="GC56" s="808"/>
      <c r="GD56" s="784"/>
      <c r="GE56" s="808"/>
    </row>
    <row r="57" spans="1:187">
      <c r="A57" s="161"/>
      <c r="B57" s="161" t="s">
        <v>450</v>
      </c>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263"/>
      <c r="AI57" s="263"/>
      <c r="AJ57" s="263"/>
      <c r="AK57" s="263"/>
      <c r="AL57" s="263"/>
      <c r="AM57" s="263"/>
      <c r="AN57" s="263"/>
      <c r="AO57" s="263"/>
      <c r="AP57" s="263"/>
      <c r="AQ57" s="263"/>
      <c r="AR57" s="263"/>
      <c r="AS57" s="263"/>
      <c r="AT57" s="263"/>
      <c r="AU57" s="263"/>
      <c r="AV57" s="266">
        <f t="shared" ref="AV57:BT57" si="92">AV87/AVERAGE(AV19,AU19)/3*1000</f>
        <v>486.88911242760861</v>
      </c>
      <c r="AW57" s="266">
        <f t="shared" si="92"/>
        <v>469.25315241118426</v>
      </c>
      <c r="AX57" s="266">
        <f t="shared" si="92"/>
        <v>466.23882317198758</v>
      </c>
      <c r="AY57" s="266">
        <f t="shared" si="92"/>
        <v>461.35203572606446</v>
      </c>
      <c r="AZ57" s="266">
        <f t="shared" si="92"/>
        <v>465.8080077400241</v>
      </c>
      <c r="BA57" s="266">
        <f t="shared" si="92"/>
        <v>463.59494715588693</v>
      </c>
      <c r="BB57" s="266">
        <f t="shared" si="92"/>
        <v>459.53263867081967</v>
      </c>
      <c r="BC57" s="266">
        <f t="shared" si="92"/>
        <v>469.34486915111171</v>
      </c>
      <c r="BD57" s="266">
        <f t="shared" si="92"/>
        <v>467.90299362812789</v>
      </c>
      <c r="BE57" s="266">
        <f t="shared" si="92"/>
        <v>469.72488221963607</v>
      </c>
      <c r="BF57" s="266">
        <f t="shared" si="92"/>
        <v>456.86090667881956</v>
      </c>
      <c r="BG57" s="266">
        <f t="shared" si="92"/>
        <v>459.7395425407525</v>
      </c>
      <c r="BH57" s="266">
        <f t="shared" si="92"/>
        <v>460.55156352181473</v>
      </c>
      <c r="BI57" s="266">
        <f t="shared" si="92"/>
        <v>459.58161936719335</v>
      </c>
      <c r="BJ57" s="266">
        <f t="shared" si="92"/>
        <v>457.83879687790699</v>
      </c>
      <c r="BK57" s="266">
        <f t="shared" si="92"/>
        <v>462.10587324400859</v>
      </c>
      <c r="BL57" s="266">
        <f t="shared" si="92"/>
        <v>457.32147062209896</v>
      </c>
      <c r="BM57" s="266">
        <f t="shared" si="92"/>
        <v>453.08672059693686</v>
      </c>
      <c r="BN57" s="266">
        <f t="shared" si="92"/>
        <v>450.22346545925211</v>
      </c>
      <c r="BO57" s="266">
        <f t="shared" si="92"/>
        <v>451.84628641333973</v>
      </c>
      <c r="BP57" s="266">
        <f t="shared" si="92"/>
        <v>447.19382007166257</v>
      </c>
      <c r="BQ57" s="266">
        <f t="shared" si="92"/>
        <v>449.90241996479392</v>
      </c>
      <c r="BR57" s="266">
        <f t="shared" si="92"/>
        <v>451.35637931017067</v>
      </c>
      <c r="BS57" s="266">
        <f t="shared" si="92"/>
        <v>454.23651894603097</v>
      </c>
      <c r="BT57" s="266">
        <f t="shared" si="92"/>
        <v>455.63193892396521</v>
      </c>
      <c r="BU57" s="784"/>
      <c r="BV57" s="784"/>
      <c r="BW57" s="784"/>
      <c r="BX57" s="784"/>
      <c r="BY57" s="161"/>
      <c r="BZ57" s="161"/>
      <c r="CA57" s="161"/>
      <c r="CB57" s="161"/>
      <c r="CC57" s="161"/>
      <c r="CD57" s="161"/>
      <c r="CE57" s="161"/>
      <c r="CF57" s="161"/>
      <c r="CG57" s="161"/>
      <c r="CH57" s="161"/>
      <c r="CI57" s="161"/>
      <c r="CJ57" s="161"/>
      <c r="CK57" s="161"/>
      <c r="CL57" s="161"/>
      <c r="CM57" s="161"/>
      <c r="CN57" s="161"/>
      <c r="CO57" s="161"/>
      <c r="CP57" s="161"/>
      <c r="CQ57" s="161"/>
      <c r="CR57" s="161"/>
      <c r="CS57" s="161"/>
      <c r="CT57" s="161"/>
      <c r="CU57" s="161"/>
      <c r="CV57" s="161"/>
      <c r="CW57" s="161"/>
      <c r="CX57" s="161"/>
      <c r="CY57" s="161"/>
      <c r="CZ57" s="161"/>
      <c r="DA57" s="161"/>
      <c r="DB57" s="161"/>
      <c r="DC57" s="161"/>
      <c r="DD57" s="161"/>
      <c r="DE57" s="161"/>
      <c r="DF57" s="161"/>
      <c r="DG57" s="161"/>
      <c r="DH57" s="161"/>
      <c r="DI57" s="161"/>
      <c r="DJ57" s="161"/>
      <c r="DK57" s="467">
        <f t="shared" ref="DK57:DY57" si="93">BD57/AZ57-1</f>
        <v>4.4975308566894689E-3</v>
      </c>
      <c r="DL57" s="467">
        <f t="shared" si="93"/>
        <v>1.3222609740153102E-2</v>
      </c>
      <c r="DM57" s="467">
        <f t="shared" si="93"/>
        <v>-5.8140200872955905E-3</v>
      </c>
      <c r="DN57" s="467">
        <f t="shared" si="93"/>
        <v>-2.0465391744309613E-2</v>
      </c>
      <c r="DO57" s="467">
        <f t="shared" si="93"/>
        <v>-1.5711440632833029E-2</v>
      </c>
      <c r="DP57" s="467">
        <f t="shared" si="93"/>
        <v>-2.1594050552552813E-2</v>
      </c>
      <c r="DQ57" s="467">
        <f t="shared" si="93"/>
        <v>2.1404549717249921E-3</v>
      </c>
      <c r="DR57" s="467">
        <f t="shared" si="93"/>
        <v>5.1471115366290565E-3</v>
      </c>
      <c r="DS57" s="467">
        <f t="shared" si="93"/>
        <v>-7.0135315034334234E-3</v>
      </c>
      <c r="DT57" s="467">
        <f t="shared" si="93"/>
        <v>-1.4132198714124966E-2</v>
      </c>
      <c r="DU57" s="467">
        <f t="shared" si="93"/>
        <v>-1.663321560030584E-2</v>
      </c>
      <c r="DV57" s="467">
        <f t="shared" si="93"/>
        <v>-2.2201810071458272E-2</v>
      </c>
      <c r="DW57" s="467">
        <f t="shared" si="93"/>
        <v>-2.2145582923669971E-2</v>
      </c>
      <c r="DX57" s="467">
        <f t="shared" si="93"/>
        <v>-7.0280158022456574E-3</v>
      </c>
      <c r="DY57" s="467">
        <f t="shared" si="93"/>
        <v>2.5163367479368315E-3</v>
      </c>
      <c r="DZ57" s="491">
        <f>BS57/BO57-1</f>
        <v>5.2899240395762881E-3</v>
      </c>
      <c r="EA57" s="491">
        <f>BT57/BP57-1</f>
        <v>1.8869041729938196E-2</v>
      </c>
      <c r="EB57" s="812"/>
      <c r="EC57" s="812"/>
      <c r="ED57" s="812"/>
      <c r="EF57" s="161"/>
      <c r="EH57" s="161"/>
      <c r="EM57" s="161"/>
      <c r="EN57" s="161"/>
      <c r="EO57" s="161"/>
      <c r="EP57" s="161"/>
      <c r="FL57" s="263"/>
      <c r="FM57" s="263"/>
      <c r="FN57" s="263"/>
      <c r="FO57" s="433"/>
      <c r="FP57" s="161"/>
      <c r="FQ57" s="161"/>
      <c r="FR57" s="430"/>
      <c r="FS57" s="643"/>
      <c r="FT57" s="639"/>
      <c r="FU57" s="670"/>
      <c r="FV57" s="667"/>
      <c r="FW57" s="670"/>
      <c r="FX57" s="667"/>
      <c r="FY57" s="751"/>
      <c r="FZ57" s="747"/>
      <c r="GA57" s="784"/>
      <c r="GB57" s="784"/>
      <c r="GC57" s="808"/>
      <c r="GD57" s="784"/>
      <c r="GE57" s="808"/>
    </row>
    <row r="58" spans="1:187">
      <c r="A58" s="161"/>
      <c r="B58" s="161"/>
      <c r="C58" s="161"/>
      <c r="D58" s="161"/>
      <c r="E58" s="161"/>
      <c r="F58" s="161"/>
      <c r="G58" s="161"/>
      <c r="H58" s="161"/>
      <c r="I58" s="161"/>
      <c r="J58" s="161"/>
      <c r="K58" s="161"/>
      <c r="L58" s="161"/>
      <c r="M58" s="161"/>
      <c r="N58" s="161"/>
      <c r="O58" s="161"/>
      <c r="P58" s="161"/>
      <c r="Q58" s="161"/>
      <c r="R58" s="161"/>
      <c r="S58" s="161"/>
      <c r="T58" s="161"/>
      <c r="U58" s="161"/>
      <c r="V58" s="161"/>
      <c r="W58" s="161"/>
      <c r="X58" s="161"/>
      <c r="Y58" s="161"/>
      <c r="Z58" s="161"/>
      <c r="AA58" s="161"/>
      <c r="AB58" s="161"/>
      <c r="AC58" s="161"/>
      <c r="AD58" s="161"/>
      <c r="AE58" s="161"/>
      <c r="AF58" s="161"/>
      <c r="AG58" s="161"/>
      <c r="AH58" s="263"/>
      <c r="AI58" s="263"/>
      <c r="AJ58" s="263"/>
      <c r="AK58" s="263"/>
      <c r="AL58" s="263"/>
      <c r="AM58" s="263"/>
      <c r="AN58" s="263"/>
      <c r="AO58" s="263"/>
      <c r="AP58" s="263"/>
      <c r="AQ58" s="263"/>
      <c r="AR58" s="263"/>
      <c r="AS58" s="263"/>
      <c r="AT58" s="263"/>
      <c r="AU58" s="263"/>
      <c r="AV58" s="263"/>
      <c r="AW58" s="263"/>
      <c r="AX58" s="263"/>
      <c r="AY58" s="263"/>
      <c r="AZ58" s="263"/>
      <c r="BA58" s="263"/>
      <c r="BB58" s="263"/>
      <c r="BC58" s="263"/>
      <c r="BD58" s="263"/>
      <c r="BE58" s="263"/>
      <c r="BF58" s="263"/>
      <c r="BG58" s="263"/>
      <c r="BH58" s="263"/>
      <c r="BI58" s="263"/>
      <c r="BJ58" s="263"/>
      <c r="BK58" s="263"/>
      <c r="BL58" s="263"/>
      <c r="BM58" s="263"/>
      <c r="BN58" s="263"/>
      <c r="BO58" s="263"/>
      <c r="BP58" s="263"/>
      <c r="BQ58" s="263"/>
      <c r="BR58" s="263"/>
      <c r="BS58" s="263"/>
      <c r="BT58" s="263"/>
      <c r="BU58" s="784"/>
      <c r="BV58" s="784"/>
      <c r="BW58" s="784"/>
      <c r="BX58" s="784"/>
      <c r="BY58" s="161"/>
      <c r="BZ58" s="161"/>
      <c r="CA58" s="161"/>
      <c r="CB58" s="161"/>
      <c r="CC58" s="161"/>
      <c r="CD58" s="161"/>
      <c r="CE58" s="161"/>
      <c r="CF58" s="161"/>
      <c r="CG58" s="161"/>
      <c r="CH58" s="161"/>
      <c r="CI58" s="161"/>
      <c r="CJ58" s="161"/>
      <c r="CK58" s="161"/>
      <c r="CL58" s="161"/>
      <c r="CM58" s="161"/>
      <c r="CN58" s="161"/>
      <c r="CO58" s="161"/>
      <c r="CP58" s="161"/>
      <c r="CQ58" s="161"/>
      <c r="CR58" s="161"/>
      <c r="CS58" s="161"/>
      <c r="CT58" s="161"/>
      <c r="CU58" s="161"/>
      <c r="CV58" s="161"/>
      <c r="CW58" s="161"/>
      <c r="CX58" s="161"/>
      <c r="CY58" s="161"/>
      <c r="CZ58" s="161"/>
      <c r="DA58" s="161"/>
      <c r="DB58" s="161"/>
      <c r="DC58" s="161"/>
      <c r="DD58" s="161"/>
      <c r="DE58" s="161"/>
      <c r="DF58" s="161"/>
      <c r="DG58" s="161"/>
      <c r="DH58" s="161"/>
      <c r="DI58" s="161"/>
      <c r="DJ58" s="161"/>
      <c r="DK58" s="177"/>
      <c r="DL58" s="177"/>
      <c r="DM58" s="177"/>
      <c r="DN58" s="177"/>
      <c r="DO58" s="177"/>
      <c r="DP58" s="177"/>
      <c r="DQ58" s="177"/>
      <c r="DR58" s="177"/>
      <c r="DS58" s="177"/>
      <c r="DT58" s="177"/>
      <c r="DU58" s="177"/>
      <c r="DV58" s="177"/>
      <c r="DW58" s="177"/>
      <c r="DX58" s="177"/>
      <c r="DY58" s="177"/>
      <c r="DZ58" s="177"/>
      <c r="EA58" s="177"/>
      <c r="EB58" s="808"/>
      <c r="EC58" s="808"/>
      <c r="ED58" s="808"/>
      <c r="EF58" s="161"/>
      <c r="EH58" s="161"/>
      <c r="EM58" s="161"/>
      <c r="EN58" s="161"/>
      <c r="EO58" s="161"/>
      <c r="EP58" s="161"/>
      <c r="FL58" s="263"/>
      <c r="FM58" s="263"/>
      <c r="FN58" s="263"/>
      <c r="FO58" s="433"/>
      <c r="FP58" s="161"/>
      <c r="FQ58" s="161"/>
      <c r="FR58" s="430"/>
      <c r="FS58" s="643"/>
      <c r="FT58" s="639"/>
      <c r="FU58" s="670"/>
      <c r="FV58" s="667"/>
      <c r="FW58" s="670"/>
      <c r="FX58" s="667"/>
      <c r="FY58" s="751"/>
      <c r="FZ58" s="747"/>
      <c r="GA58" s="784"/>
      <c r="GB58" s="784"/>
      <c r="GC58" s="808"/>
      <c r="GD58" s="784"/>
      <c r="GE58" s="808"/>
    </row>
    <row r="59" spans="1:187">
      <c r="A59" s="161"/>
      <c r="B59" s="163" t="s">
        <v>451</v>
      </c>
      <c r="C59" s="161"/>
      <c r="D59" s="263"/>
      <c r="E59" s="263"/>
      <c r="F59" s="263"/>
      <c r="G59" s="263"/>
      <c r="H59" s="263"/>
      <c r="I59" s="263"/>
      <c r="J59" s="263"/>
      <c r="K59" s="263"/>
      <c r="L59" s="263"/>
      <c r="M59" s="263"/>
      <c r="N59" s="263"/>
      <c r="O59" s="263"/>
      <c r="P59" s="263"/>
      <c r="Q59" s="263"/>
      <c r="R59" s="263"/>
      <c r="S59" s="263"/>
      <c r="T59" s="263"/>
      <c r="U59" s="263"/>
      <c r="V59" s="263"/>
      <c r="W59" s="263"/>
      <c r="X59" s="263"/>
      <c r="Y59" s="263"/>
      <c r="Z59" s="263"/>
      <c r="AA59" s="263"/>
      <c r="AB59" s="161"/>
      <c r="AC59" s="161"/>
      <c r="AD59" s="265"/>
      <c r="AE59" s="265"/>
      <c r="AF59" s="265"/>
      <c r="AG59" s="265"/>
      <c r="AH59" s="265"/>
      <c r="AI59" s="265"/>
      <c r="AJ59" s="265"/>
      <c r="AK59" s="265"/>
      <c r="AL59" s="265"/>
      <c r="AM59" s="265"/>
      <c r="AN59" s="265"/>
      <c r="AO59" s="265"/>
      <c r="AP59" s="265"/>
      <c r="AQ59" s="265"/>
      <c r="AR59" s="265"/>
      <c r="AS59" s="265"/>
      <c r="AT59" s="265"/>
      <c r="AU59" s="307">
        <f>AT59+AU60</f>
        <v>6</v>
      </c>
      <c r="AV59" s="307">
        <f>AU59+AV60</f>
        <v>19</v>
      </c>
      <c r="AW59" s="307">
        <f>AV59+AW60</f>
        <v>45</v>
      </c>
      <c r="AX59" s="307">
        <f>AW59+AX60</f>
        <v>109</v>
      </c>
      <c r="AY59" s="775">
        <v>174</v>
      </c>
      <c r="AZ59" s="775">
        <v>209</v>
      </c>
      <c r="BA59" s="775">
        <v>256</v>
      </c>
      <c r="BB59" s="775">
        <v>346</v>
      </c>
      <c r="BC59" s="775">
        <v>428</v>
      </c>
      <c r="BD59" s="775">
        <v>432.47699999999998</v>
      </c>
      <c r="BE59" s="775">
        <v>433.89400000000001</v>
      </c>
      <c r="BF59" s="775">
        <v>410.255</v>
      </c>
      <c r="BG59" s="775">
        <v>356.76900000000001</v>
      </c>
      <c r="BH59" s="775">
        <v>376.85399999999998</v>
      </c>
      <c r="BI59" s="775">
        <v>390.78800000000001</v>
      </c>
      <c r="BJ59" s="775">
        <v>414.238</v>
      </c>
      <c r="BK59" s="775">
        <v>433.38799999999998</v>
      </c>
      <c r="BL59" s="775">
        <v>461.06900000000002</v>
      </c>
      <c r="BM59" s="775">
        <v>468.685</v>
      </c>
      <c r="BN59" s="775">
        <v>512.56299999999999</v>
      </c>
      <c r="BO59" s="775">
        <v>554.322</v>
      </c>
      <c r="BP59" s="775">
        <v>575.92999999999995</v>
      </c>
      <c r="BQ59" s="775">
        <v>619.55499999999995</v>
      </c>
      <c r="BR59" s="775">
        <v>640.40099999999995</v>
      </c>
      <c r="BS59" s="775">
        <v>679.29200000000003</v>
      </c>
      <c r="BT59" s="775">
        <v>740.35400000000004</v>
      </c>
      <c r="BU59" s="784">
        <v>765</v>
      </c>
      <c r="BV59" s="784">
        <v>790</v>
      </c>
      <c r="BW59" s="784">
        <f>BX59</f>
        <v>816.60644540586043</v>
      </c>
      <c r="BX59" s="784">
        <f>Mobile!Q9</f>
        <v>816.60644540586043</v>
      </c>
      <c r="BY59" s="161"/>
      <c r="BZ59" s="161"/>
      <c r="CA59" s="161"/>
      <c r="CB59" s="161"/>
      <c r="CC59" s="161"/>
      <c r="CD59" s="161"/>
      <c r="CE59" s="161"/>
      <c r="CF59" s="161"/>
      <c r="CG59" s="161"/>
      <c r="CH59" s="161"/>
      <c r="CI59" s="161"/>
      <c r="CJ59" s="161"/>
      <c r="CK59" s="161"/>
      <c r="CL59" s="161"/>
      <c r="CM59" s="161"/>
      <c r="CN59" s="161"/>
      <c r="CO59" s="161"/>
      <c r="CP59" s="161"/>
      <c r="CQ59" s="161"/>
      <c r="CR59" s="161"/>
      <c r="CS59" s="161"/>
      <c r="CT59" s="161"/>
      <c r="CU59" s="161"/>
      <c r="CV59" s="161"/>
      <c r="CW59" s="161"/>
      <c r="CX59" s="161"/>
      <c r="CY59" s="161"/>
      <c r="CZ59" s="161"/>
      <c r="DA59" s="161"/>
      <c r="DB59" s="161"/>
      <c r="DC59" s="161"/>
      <c r="DD59" s="161"/>
      <c r="DE59" s="161"/>
      <c r="DF59" s="161"/>
      <c r="DG59" s="161"/>
      <c r="DH59" s="161"/>
      <c r="DI59" s="161"/>
      <c r="DJ59" s="161"/>
      <c r="DK59" s="177"/>
      <c r="DL59" s="177"/>
      <c r="DM59" s="177"/>
      <c r="DN59" s="177"/>
      <c r="DO59" s="177"/>
      <c r="DP59" s="177"/>
      <c r="DQ59" s="177"/>
      <c r="DR59" s="177"/>
      <c r="DS59" s="177"/>
      <c r="DT59" s="177"/>
      <c r="DU59" s="177"/>
      <c r="DV59" s="177"/>
      <c r="DW59" s="177"/>
      <c r="DX59" s="177"/>
      <c r="DY59" s="177"/>
      <c r="DZ59" s="177"/>
      <c r="EA59" s="177"/>
      <c r="EB59" s="808"/>
      <c r="EC59" s="808"/>
      <c r="ED59" s="808"/>
      <c r="EF59" s="161"/>
      <c r="EH59" s="161"/>
      <c r="EM59" s="161"/>
      <c r="EN59" s="161"/>
      <c r="EO59" s="161"/>
      <c r="EP59" s="161"/>
      <c r="FL59" s="263">
        <v>346.76900000000001</v>
      </c>
      <c r="FM59" s="263">
        <v>396.85399999999998</v>
      </c>
      <c r="FN59" s="263">
        <v>410.78800000000001</v>
      </c>
      <c r="FO59" s="433">
        <v>440.26342018134886</v>
      </c>
      <c r="FP59" s="161"/>
      <c r="FQ59" s="161"/>
      <c r="FR59" s="430"/>
      <c r="FS59" s="644">
        <v>476.06900000000002</v>
      </c>
      <c r="FT59" s="639"/>
      <c r="FU59" s="671">
        <v>480</v>
      </c>
      <c r="FV59" s="667"/>
      <c r="FW59" s="670">
        <v>533.52237913205602</v>
      </c>
      <c r="FX59" s="667"/>
      <c r="FY59" s="751"/>
      <c r="FZ59" s="747"/>
      <c r="GA59" s="784"/>
      <c r="GB59" s="784"/>
      <c r="GC59" s="808"/>
      <c r="GD59" s="784">
        <v>680.50537117155034</v>
      </c>
      <c r="GE59" s="808"/>
    </row>
    <row r="60" spans="1:187">
      <c r="A60" s="161"/>
      <c r="B60" s="161" t="s">
        <v>452</v>
      </c>
      <c r="C60" s="161"/>
      <c r="D60" s="263"/>
      <c r="E60" s="263"/>
      <c r="F60" s="263"/>
      <c r="G60" s="263"/>
      <c r="H60" s="263"/>
      <c r="I60" s="263"/>
      <c r="J60" s="263"/>
      <c r="K60" s="263"/>
      <c r="L60" s="263"/>
      <c r="M60" s="263"/>
      <c r="N60" s="263"/>
      <c r="O60" s="263"/>
      <c r="P60" s="263"/>
      <c r="Q60" s="263"/>
      <c r="R60" s="263"/>
      <c r="S60" s="263"/>
      <c r="T60" s="263"/>
      <c r="U60" s="263"/>
      <c r="V60" s="263"/>
      <c r="W60" s="263"/>
      <c r="X60" s="263"/>
      <c r="Y60" s="263"/>
      <c r="Z60" s="263"/>
      <c r="AA60" s="263"/>
      <c r="AB60" s="161"/>
      <c r="AC60" s="161"/>
      <c r="AD60" s="265"/>
      <c r="AE60" s="265"/>
      <c r="AF60" s="265"/>
      <c r="AG60" s="265"/>
      <c r="AH60" s="265"/>
      <c r="AI60" s="265"/>
      <c r="AJ60" s="265"/>
      <c r="AK60" s="265"/>
      <c r="AL60" s="265"/>
      <c r="AM60" s="265"/>
      <c r="AN60" s="265"/>
      <c r="AO60" s="265"/>
      <c r="AP60" s="265"/>
      <c r="AQ60" s="265"/>
      <c r="AR60" s="265"/>
      <c r="AS60" s="265"/>
      <c r="AT60" s="265"/>
      <c r="AU60" s="775">
        <v>6</v>
      </c>
      <c r="AV60" s="775">
        <v>13</v>
      </c>
      <c r="AW60" s="775">
        <v>26</v>
      </c>
      <c r="AX60" s="775">
        <v>64</v>
      </c>
      <c r="AY60" s="307">
        <f t="shared" ref="AY60:BJ60" si="94">AY59-AX59</f>
        <v>65</v>
      </c>
      <c r="AZ60" s="307">
        <f t="shared" si="94"/>
        <v>35</v>
      </c>
      <c r="BA60" s="307">
        <f t="shared" si="94"/>
        <v>47</v>
      </c>
      <c r="BB60" s="307">
        <f t="shared" si="94"/>
        <v>90</v>
      </c>
      <c r="BC60" s="307">
        <f t="shared" si="94"/>
        <v>82</v>
      </c>
      <c r="BD60" s="307">
        <f t="shared" si="94"/>
        <v>4.4769999999999754</v>
      </c>
      <c r="BE60" s="307">
        <f t="shared" si="94"/>
        <v>1.41700000000003</v>
      </c>
      <c r="BF60" s="307">
        <f t="shared" si="94"/>
        <v>-23.63900000000001</v>
      </c>
      <c r="BG60" s="307">
        <f t="shared" si="94"/>
        <v>-53.48599999999999</v>
      </c>
      <c r="BH60" s="307">
        <f t="shared" si="94"/>
        <v>20.08499999999998</v>
      </c>
      <c r="BI60" s="307">
        <f t="shared" si="94"/>
        <v>13.934000000000026</v>
      </c>
      <c r="BJ60" s="307">
        <f t="shared" si="94"/>
        <v>23.449999999999989</v>
      </c>
      <c r="BK60" s="307">
        <f t="shared" ref="BK60:BT60" si="95">BK59-BJ59</f>
        <v>19.149999999999977</v>
      </c>
      <c r="BL60" s="307">
        <f t="shared" si="95"/>
        <v>27.68100000000004</v>
      </c>
      <c r="BM60" s="307">
        <f t="shared" si="95"/>
        <v>7.6159999999999854</v>
      </c>
      <c r="BN60" s="307">
        <f t="shared" si="95"/>
        <v>43.877999999999986</v>
      </c>
      <c r="BO60" s="307">
        <f t="shared" si="95"/>
        <v>41.759000000000015</v>
      </c>
      <c r="BP60" s="307">
        <f t="shared" si="95"/>
        <v>21.607999999999947</v>
      </c>
      <c r="BQ60" s="307">
        <f t="shared" si="95"/>
        <v>43.625</v>
      </c>
      <c r="BR60" s="307">
        <f t="shared" si="95"/>
        <v>20.846000000000004</v>
      </c>
      <c r="BS60" s="307">
        <f>BS59-BR59</f>
        <v>38.891000000000076</v>
      </c>
      <c r="BT60" s="307">
        <f t="shared" si="95"/>
        <v>61.062000000000012</v>
      </c>
      <c r="BU60" s="784">
        <f>BU59-BT59</f>
        <v>24.645999999999958</v>
      </c>
      <c r="BV60" s="784">
        <f t="shared" ref="BV60:BW60" si="96">BV59-BU59</f>
        <v>25</v>
      </c>
      <c r="BW60" s="784">
        <f t="shared" si="96"/>
        <v>26.606445405860427</v>
      </c>
      <c r="BX60" s="1009">
        <f>BX59-BS59</f>
        <v>137.3144454058604</v>
      </c>
      <c r="BY60" s="161"/>
      <c r="BZ60" s="161"/>
      <c r="CA60" s="161"/>
      <c r="CB60" s="161"/>
      <c r="CC60" s="161"/>
      <c r="CD60" s="161"/>
      <c r="CE60" s="161"/>
      <c r="CF60" s="161"/>
      <c r="CG60" s="161"/>
      <c r="CH60" s="161"/>
      <c r="CI60" s="161"/>
      <c r="CJ60" s="161"/>
      <c r="CK60" s="161"/>
      <c r="CL60" s="161"/>
      <c r="CM60" s="161"/>
      <c r="CN60" s="161"/>
      <c r="CO60" s="161"/>
      <c r="CP60" s="161"/>
      <c r="CQ60" s="161"/>
      <c r="CR60" s="161"/>
      <c r="CS60" s="161"/>
      <c r="CT60" s="161"/>
      <c r="CU60" s="161"/>
      <c r="CV60" s="161"/>
      <c r="CW60" s="161"/>
      <c r="CX60" s="161"/>
      <c r="CY60" s="161"/>
      <c r="CZ60" s="161"/>
      <c r="DA60" s="161"/>
      <c r="DB60" s="161"/>
      <c r="DC60" s="161"/>
      <c r="DD60" s="161"/>
      <c r="DE60" s="161"/>
      <c r="DF60" s="161"/>
      <c r="DG60" s="161"/>
      <c r="DH60" s="161"/>
      <c r="DI60" s="161"/>
      <c r="DJ60" s="161"/>
      <c r="DK60" s="177"/>
      <c r="DL60" s="177"/>
      <c r="DM60" s="177"/>
      <c r="DN60" s="177"/>
      <c r="DO60" s="177"/>
      <c r="DP60" s="177"/>
      <c r="DQ60" s="177"/>
      <c r="DR60" s="177"/>
      <c r="DS60" s="177"/>
      <c r="DT60" s="177"/>
      <c r="DU60" s="177"/>
      <c r="DV60" s="177"/>
      <c r="DW60" s="177"/>
      <c r="DX60" s="177"/>
      <c r="DY60" s="177"/>
      <c r="DZ60" s="177"/>
      <c r="EA60" s="177"/>
      <c r="EB60" s="808"/>
      <c r="EC60" s="808"/>
      <c r="ED60" s="808"/>
      <c r="EF60" s="161"/>
      <c r="EH60" s="161"/>
      <c r="EM60" s="161"/>
      <c r="EN60" s="161"/>
      <c r="EO60" s="161"/>
      <c r="EP60" s="161"/>
      <c r="FL60" s="271">
        <v>-10</v>
      </c>
      <c r="FM60" s="271">
        <v>20</v>
      </c>
      <c r="FN60" s="271">
        <v>20</v>
      </c>
      <c r="FO60" s="433">
        <v>26.025420181348863</v>
      </c>
      <c r="FP60" s="161"/>
      <c r="FQ60" s="161"/>
      <c r="FR60" s="430"/>
      <c r="FS60" s="643">
        <v>15</v>
      </c>
      <c r="FT60" s="639"/>
      <c r="FU60" s="670">
        <v>11.314999999999998</v>
      </c>
      <c r="FV60" s="667"/>
      <c r="FW60" s="670">
        <v>20.959379132056029</v>
      </c>
      <c r="FX60" s="667"/>
      <c r="FY60" s="751"/>
      <c r="FZ60" s="747"/>
      <c r="GA60" s="784"/>
      <c r="GB60" s="784"/>
      <c r="GC60" s="808"/>
      <c r="GD60" s="784">
        <v>40.104371171550383</v>
      </c>
      <c r="GE60" s="808"/>
    </row>
    <row r="61" spans="1:187">
      <c r="A61" s="161"/>
      <c r="B61" s="161"/>
      <c r="C61" s="161"/>
      <c r="D61" s="161"/>
      <c r="E61" s="161"/>
      <c r="F61" s="161"/>
      <c r="G61" s="161"/>
      <c r="H61" s="161"/>
      <c r="I61" s="161"/>
      <c r="J61" s="161"/>
      <c r="K61" s="161"/>
      <c r="L61" s="161"/>
      <c r="M61" s="161"/>
      <c r="N61" s="161"/>
      <c r="O61" s="161"/>
      <c r="P61" s="161"/>
      <c r="Q61" s="161"/>
      <c r="R61" s="161"/>
      <c r="S61" s="161"/>
      <c r="T61" s="161"/>
      <c r="U61" s="161"/>
      <c r="V61" s="161"/>
      <c r="W61" s="161"/>
      <c r="X61" s="161"/>
      <c r="Y61" s="161"/>
      <c r="Z61" s="161"/>
      <c r="AA61" s="161"/>
      <c r="AB61" s="161"/>
      <c r="AC61" s="161"/>
      <c r="AD61" s="161"/>
      <c r="AE61" s="161"/>
      <c r="AF61" s="161"/>
      <c r="AG61" s="161"/>
      <c r="AH61" s="263"/>
      <c r="AI61" s="263"/>
      <c r="AJ61" s="263"/>
      <c r="AK61" s="263"/>
      <c r="AL61" s="263"/>
      <c r="AM61" s="263"/>
      <c r="AN61" s="263"/>
      <c r="AO61" s="263"/>
      <c r="AP61" s="263"/>
      <c r="AQ61" s="263"/>
      <c r="AR61" s="263"/>
      <c r="AS61" s="263"/>
      <c r="AT61" s="263"/>
      <c r="AU61" s="263"/>
      <c r="AV61" s="263"/>
      <c r="AW61" s="263"/>
      <c r="AX61" s="263"/>
      <c r="AY61" s="263"/>
      <c r="AZ61" s="263"/>
      <c r="BA61" s="263"/>
      <c r="BB61" s="263"/>
      <c r="BC61" s="263"/>
      <c r="BD61" s="263"/>
      <c r="BE61" s="263"/>
      <c r="BF61" s="263"/>
      <c r="BG61" s="263"/>
      <c r="BH61" s="263"/>
      <c r="BI61" s="263"/>
      <c r="BJ61" s="263"/>
      <c r="BK61" s="263"/>
      <c r="BL61" s="263"/>
      <c r="BM61" s="263"/>
      <c r="BN61" s="263"/>
      <c r="BO61" s="263"/>
      <c r="BP61" s="263"/>
      <c r="BQ61" s="263"/>
      <c r="BR61" s="263"/>
      <c r="BS61" s="263"/>
      <c r="BT61" s="263"/>
      <c r="BU61" s="784"/>
      <c r="BV61" s="784"/>
      <c r="BW61" s="784"/>
      <c r="BX61" s="784"/>
      <c r="BY61" s="161"/>
      <c r="BZ61" s="161"/>
      <c r="CA61" s="161"/>
      <c r="CB61" s="161"/>
      <c r="CC61" s="161"/>
      <c r="CD61" s="161"/>
      <c r="CE61" s="161"/>
      <c r="CF61" s="161"/>
      <c r="CG61" s="161"/>
      <c r="CH61" s="161"/>
      <c r="CI61" s="161"/>
      <c r="CJ61" s="161"/>
      <c r="CK61" s="161"/>
      <c r="CL61" s="161"/>
      <c r="CM61" s="161"/>
      <c r="CN61" s="161"/>
      <c r="CO61" s="161"/>
      <c r="CP61" s="161"/>
      <c r="CQ61" s="161"/>
      <c r="CR61" s="161"/>
      <c r="CS61" s="161"/>
      <c r="CT61" s="161"/>
      <c r="CU61" s="161"/>
      <c r="CV61" s="161"/>
      <c r="CW61" s="161"/>
      <c r="CX61" s="161"/>
      <c r="CY61" s="161"/>
      <c r="CZ61" s="161"/>
      <c r="DA61" s="161"/>
      <c r="DB61" s="161"/>
      <c r="DC61" s="161"/>
      <c r="DD61" s="161"/>
      <c r="DE61" s="161"/>
      <c r="DF61" s="161"/>
      <c r="DG61" s="161"/>
      <c r="DH61" s="161"/>
      <c r="DI61" s="161"/>
      <c r="DJ61" s="161"/>
      <c r="DK61" s="177"/>
      <c r="DL61" s="177"/>
      <c r="DM61" s="177"/>
      <c r="DN61" s="177"/>
      <c r="DO61" s="177"/>
      <c r="DP61" s="177"/>
      <c r="DQ61" s="177"/>
      <c r="DR61" s="177"/>
      <c r="DS61" s="177"/>
      <c r="DT61" s="177"/>
      <c r="DU61" s="177"/>
      <c r="DV61" s="177"/>
      <c r="DW61" s="177"/>
      <c r="DX61" s="177"/>
      <c r="DY61" s="177"/>
      <c r="DZ61" s="177"/>
      <c r="EA61" s="177"/>
      <c r="EB61" s="808"/>
      <c r="EC61" s="808"/>
      <c r="ED61" s="808"/>
      <c r="EF61" s="161"/>
      <c r="EH61" s="161"/>
      <c r="EM61" s="161"/>
      <c r="EN61" s="161"/>
      <c r="EO61" s="161"/>
      <c r="EP61" s="161"/>
      <c r="FL61" s="263"/>
      <c r="FM61" s="263"/>
      <c r="FN61" s="263"/>
      <c r="FO61" s="433"/>
      <c r="FP61" s="161"/>
      <c r="FQ61" s="161"/>
      <c r="FR61" s="430"/>
      <c r="FS61" s="643"/>
      <c r="FT61" s="639"/>
      <c r="FU61" s="670"/>
      <c r="FV61" s="667"/>
      <c r="FW61" s="670"/>
      <c r="FX61" s="667"/>
      <c r="FY61" s="751"/>
      <c r="FZ61" s="747"/>
      <c r="GA61" s="784"/>
      <c r="GB61" s="784"/>
      <c r="GC61" s="808"/>
      <c r="GD61" s="784"/>
      <c r="GE61" s="808"/>
    </row>
    <row r="62" spans="1:187">
      <c r="A62" s="161"/>
      <c r="B62" s="161"/>
      <c r="C62" s="161"/>
      <c r="D62" s="161"/>
      <c r="E62" s="161"/>
      <c r="F62" s="161"/>
      <c r="G62" s="161"/>
      <c r="H62" s="161"/>
      <c r="I62" s="161"/>
      <c r="J62" s="161"/>
      <c r="K62" s="161"/>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263"/>
      <c r="AI62" s="263"/>
      <c r="AJ62" s="263"/>
      <c r="AK62" s="263"/>
      <c r="AL62" s="263"/>
      <c r="AM62" s="263"/>
      <c r="AN62" s="263"/>
      <c r="AO62" s="263"/>
      <c r="AP62" s="263"/>
      <c r="AQ62" s="263"/>
      <c r="AR62" s="263"/>
      <c r="AS62" s="263"/>
      <c r="AT62" s="263"/>
      <c r="AU62" s="263"/>
      <c r="AV62" s="263"/>
      <c r="AW62" s="263"/>
      <c r="AX62" s="263"/>
      <c r="AY62" s="263"/>
      <c r="AZ62" s="263"/>
      <c r="BA62" s="263"/>
      <c r="BB62" s="263"/>
      <c r="BC62" s="263"/>
      <c r="BD62" s="263"/>
      <c r="BE62" s="263"/>
      <c r="BF62" s="263"/>
      <c r="BG62" s="263"/>
      <c r="BH62" s="263"/>
      <c r="BI62" s="263"/>
      <c r="BJ62" s="263"/>
      <c r="BK62" s="263"/>
      <c r="BL62" s="263"/>
      <c r="BM62" s="263"/>
      <c r="BN62" s="263"/>
      <c r="BO62" s="263"/>
      <c r="BP62" s="263"/>
      <c r="BQ62" s="263"/>
      <c r="BR62" s="263"/>
      <c r="BS62" s="263"/>
      <c r="BT62" s="263"/>
      <c r="BU62" s="784"/>
      <c r="BV62" s="784"/>
      <c r="BW62" s="784"/>
      <c r="BX62" s="784"/>
      <c r="BY62" s="161"/>
      <c r="BZ62" s="161"/>
      <c r="CA62" s="161"/>
      <c r="CB62" s="161"/>
      <c r="CC62" s="161"/>
      <c r="CD62" s="161"/>
      <c r="CE62" s="161"/>
      <c r="CF62" s="161"/>
      <c r="CG62" s="161"/>
      <c r="CH62" s="161"/>
      <c r="CI62" s="161"/>
      <c r="CJ62" s="161"/>
      <c r="CK62" s="161"/>
      <c r="CL62" s="161"/>
      <c r="CM62" s="161"/>
      <c r="CN62" s="161"/>
      <c r="CO62" s="161"/>
      <c r="CP62" s="161"/>
      <c r="CQ62" s="161"/>
      <c r="CR62" s="161"/>
      <c r="CS62" s="161"/>
      <c r="CT62" s="161"/>
      <c r="CU62" s="161"/>
      <c r="CV62" s="161"/>
      <c r="CW62" s="161"/>
      <c r="CX62" s="161"/>
      <c r="CY62" s="161"/>
      <c r="CZ62" s="161"/>
      <c r="DA62" s="161"/>
      <c r="DB62" s="161"/>
      <c r="DC62" s="161"/>
      <c r="DD62" s="161"/>
      <c r="DE62" s="161"/>
      <c r="DF62" s="161"/>
      <c r="DG62" s="161"/>
      <c r="DH62" s="161"/>
      <c r="DI62" s="161"/>
      <c r="DJ62" s="161"/>
      <c r="DK62" s="177"/>
      <c r="DL62" s="177"/>
      <c r="DM62" s="177"/>
      <c r="DN62" s="177"/>
      <c r="DO62" s="177"/>
      <c r="DP62" s="177"/>
      <c r="DQ62" s="177"/>
      <c r="DR62" s="177"/>
      <c r="DS62" s="177"/>
      <c r="DT62" s="177"/>
      <c r="DU62" s="177"/>
      <c r="DV62" s="177"/>
      <c r="DW62" s="177"/>
      <c r="DX62" s="177"/>
      <c r="DY62" s="177"/>
      <c r="DZ62" s="177"/>
      <c r="EA62" s="177"/>
      <c r="EB62" s="808"/>
      <c r="EC62" s="808"/>
      <c r="ED62" s="808"/>
      <c r="EF62" s="161"/>
      <c r="EH62" s="161"/>
      <c r="EM62" s="161"/>
      <c r="EN62" s="161"/>
      <c r="EO62" s="161"/>
      <c r="EP62" s="161"/>
      <c r="FL62" s="263"/>
      <c r="FM62" s="263"/>
      <c r="FN62" s="263"/>
      <c r="FO62" s="433"/>
      <c r="FP62" s="161"/>
      <c r="FQ62" s="161"/>
      <c r="FR62" s="430"/>
      <c r="FS62" s="643"/>
      <c r="FT62" s="639"/>
      <c r="FU62" s="670"/>
      <c r="FV62" s="667"/>
      <c r="FW62" s="670"/>
      <c r="FX62" s="667"/>
      <c r="FY62" s="751"/>
      <c r="FZ62" s="747"/>
      <c r="GA62" s="784"/>
      <c r="GB62" s="784"/>
      <c r="GC62" s="808"/>
      <c r="GD62" s="784"/>
      <c r="GE62" s="808"/>
    </row>
    <row r="63" spans="1:187">
      <c r="A63" s="161"/>
      <c r="B63" s="161"/>
      <c r="C63" s="161"/>
      <c r="D63" s="161"/>
      <c r="E63" s="161"/>
      <c r="F63" s="161"/>
      <c r="G63" s="161"/>
      <c r="H63" s="161"/>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c r="AF63" s="161"/>
      <c r="AG63" s="161"/>
      <c r="AH63" s="263"/>
      <c r="AI63" s="263"/>
      <c r="AJ63" s="263"/>
      <c r="AK63" s="263"/>
      <c r="AL63" s="263"/>
      <c r="AM63" s="263"/>
      <c r="AN63" s="263"/>
      <c r="AO63" s="263"/>
      <c r="AP63" s="263"/>
      <c r="AQ63" s="263"/>
      <c r="AR63" s="263"/>
      <c r="AS63" s="263"/>
      <c r="AT63" s="263"/>
      <c r="AU63" s="263"/>
      <c r="AV63" s="263"/>
      <c r="AW63" s="263"/>
      <c r="AX63" s="263"/>
      <c r="AY63" s="263"/>
      <c r="AZ63" s="263"/>
      <c r="BA63" s="263"/>
      <c r="BB63" s="263"/>
      <c r="BC63" s="263"/>
      <c r="BD63" s="263"/>
      <c r="BE63" s="263"/>
      <c r="BF63" s="263"/>
      <c r="BG63" s="263"/>
      <c r="BH63" s="263"/>
      <c r="BI63" s="263"/>
      <c r="BJ63" s="263"/>
      <c r="BK63" s="263"/>
      <c r="BL63" s="263"/>
      <c r="BM63" s="263"/>
      <c r="BN63" s="263"/>
      <c r="BO63" s="263"/>
      <c r="BP63" s="263"/>
      <c r="BQ63" s="263"/>
      <c r="BR63" s="263"/>
      <c r="BS63" s="263"/>
      <c r="BT63" s="263"/>
      <c r="BU63" s="784"/>
      <c r="BV63" s="784"/>
      <c r="BW63" s="784"/>
      <c r="BX63" s="784"/>
      <c r="BY63" s="161"/>
      <c r="BZ63" s="161"/>
      <c r="CA63" s="161"/>
      <c r="CB63" s="161"/>
      <c r="CC63" s="161"/>
      <c r="CD63" s="161"/>
      <c r="CE63" s="161"/>
      <c r="CF63" s="161"/>
      <c r="CG63" s="161"/>
      <c r="CH63" s="161"/>
      <c r="CI63" s="161"/>
      <c r="CJ63" s="161"/>
      <c r="CK63" s="161"/>
      <c r="CL63" s="161"/>
      <c r="CM63" s="161"/>
      <c r="CN63" s="161"/>
      <c r="CO63" s="161"/>
      <c r="CP63" s="161"/>
      <c r="CQ63" s="161"/>
      <c r="CR63" s="161"/>
      <c r="CS63" s="161"/>
      <c r="CT63" s="161"/>
      <c r="CU63" s="161"/>
      <c r="CV63" s="161"/>
      <c r="CW63" s="161"/>
      <c r="CX63" s="161"/>
      <c r="CY63" s="161"/>
      <c r="CZ63" s="161"/>
      <c r="DA63" s="161"/>
      <c r="DB63" s="161"/>
      <c r="DC63" s="161"/>
      <c r="DD63" s="161"/>
      <c r="DE63" s="161"/>
      <c r="DF63" s="161"/>
      <c r="DG63" s="161"/>
      <c r="DH63" s="161"/>
      <c r="DI63" s="161"/>
      <c r="DJ63" s="161"/>
      <c r="DK63" s="177"/>
      <c r="DL63" s="177"/>
      <c r="DM63" s="177"/>
      <c r="DN63" s="177"/>
      <c r="DO63" s="177"/>
      <c r="DP63" s="177"/>
      <c r="DQ63" s="177"/>
      <c r="DR63" s="177"/>
      <c r="DS63" s="177"/>
      <c r="DT63" s="177"/>
      <c r="DU63" s="177"/>
      <c r="DV63" s="177"/>
      <c r="DW63" s="177"/>
      <c r="DX63" s="177"/>
      <c r="DY63" s="177"/>
      <c r="DZ63" s="177"/>
      <c r="EA63" s="177"/>
      <c r="EB63" s="808"/>
      <c r="EC63" s="808"/>
      <c r="ED63" s="808"/>
      <c r="EF63" s="161"/>
      <c r="EH63" s="161"/>
      <c r="EM63" s="161"/>
      <c r="EN63" s="161"/>
      <c r="EO63" s="161"/>
      <c r="EP63" s="161"/>
      <c r="FL63" s="263"/>
      <c r="FM63" s="263"/>
      <c r="FN63" s="263"/>
      <c r="FO63" s="433"/>
      <c r="FP63" s="161"/>
      <c r="FQ63" s="161"/>
      <c r="FR63" s="430"/>
      <c r="FS63" s="643"/>
      <c r="FT63" s="639"/>
      <c r="FU63" s="670"/>
      <c r="FV63" s="667"/>
      <c r="FW63" s="670"/>
      <c r="FX63" s="667"/>
      <c r="FY63" s="751"/>
      <c r="FZ63" s="747"/>
      <c r="GA63" s="784"/>
      <c r="GB63" s="784"/>
      <c r="GC63" s="808"/>
      <c r="GD63" s="784"/>
      <c r="GE63" s="808"/>
    </row>
    <row r="64" spans="1:187">
      <c r="A64" s="161"/>
      <c r="B64" s="701" t="s">
        <v>453</v>
      </c>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263"/>
      <c r="AI64" s="263"/>
      <c r="AJ64" s="263"/>
      <c r="AK64" s="263"/>
      <c r="AL64" s="263"/>
      <c r="AM64" s="263"/>
      <c r="AN64" s="263"/>
      <c r="AO64" s="263"/>
      <c r="AP64" s="263"/>
      <c r="AQ64" s="263"/>
      <c r="AR64" s="263"/>
      <c r="AS64" s="263"/>
      <c r="AT64" s="263"/>
      <c r="AU64" s="263"/>
      <c r="AV64" s="263"/>
      <c r="AW64" s="263"/>
      <c r="AX64" s="263"/>
      <c r="AY64" s="263"/>
      <c r="AZ64" s="263"/>
      <c r="BA64" s="263"/>
      <c r="BB64" s="263"/>
      <c r="BC64" s="263"/>
      <c r="BD64" s="263"/>
      <c r="BE64" s="263"/>
      <c r="BF64" s="263"/>
      <c r="BG64" s="263"/>
      <c r="BH64" s="263"/>
      <c r="BI64" s="263"/>
      <c r="BJ64" s="263"/>
      <c r="BK64" s="263"/>
      <c r="BL64" s="263"/>
      <c r="BM64" s="263"/>
      <c r="BN64" s="263"/>
      <c r="BO64" s="263"/>
      <c r="BP64" s="263"/>
      <c r="BQ64" s="263"/>
      <c r="BR64" s="263"/>
      <c r="BS64" s="263"/>
      <c r="BT64" s="263"/>
      <c r="BU64" s="784"/>
      <c r="BV64" s="784"/>
      <c r="BW64" s="784"/>
      <c r="BX64" s="784"/>
      <c r="BY64" s="161"/>
      <c r="BZ64" s="161"/>
      <c r="CA64" s="161"/>
      <c r="CB64" s="161"/>
      <c r="CC64" s="161"/>
      <c r="CD64" s="161"/>
      <c r="CE64" s="161"/>
      <c r="CF64" s="161"/>
      <c r="CG64" s="161"/>
      <c r="CH64" s="161"/>
      <c r="CI64" s="161"/>
      <c r="CJ64" s="161"/>
      <c r="CK64" s="161"/>
      <c r="CL64" s="161"/>
      <c r="CM64" s="161"/>
      <c r="CN64" s="161"/>
      <c r="CO64" s="161"/>
      <c r="CP64" s="161"/>
      <c r="CQ64" s="161"/>
      <c r="CR64" s="161"/>
      <c r="CS64" s="161"/>
      <c r="CT64" s="161"/>
      <c r="CU64" s="161"/>
      <c r="CV64" s="161"/>
      <c r="CW64" s="161"/>
      <c r="CX64" s="161"/>
      <c r="CY64" s="161"/>
      <c r="CZ64" s="161"/>
      <c r="DA64" s="161"/>
      <c r="DB64" s="161"/>
      <c r="DC64" s="161"/>
      <c r="DD64" s="161"/>
      <c r="DE64" s="161"/>
      <c r="DF64" s="161"/>
      <c r="DG64" s="161"/>
      <c r="DH64" s="161"/>
      <c r="DI64" s="161"/>
      <c r="DJ64" s="161"/>
      <c r="DK64" s="177"/>
      <c r="DL64" s="177"/>
      <c r="DM64" s="177"/>
      <c r="DN64" s="177"/>
      <c r="DO64" s="177"/>
      <c r="DP64" s="177"/>
      <c r="DQ64" s="177"/>
      <c r="DR64" s="177"/>
      <c r="DS64" s="177"/>
      <c r="DT64" s="177"/>
      <c r="DU64" s="177"/>
      <c r="DV64" s="177"/>
      <c r="DW64" s="177"/>
      <c r="DX64" s="177"/>
      <c r="DY64" s="177"/>
      <c r="DZ64" s="177"/>
      <c r="EA64" s="177"/>
      <c r="EB64" s="808"/>
      <c r="EC64" s="808"/>
      <c r="ED64" s="808"/>
      <c r="EF64" s="161"/>
      <c r="EH64" s="161"/>
      <c r="EM64" s="161"/>
      <c r="EN64" s="161"/>
      <c r="EO64" s="161"/>
      <c r="EP64" s="161"/>
      <c r="FL64" s="263"/>
      <c r="FM64" s="263"/>
      <c r="FN64" s="263"/>
      <c r="FO64" s="433"/>
      <c r="FP64" s="161"/>
      <c r="FQ64" s="161"/>
      <c r="FR64" s="430"/>
      <c r="FS64" s="643"/>
      <c r="FT64" s="639"/>
      <c r="FU64" s="670"/>
      <c r="FV64" s="667"/>
      <c r="FW64" s="670"/>
      <c r="FX64" s="667"/>
      <c r="FY64" s="751"/>
      <c r="FZ64" s="747"/>
      <c r="GA64" s="784"/>
      <c r="GB64" s="784"/>
      <c r="GC64" s="808"/>
      <c r="GD64" s="784"/>
      <c r="GE64" s="808"/>
    </row>
    <row r="65" spans="1:187">
      <c r="A65" s="161"/>
      <c r="B65" s="161"/>
      <c r="C65" s="161"/>
      <c r="D65" s="161"/>
      <c r="E65" s="161"/>
      <c r="F65" s="161"/>
      <c r="G65" s="161"/>
      <c r="H65" s="161"/>
      <c r="I65" s="161"/>
      <c r="J65" s="161"/>
      <c r="K65" s="161"/>
      <c r="L65" s="161"/>
      <c r="M65" s="161"/>
      <c r="N65" s="161"/>
      <c r="O65" s="161"/>
      <c r="P65" s="161"/>
      <c r="Q65" s="161"/>
      <c r="R65" s="161"/>
      <c r="S65" s="161"/>
      <c r="T65" s="161"/>
      <c r="U65" s="161"/>
      <c r="V65" s="161"/>
      <c r="W65" s="161"/>
      <c r="X65" s="161"/>
      <c r="Y65" s="161"/>
      <c r="Z65" s="161"/>
      <c r="AA65" s="161"/>
      <c r="AB65" s="161"/>
      <c r="AC65" s="161"/>
      <c r="AD65" s="161"/>
      <c r="AE65" s="161"/>
      <c r="AF65" s="161"/>
      <c r="AG65" s="161"/>
      <c r="AH65" s="263"/>
      <c r="AI65" s="263"/>
      <c r="AJ65" s="263"/>
      <c r="AK65" s="263"/>
      <c r="AL65" s="263"/>
      <c r="AM65" s="263"/>
      <c r="AN65" s="263"/>
      <c r="AO65" s="263"/>
      <c r="AP65" s="263"/>
      <c r="AQ65" s="263"/>
      <c r="AR65" s="263"/>
      <c r="AS65" s="263"/>
      <c r="AT65" s="263"/>
      <c r="AU65" s="263"/>
      <c r="AV65" s="263"/>
      <c r="AW65" s="263"/>
      <c r="AX65" s="263"/>
      <c r="AY65" s="263"/>
      <c r="AZ65" s="263"/>
      <c r="BA65" s="263"/>
      <c r="BB65" s="263"/>
      <c r="BC65" s="263"/>
      <c r="BD65" s="263"/>
      <c r="BE65" s="263"/>
      <c r="BF65" s="263"/>
      <c r="BG65" s="263"/>
      <c r="BH65" s="263"/>
      <c r="BI65" s="263"/>
      <c r="BJ65" s="263"/>
      <c r="BK65" s="263"/>
      <c r="BL65" s="263"/>
      <c r="BM65" s="263"/>
      <c r="BN65" s="263"/>
      <c r="BO65" s="263"/>
      <c r="BP65" s="263"/>
      <c r="BQ65" s="263"/>
      <c r="BR65" s="263"/>
      <c r="BS65" s="263"/>
      <c r="BT65" s="263"/>
      <c r="BU65" s="784"/>
      <c r="BV65" s="784"/>
      <c r="BW65" s="784"/>
      <c r="BX65" s="784"/>
      <c r="BY65" s="161"/>
      <c r="BZ65" s="161"/>
      <c r="CA65" s="161"/>
      <c r="CB65" s="161"/>
      <c r="CC65" s="161"/>
      <c r="CD65" s="161"/>
      <c r="CE65" s="161"/>
      <c r="CF65" s="161"/>
      <c r="CG65" s="161"/>
      <c r="CH65" s="161"/>
      <c r="CI65" s="161"/>
      <c r="CJ65" s="161"/>
      <c r="CK65" s="161"/>
      <c r="CL65" s="161"/>
      <c r="CM65" s="161"/>
      <c r="CN65" s="161"/>
      <c r="CO65" s="161"/>
      <c r="CP65" s="161"/>
      <c r="CQ65" s="161"/>
      <c r="CR65" s="161"/>
      <c r="CS65" s="161"/>
      <c r="CT65" s="161"/>
      <c r="CU65" s="161"/>
      <c r="CV65" s="161"/>
      <c r="CW65" s="161"/>
      <c r="CX65" s="161"/>
      <c r="CY65" s="161"/>
      <c r="CZ65" s="161"/>
      <c r="DA65" s="161"/>
      <c r="DB65" s="161"/>
      <c r="DC65" s="161"/>
      <c r="DD65" s="161"/>
      <c r="DE65" s="161"/>
      <c r="DF65" s="161"/>
      <c r="DG65" s="161"/>
      <c r="DH65" s="161"/>
      <c r="DI65" s="161"/>
      <c r="DJ65" s="161"/>
      <c r="DK65" s="177"/>
      <c r="DL65" s="177"/>
      <c r="DM65" s="177"/>
      <c r="DN65" s="177"/>
      <c r="DO65" s="177"/>
      <c r="DP65" s="177"/>
      <c r="DQ65" s="177"/>
      <c r="DR65" s="177"/>
      <c r="DS65" s="177"/>
      <c r="DT65" s="177"/>
      <c r="DU65" s="177"/>
      <c r="DV65" s="177"/>
      <c r="DW65" s="177"/>
      <c r="DX65" s="177"/>
      <c r="DY65" s="177"/>
      <c r="DZ65" s="177"/>
      <c r="EA65" s="177"/>
      <c r="EB65" s="808"/>
      <c r="EC65" s="808"/>
      <c r="ED65" s="808"/>
      <c r="EF65" s="161"/>
      <c r="EH65" s="161"/>
      <c r="EM65" s="161"/>
      <c r="EN65" s="161"/>
      <c r="EO65" s="161"/>
      <c r="EP65" s="161"/>
      <c r="FL65" s="263"/>
      <c r="FM65" s="263"/>
      <c r="FN65" s="263"/>
      <c r="FO65" s="433"/>
      <c r="FP65" s="161"/>
      <c r="FQ65" s="161"/>
      <c r="FR65" s="430"/>
      <c r="FS65" s="643"/>
      <c r="FT65" s="639"/>
      <c r="FU65" s="670"/>
      <c r="FV65" s="667"/>
      <c r="FW65" s="670"/>
      <c r="FX65" s="667"/>
      <c r="FY65" s="751"/>
      <c r="FZ65" s="747"/>
      <c r="GA65" s="784"/>
      <c r="GB65" s="784"/>
      <c r="GC65" s="808"/>
      <c r="GD65" s="784"/>
      <c r="GE65" s="808"/>
    </row>
    <row r="66" spans="1:187">
      <c r="A66" s="161"/>
      <c r="B66" s="163" t="s">
        <v>43</v>
      </c>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1"/>
      <c r="AB66" s="264"/>
      <c r="AC66" s="161"/>
      <c r="AD66" s="161"/>
      <c r="AE66" s="161"/>
      <c r="AF66" s="264"/>
      <c r="AG66" s="264"/>
      <c r="AH66" s="264"/>
      <c r="AI66" s="264"/>
      <c r="AJ66" s="264"/>
      <c r="AK66" s="264"/>
      <c r="AL66" s="264"/>
      <c r="AM66" s="264"/>
      <c r="AN66" s="264"/>
      <c r="AO66" s="264"/>
      <c r="AP66" s="264"/>
      <c r="AQ66" s="263"/>
      <c r="AR66" s="263"/>
      <c r="AS66" s="263"/>
      <c r="AT66" s="263"/>
      <c r="AU66" s="263"/>
      <c r="AV66" s="263"/>
      <c r="AW66" s="263"/>
      <c r="AX66" s="263"/>
      <c r="AY66" s="263"/>
      <c r="AZ66" s="263"/>
      <c r="BA66" s="263"/>
      <c r="BB66" s="263"/>
      <c r="BC66" s="263"/>
      <c r="BD66" s="263"/>
      <c r="BE66" s="263"/>
      <c r="BF66" s="263"/>
      <c r="BG66" s="263"/>
      <c r="BH66" s="263"/>
      <c r="BI66" s="263"/>
      <c r="BJ66" s="263"/>
      <c r="BK66" s="263"/>
      <c r="BL66" s="263"/>
      <c r="BM66" s="263"/>
      <c r="BN66" s="263"/>
      <c r="BO66" s="263"/>
      <c r="BP66" s="263"/>
      <c r="BQ66" s="263"/>
      <c r="BR66" s="263"/>
      <c r="BS66" s="263"/>
      <c r="BT66" s="263"/>
      <c r="BU66" s="784"/>
      <c r="BV66" s="784"/>
      <c r="BW66" s="784"/>
      <c r="BX66" s="784"/>
      <c r="BY66" s="161"/>
      <c r="BZ66" s="161"/>
      <c r="CA66" s="161"/>
      <c r="CB66" s="161"/>
      <c r="CC66" s="161"/>
      <c r="CD66" s="161"/>
      <c r="CE66" s="161"/>
      <c r="CF66" s="161"/>
      <c r="CG66" s="161"/>
      <c r="CH66" s="161"/>
      <c r="CI66" s="161"/>
      <c r="CJ66" s="161"/>
      <c r="CK66" s="161"/>
      <c r="CL66" s="161"/>
      <c r="CM66" s="161"/>
      <c r="CN66" s="161"/>
      <c r="CO66" s="161"/>
      <c r="CP66" s="161"/>
      <c r="CQ66" s="161"/>
      <c r="CR66" s="161"/>
      <c r="CS66" s="161"/>
      <c r="CT66" s="161"/>
      <c r="CU66" s="161"/>
      <c r="CV66" s="161"/>
      <c r="CW66" s="161"/>
      <c r="CX66" s="161"/>
      <c r="CY66" s="161"/>
      <c r="CZ66" s="161"/>
      <c r="DA66" s="161"/>
      <c r="DB66" s="161"/>
      <c r="DC66" s="161"/>
      <c r="DD66" s="161"/>
      <c r="DE66" s="161"/>
      <c r="DF66" s="161"/>
      <c r="DG66" s="161"/>
      <c r="DH66" s="161"/>
      <c r="DI66" s="161"/>
      <c r="DJ66" s="161"/>
      <c r="DK66" s="177"/>
      <c r="DL66" s="177"/>
      <c r="DM66" s="177"/>
      <c r="DN66" s="177"/>
      <c r="DO66" s="177"/>
      <c r="DP66" s="177"/>
      <c r="DQ66" s="177"/>
      <c r="DR66" s="177"/>
      <c r="DS66" s="177"/>
      <c r="DT66" s="177"/>
      <c r="DU66" s="177"/>
      <c r="DV66" s="177"/>
      <c r="DW66" s="177"/>
      <c r="DX66" s="177"/>
      <c r="DY66" s="177"/>
      <c r="DZ66" s="177"/>
      <c r="EA66" s="177"/>
      <c r="EB66" s="808"/>
      <c r="EC66" s="808"/>
      <c r="ED66" s="808"/>
      <c r="EF66" s="161"/>
      <c r="EH66" s="161"/>
      <c r="EM66" s="161"/>
      <c r="EN66" s="161"/>
      <c r="EO66" s="161"/>
      <c r="EP66" s="161"/>
      <c r="FL66" s="264"/>
      <c r="FM66" s="264"/>
      <c r="FN66" s="263">
        <v>42.3494526000012</v>
      </c>
      <c r="FO66" s="433">
        <v>11.530218794508301</v>
      </c>
      <c r="FP66" s="161"/>
      <c r="FQ66" s="161"/>
      <c r="FR66" s="430"/>
      <c r="FS66" s="643"/>
      <c r="FT66" s="639"/>
      <c r="FU66" s="670"/>
      <c r="FV66" s="667"/>
      <c r="FW66" s="670"/>
      <c r="FX66" s="667"/>
      <c r="FY66" s="751"/>
      <c r="FZ66" s="747"/>
      <c r="GA66" s="784"/>
      <c r="GB66" s="784"/>
      <c r="GC66" s="808"/>
      <c r="GD66" s="784"/>
      <c r="GE66" s="808"/>
    </row>
    <row r="67" spans="1:187">
      <c r="A67" s="161"/>
      <c r="B67" s="161" t="str">
        <f>B50</f>
        <v>Video</v>
      </c>
      <c r="C67" s="161"/>
      <c r="D67" s="161"/>
      <c r="E67" s="161"/>
      <c r="F67" s="161"/>
      <c r="G67" s="161"/>
      <c r="H67" s="161"/>
      <c r="I67" s="161"/>
      <c r="J67" s="161"/>
      <c r="K67" s="161"/>
      <c r="L67" s="263">
        <f t="shared" ref="L67:Y67" si="97">L50*3*AVERAGE(K12,L12)/1000</f>
        <v>1260.912</v>
      </c>
      <c r="M67" s="263">
        <f t="shared" si="97"/>
        <v>1213.7183653499999</v>
      </c>
      <c r="N67" s="263">
        <f t="shared" si="97"/>
        <v>1244.0137017</v>
      </c>
      <c r="O67" s="263">
        <f t="shared" si="97"/>
        <v>1292.6256000000001</v>
      </c>
      <c r="P67" s="263">
        <f t="shared" si="97"/>
        <v>1367.1564000000001</v>
      </c>
      <c r="Q67" s="263">
        <f t="shared" si="97"/>
        <v>1352.3235</v>
      </c>
      <c r="R67" s="263">
        <f t="shared" si="97"/>
        <v>1387.7162999999998</v>
      </c>
      <c r="S67" s="263">
        <f t="shared" si="97"/>
        <v>1394.3758499999999</v>
      </c>
      <c r="T67" s="263">
        <f t="shared" si="97"/>
        <v>1444.2947999999999</v>
      </c>
      <c r="U67" s="263">
        <f t="shared" si="97"/>
        <v>1469.4493499999999</v>
      </c>
      <c r="V67" s="263">
        <f t="shared" si="97"/>
        <v>1473.2407499999999</v>
      </c>
      <c r="W67" s="263">
        <f t="shared" si="97"/>
        <v>1560.2495999999999</v>
      </c>
      <c r="X67" s="263">
        <f t="shared" si="97"/>
        <v>1528.60878</v>
      </c>
      <c r="Y67" s="263">
        <f t="shared" si="97"/>
        <v>1523.5767417000002</v>
      </c>
      <c r="Z67" s="270">
        <v>1562</v>
      </c>
      <c r="AA67" s="270">
        <v>1624.9</v>
      </c>
      <c r="AB67" s="263">
        <v>1671.5</v>
      </c>
      <c r="AC67" s="263">
        <f>AC50*3*AVERAGE(AB12,AC12)/1000</f>
        <v>1633.5939599999997</v>
      </c>
      <c r="AD67" s="270">
        <v>1709</v>
      </c>
      <c r="AE67" s="263">
        <f>AE50*3*AVERAGE(AD12,AE12)/1000</f>
        <v>1866.1616654999998</v>
      </c>
      <c r="AF67" s="263">
        <v>1932.7</v>
      </c>
      <c r="AG67" s="263">
        <f t="shared" ref="AG67:AT67" si="98">AG50*3*AVERAGE(AF12,AG12)/1000</f>
        <v>1975.1422602</v>
      </c>
      <c r="AH67" s="263">
        <f t="shared" si="98"/>
        <v>1940.5669696500001</v>
      </c>
      <c r="AI67" s="263">
        <f t="shared" si="98"/>
        <v>1927.2532649999998</v>
      </c>
      <c r="AJ67" s="263">
        <f t="shared" si="98"/>
        <v>1873.1112083999999</v>
      </c>
      <c r="AK67" s="263">
        <f t="shared" si="98"/>
        <v>1826.2673208000003</v>
      </c>
      <c r="AL67" s="263">
        <f t="shared" si="98"/>
        <v>1839.2967403499999</v>
      </c>
      <c r="AM67" s="263">
        <f t="shared" si="98"/>
        <v>1951.62636825</v>
      </c>
      <c r="AN67" s="263">
        <f t="shared" si="98"/>
        <v>1992.5376471000004</v>
      </c>
      <c r="AO67" s="263">
        <f t="shared" si="98"/>
        <v>1999.3148549999999</v>
      </c>
      <c r="AP67" s="263">
        <f t="shared" si="98"/>
        <v>2039.5748549999998</v>
      </c>
      <c r="AQ67" s="263">
        <f t="shared" si="98"/>
        <v>2097.3075816</v>
      </c>
      <c r="AR67" s="263">
        <f t="shared" si="98"/>
        <v>2194.2116136</v>
      </c>
      <c r="AS67" s="263">
        <f t="shared" si="98"/>
        <v>2237.9705528999998</v>
      </c>
      <c r="AT67" s="263">
        <f t="shared" si="98"/>
        <v>2244.5619304500005</v>
      </c>
      <c r="AU67" s="263">
        <v>2289.4969999999998</v>
      </c>
      <c r="AV67" s="263">
        <f t="shared" ref="AV67:BO67" si="99">AV50*3*AVERAGE(AU12,AV12)/1000</f>
        <v>2342.4257726999999</v>
      </c>
      <c r="AW67" s="263">
        <f t="shared" si="99"/>
        <v>2275.8140112000001</v>
      </c>
      <c r="AX67" s="263">
        <f t="shared" si="99"/>
        <v>2300.7857328</v>
      </c>
      <c r="AY67" s="263">
        <f t="shared" si="99"/>
        <v>2326.9098765000003</v>
      </c>
      <c r="AZ67" s="263">
        <f t="shared" si="99"/>
        <v>2347.4652735</v>
      </c>
      <c r="BA67" s="263">
        <f t="shared" si="99"/>
        <v>2338.19065305</v>
      </c>
      <c r="BB67" s="263">
        <f t="shared" si="99"/>
        <v>2342.2830549</v>
      </c>
      <c r="BC67" s="263">
        <f t="shared" si="99"/>
        <v>2452.3176656999999</v>
      </c>
      <c r="BD67" s="263">
        <f t="shared" si="99"/>
        <v>2432.6044830000001</v>
      </c>
      <c r="BE67" s="263">
        <f t="shared" si="99"/>
        <v>2451.9289698000002</v>
      </c>
      <c r="BF67" s="263">
        <f t="shared" si="99"/>
        <v>2454.3123207000003</v>
      </c>
      <c r="BG67" s="263">
        <f t="shared" si="99"/>
        <v>2537.9168076000005</v>
      </c>
      <c r="BH67" s="263">
        <f t="shared" si="99"/>
        <v>2609.4563479500002</v>
      </c>
      <c r="BI67" s="263">
        <f t="shared" si="99"/>
        <v>2655.4872317999993</v>
      </c>
      <c r="BJ67" s="263">
        <f t="shared" si="99"/>
        <v>2696.3268779999999</v>
      </c>
      <c r="BK67" s="263">
        <f t="shared" si="99"/>
        <v>2817.2644847999995</v>
      </c>
      <c r="BL67" s="263">
        <f t="shared" si="99"/>
        <v>2805.8436247499999</v>
      </c>
      <c r="BM67" s="263">
        <f t="shared" si="99"/>
        <v>2797.8746796</v>
      </c>
      <c r="BN67" s="772">
        <f t="shared" si="99"/>
        <v>2792.7913859999999</v>
      </c>
      <c r="BO67" s="772">
        <f t="shared" si="99"/>
        <v>2834.7685998749998</v>
      </c>
      <c r="BP67" s="263"/>
      <c r="BQ67" s="263"/>
      <c r="BR67" s="263"/>
      <c r="BS67" s="263"/>
      <c r="BT67" s="263"/>
      <c r="BU67" s="784"/>
      <c r="BV67" s="784"/>
      <c r="BW67" s="784"/>
      <c r="BX67" s="784"/>
      <c r="BY67" s="263"/>
      <c r="BZ67" s="263"/>
      <c r="CA67" s="264">
        <f t="shared" ref="CA67:CJ69" si="100">T67/P67-1</f>
        <v>5.6422513181374034E-2</v>
      </c>
      <c r="CB67" s="264">
        <f t="shared" si="100"/>
        <v>8.6610822040732005E-2</v>
      </c>
      <c r="CC67" s="264">
        <f t="shared" si="100"/>
        <v>6.1629635682740158E-2</v>
      </c>
      <c r="CD67" s="264">
        <f t="shared" si="100"/>
        <v>0.11895913859953899</v>
      </c>
      <c r="CE67" s="264">
        <f t="shared" si="100"/>
        <v>5.8377264807710993E-2</v>
      </c>
      <c r="CF67" s="264">
        <f t="shared" si="100"/>
        <v>3.6835153045595259E-2</v>
      </c>
      <c r="CG67" s="264">
        <f t="shared" si="100"/>
        <v>6.0247620763951959E-2</v>
      </c>
      <c r="CH67" s="264">
        <f t="shared" si="100"/>
        <v>4.1435934353067694E-2</v>
      </c>
      <c r="CI67" s="264">
        <f t="shared" si="100"/>
        <v>9.3477953201341668E-2</v>
      </c>
      <c r="CJ67" s="264">
        <f t="shared" si="100"/>
        <v>7.2209830518443541E-2</v>
      </c>
      <c r="CK67" s="264">
        <f t="shared" ref="CK67:CT69" si="101">AD67/Z67-1</f>
        <v>9.4110115236875735E-2</v>
      </c>
      <c r="CL67" s="264">
        <f t="shared" si="101"/>
        <v>0.14847785432949712</v>
      </c>
      <c r="CM67" s="264">
        <f t="shared" si="101"/>
        <v>0.15626682620400834</v>
      </c>
      <c r="CN67" s="264">
        <f t="shared" si="101"/>
        <v>0.20907784220749703</v>
      </c>
      <c r="CO67" s="264">
        <f t="shared" si="101"/>
        <v>0.13549851939730839</v>
      </c>
      <c r="CP67" s="264">
        <f t="shared" si="101"/>
        <v>3.2736499001886799E-2</v>
      </c>
      <c r="CQ67" s="264">
        <f t="shared" si="101"/>
        <v>-3.0831888860143875E-2</v>
      </c>
      <c r="CR67" s="264">
        <f t="shared" si="101"/>
        <v>-7.537428690575676E-2</v>
      </c>
      <c r="CS67" s="264">
        <f t="shared" si="101"/>
        <v>-5.2185897670032677E-2</v>
      </c>
      <c r="CT67" s="264">
        <f t="shared" si="101"/>
        <v>1.2646549206909885E-2</v>
      </c>
      <c r="CU67" s="264">
        <f t="shared" ref="CU67:DD69" si="102">AN67/AJ67-1</f>
        <v>6.3758327943600257E-2</v>
      </c>
      <c r="CV67" s="264">
        <f t="shared" si="102"/>
        <v>9.4754766856472994E-2</v>
      </c>
      <c r="CW67" s="264">
        <f t="shared" si="102"/>
        <v>0.10888841928349691</v>
      </c>
      <c r="CX67" s="264">
        <f t="shared" si="102"/>
        <v>7.4646057114216235E-2</v>
      </c>
      <c r="CY67" s="264">
        <f t="shared" si="102"/>
        <v>0.10121463290468902</v>
      </c>
      <c r="CZ67" s="264">
        <f t="shared" si="102"/>
        <v>0.11936874139816256</v>
      </c>
      <c r="DA67" s="264">
        <f t="shared" si="102"/>
        <v>0.10050480615971358</v>
      </c>
      <c r="DB67" s="264">
        <f t="shared" si="102"/>
        <v>9.1636257879438743E-2</v>
      </c>
      <c r="DC67" s="264">
        <f t="shared" si="102"/>
        <v>6.7547796293370155E-2</v>
      </c>
      <c r="DD67" s="264">
        <f t="shared" si="102"/>
        <v>1.6909721287870383E-2</v>
      </c>
      <c r="DE67" s="264">
        <f t="shared" ref="DE67:DN69" si="103">AX67/AT67-1</f>
        <v>2.5048897777005141E-2</v>
      </c>
      <c r="DF67" s="264">
        <f t="shared" si="103"/>
        <v>1.6341089986141366E-2</v>
      </c>
      <c r="DG67" s="264">
        <f t="shared" si="103"/>
        <v>2.1514025582938245E-3</v>
      </c>
      <c r="DH67" s="264">
        <f t="shared" si="103"/>
        <v>2.7408497154435718E-2</v>
      </c>
      <c r="DI67" s="264">
        <f t="shared" si="103"/>
        <v>1.8036152392816973E-2</v>
      </c>
      <c r="DJ67" s="264">
        <f t="shared" si="103"/>
        <v>5.3894562254654499E-2</v>
      </c>
      <c r="DK67" s="467">
        <f t="shared" si="103"/>
        <v>3.6268570385733501E-2</v>
      </c>
      <c r="DL67" s="467">
        <f t="shared" si="103"/>
        <v>4.8643730827354403E-2</v>
      </c>
      <c r="DM67" s="467">
        <f t="shared" si="103"/>
        <v>4.7829089471333353E-2</v>
      </c>
      <c r="DN67" s="467">
        <f t="shared" si="103"/>
        <v>3.4905405240624354E-2</v>
      </c>
      <c r="DO67" s="467">
        <f t="shared" ref="DO67:DX69" si="104">BH67/BD67-1</f>
        <v>7.2700624448368334E-2</v>
      </c>
      <c r="DP67" s="467">
        <f t="shared" si="104"/>
        <v>8.3019640661369909E-2</v>
      </c>
      <c r="DQ67" s="467">
        <f t="shared" si="104"/>
        <v>9.8607889166678619E-2</v>
      </c>
      <c r="DR67" s="467">
        <f t="shared" si="104"/>
        <v>0.11006967461008554</v>
      </c>
      <c r="DS67" s="467">
        <f t="shared" si="104"/>
        <v>7.5259843666011905E-2</v>
      </c>
      <c r="DT67" s="467">
        <f t="shared" si="104"/>
        <v>5.3620083762739412E-2</v>
      </c>
      <c r="DU67" s="803">
        <f t="shared" si="104"/>
        <v>3.5776266144538216E-2</v>
      </c>
      <c r="DV67" s="803">
        <f t="shared" si="104"/>
        <v>6.2131600243571228E-3</v>
      </c>
      <c r="DW67" s="803">
        <f t="shared" si="104"/>
        <v>-1</v>
      </c>
      <c r="DX67" s="803">
        <f t="shared" si="104"/>
        <v>-1</v>
      </c>
      <c r="DY67" s="803">
        <f t="shared" ref="DY67:EA69" si="105">BR67/BN67-1</f>
        <v>-1</v>
      </c>
      <c r="DZ67" s="803">
        <f t="shared" si="105"/>
        <v>-1</v>
      </c>
      <c r="EA67" s="803" t="e">
        <f t="shared" si="105"/>
        <v>#DIV/0!</v>
      </c>
      <c r="EB67" s="1033"/>
      <c r="EC67" s="1033"/>
      <c r="ED67" s="1033"/>
      <c r="EF67" s="161"/>
      <c r="EH67" s="161"/>
      <c r="EM67" s="161"/>
      <c r="EN67" s="161"/>
      <c r="EO67" s="161"/>
      <c r="EP67" s="161"/>
      <c r="FL67" s="263">
        <v>2586.7298849999997</v>
      </c>
      <c r="FM67" s="263">
        <v>2642.650752</v>
      </c>
      <c r="FN67" s="263">
        <v>2702.8074240000001</v>
      </c>
      <c r="FO67" s="433">
        <v>2750.8137199274624</v>
      </c>
      <c r="FP67" s="264">
        <v>7.7784383050687023E-2</v>
      </c>
      <c r="FQ67" s="264">
        <v>0.10124836240447421</v>
      </c>
      <c r="FR67" s="432">
        <v>8.388648189330894E-2</v>
      </c>
      <c r="FS67" s="650">
        <v>2830</v>
      </c>
      <c r="FT67" s="641">
        <v>6.5717796007517926E-2</v>
      </c>
      <c r="FU67" s="677">
        <v>2820</v>
      </c>
      <c r="FV67" s="668">
        <v>4.586725853199769E-2</v>
      </c>
      <c r="FW67" s="671">
        <v>2911.2867996675332</v>
      </c>
      <c r="FX67" s="668">
        <v>3.3373620181851082E-2</v>
      </c>
      <c r="FY67" s="751"/>
      <c r="FZ67" s="749">
        <v>-1</v>
      </c>
      <c r="GA67" s="784"/>
      <c r="GB67" s="784"/>
      <c r="GC67" s="808"/>
      <c r="GD67" s="784"/>
      <c r="GE67" s="808"/>
    </row>
    <row r="68" spans="1:187">
      <c r="A68" s="161"/>
      <c r="B68" s="161" t="str">
        <f>B51</f>
        <v>Internet</v>
      </c>
      <c r="C68" s="161"/>
      <c r="D68" s="161"/>
      <c r="E68" s="161"/>
      <c r="F68" s="161"/>
      <c r="G68" s="161"/>
      <c r="H68" s="161"/>
      <c r="I68" s="161"/>
      <c r="J68" s="161"/>
      <c r="K68" s="161"/>
      <c r="L68" s="263">
        <f t="shared" ref="L68:Y68" si="106">L51*3*AVERAGE(K19,L19)/1000</f>
        <v>380.23284599999994</v>
      </c>
      <c r="M68" s="263">
        <f t="shared" si="106"/>
        <v>382.99970939999992</v>
      </c>
      <c r="N68" s="263">
        <f t="shared" si="106"/>
        <v>406.56267300000002</v>
      </c>
      <c r="O68" s="263">
        <f t="shared" si="106"/>
        <v>446.00880000000006</v>
      </c>
      <c r="P68" s="263">
        <f t="shared" si="106"/>
        <v>443.20769999999993</v>
      </c>
      <c r="Q68" s="263">
        <f t="shared" si="106"/>
        <v>434.6361</v>
      </c>
      <c r="R68" s="263">
        <f t="shared" si="106"/>
        <v>452.46600000000001</v>
      </c>
      <c r="S68" s="263">
        <f t="shared" si="106"/>
        <v>466.22024999999996</v>
      </c>
      <c r="T68" s="263">
        <f t="shared" si="106"/>
        <v>500.50274999999993</v>
      </c>
      <c r="U68" s="263">
        <f t="shared" si="106"/>
        <v>538.03949999999998</v>
      </c>
      <c r="V68" s="263">
        <f t="shared" si="106"/>
        <v>534.66480000000001</v>
      </c>
      <c r="W68" s="263">
        <f t="shared" si="106"/>
        <v>558.90945000000011</v>
      </c>
      <c r="X68" s="263">
        <f t="shared" si="106"/>
        <v>565.45245</v>
      </c>
      <c r="Y68" s="263">
        <f t="shared" si="106"/>
        <v>620.31451500000003</v>
      </c>
      <c r="Z68" s="270">
        <v>631</v>
      </c>
      <c r="AA68" s="270">
        <v>695.8</v>
      </c>
      <c r="AB68" s="263">
        <v>789</v>
      </c>
      <c r="AC68" s="263">
        <f>AC51*3*AVERAGE(AB19,AC19)/1000</f>
        <v>809.4319200000001</v>
      </c>
      <c r="AD68" s="270">
        <v>885.6</v>
      </c>
      <c r="AE68" s="270">
        <v>1006</v>
      </c>
      <c r="AF68" s="263">
        <v>1073.8</v>
      </c>
      <c r="AG68" s="263">
        <f t="shared" ref="AG68:AT68" si="107">AG51*3*AVERAGE(AF19,AG19)/1000</f>
        <v>1100.7035473499998</v>
      </c>
      <c r="AH68" s="263">
        <f t="shared" si="107"/>
        <v>1107.8681167500001</v>
      </c>
      <c r="AI68" s="263">
        <f t="shared" si="107"/>
        <v>1175.1887400000001</v>
      </c>
      <c r="AJ68" s="263">
        <f t="shared" si="107"/>
        <v>1212.4931916</v>
      </c>
      <c r="AK68" s="263">
        <f t="shared" si="107"/>
        <v>1264.1237999999998</v>
      </c>
      <c r="AL68" s="263">
        <f t="shared" si="107"/>
        <v>1294.6642271999999</v>
      </c>
      <c r="AM68" s="263">
        <f t="shared" si="107"/>
        <v>1365.9079247999996</v>
      </c>
      <c r="AN68" s="263">
        <f t="shared" si="107"/>
        <v>1462.7600368500002</v>
      </c>
      <c r="AO68" s="263">
        <f t="shared" si="107"/>
        <v>1493.1746296500003</v>
      </c>
      <c r="AP68" s="263">
        <f t="shared" si="107"/>
        <v>1526.1939891</v>
      </c>
      <c r="AQ68" s="263">
        <f t="shared" si="107"/>
        <v>1574.0239491</v>
      </c>
      <c r="AR68" s="263">
        <f t="shared" si="107"/>
        <v>1609.6088189999998</v>
      </c>
      <c r="AS68" s="263">
        <f t="shared" si="107"/>
        <v>1637.8770901499997</v>
      </c>
      <c r="AT68" s="263">
        <f t="shared" si="107"/>
        <v>1661.6464045500002</v>
      </c>
      <c r="AU68" s="263">
        <v>1708.356</v>
      </c>
      <c r="AV68" s="263">
        <f t="shared" ref="AV68:BO68" si="108">AV51*3*AVERAGE(AU19,AV19)/1000</f>
        <v>1743.9517136999998</v>
      </c>
      <c r="AW68" s="263">
        <f t="shared" si="108"/>
        <v>1739.6318458500002</v>
      </c>
      <c r="AX68" s="263">
        <f t="shared" si="108"/>
        <v>1803.6817425000002</v>
      </c>
      <c r="AY68" s="263">
        <f t="shared" si="108"/>
        <v>1891.3777348499996</v>
      </c>
      <c r="AZ68" s="263">
        <f t="shared" si="108"/>
        <v>1975.5928080000001</v>
      </c>
      <c r="BA68" s="263">
        <f t="shared" si="108"/>
        <v>2030.1580199999999</v>
      </c>
      <c r="BB68" s="263">
        <f t="shared" si="108"/>
        <v>2061.4961825999999</v>
      </c>
      <c r="BC68" s="263">
        <f t="shared" si="108"/>
        <v>2134.926927</v>
      </c>
      <c r="BD68" s="263">
        <f t="shared" si="108"/>
        <v>2183.7038940000002</v>
      </c>
      <c r="BE68" s="263">
        <f t="shared" si="108"/>
        <v>2271.479652</v>
      </c>
      <c r="BF68" s="263">
        <f t="shared" si="108"/>
        <v>2232.6434919000003</v>
      </c>
      <c r="BG68" s="263">
        <f t="shared" si="108"/>
        <v>2301.0250415999994</v>
      </c>
      <c r="BH68" s="263">
        <f t="shared" si="108"/>
        <v>2391.7179487500002</v>
      </c>
      <c r="BI68" s="263">
        <f t="shared" si="108"/>
        <v>2519.2190349000002</v>
      </c>
      <c r="BJ68" s="263">
        <f t="shared" si="108"/>
        <v>2614.9848981000005</v>
      </c>
      <c r="BK68" s="263">
        <f t="shared" si="108"/>
        <v>2752.7130383999993</v>
      </c>
      <c r="BL68" s="263">
        <f t="shared" si="108"/>
        <v>2859.6210536999997</v>
      </c>
      <c r="BM68" s="263">
        <f t="shared" si="108"/>
        <v>2993.7476011499998</v>
      </c>
      <c r="BN68" s="772">
        <f t="shared" si="108"/>
        <v>3108.546405</v>
      </c>
      <c r="BO68" s="772">
        <f t="shared" si="108"/>
        <v>3294.0800550000004</v>
      </c>
      <c r="BP68" s="263"/>
      <c r="BQ68" s="263"/>
      <c r="BR68" s="263"/>
      <c r="BS68" s="263"/>
      <c r="BT68" s="263"/>
      <c r="BU68" s="784"/>
      <c r="BV68" s="784"/>
      <c r="BW68" s="784"/>
      <c r="BX68" s="784"/>
      <c r="BY68" s="263"/>
      <c r="BZ68" s="263"/>
      <c r="CA68" s="264">
        <f t="shared" si="100"/>
        <v>0.12927358888394758</v>
      </c>
      <c r="CB68" s="264">
        <f t="shared" si="100"/>
        <v>0.23790798785466727</v>
      </c>
      <c r="CC68" s="264">
        <f t="shared" si="100"/>
        <v>0.18166845685642685</v>
      </c>
      <c r="CD68" s="264">
        <f t="shared" si="100"/>
        <v>0.19880989725349796</v>
      </c>
      <c r="CE68" s="264">
        <f t="shared" si="100"/>
        <v>0.12976891735360119</v>
      </c>
      <c r="CF68" s="264">
        <f t="shared" si="100"/>
        <v>0.15291631004786832</v>
      </c>
      <c r="CG68" s="264">
        <f t="shared" si="100"/>
        <v>0.18017868391560476</v>
      </c>
      <c r="CH68" s="264">
        <f t="shared" si="100"/>
        <v>0.24492437907428433</v>
      </c>
      <c r="CI68" s="264">
        <f t="shared" si="100"/>
        <v>0.3953427914230454</v>
      </c>
      <c r="CJ68" s="264">
        <f t="shared" si="100"/>
        <v>0.3048734157059021</v>
      </c>
      <c r="CK68" s="264">
        <f t="shared" si="101"/>
        <v>0.40348652931854212</v>
      </c>
      <c r="CL68" s="264">
        <f t="shared" si="101"/>
        <v>0.44581776372520854</v>
      </c>
      <c r="CM68" s="264">
        <f t="shared" si="101"/>
        <v>0.36096324461343476</v>
      </c>
      <c r="CN68" s="264">
        <f t="shared" si="101"/>
        <v>0.35984697434467328</v>
      </c>
      <c r="CO68" s="264">
        <f t="shared" si="101"/>
        <v>0.25098025829945803</v>
      </c>
      <c r="CP68" s="264">
        <f t="shared" si="101"/>
        <v>0.16817966202783308</v>
      </c>
      <c r="CQ68" s="264">
        <f t="shared" si="101"/>
        <v>0.12916110225367872</v>
      </c>
      <c r="CR68" s="264">
        <f t="shared" si="101"/>
        <v>0.14846890703990434</v>
      </c>
      <c r="CS68" s="264">
        <f t="shared" si="101"/>
        <v>0.16860861651834314</v>
      </c>
      <c r="CT68" s="264">
        <f t="shared" si="101"/>
        <v>0.16228813152174992</v>
      </c>
      <c r="CU68" s="264">
        <f t="shared" si="102"/>
        <v>0.20640680457739258</v>
      </c>
      <c r="CV68" s="264">
        <f t="shared" si="102"/>
        <v>0.181193352779214</v>
      </c>
      <c r="CW68" s="264">
        <f t="shared" si="102"/>
        <v>0.17883382968009776</v>
      </c>
      <c r="CX68" s="264">
        <f t="shared" si="102"/>
        <v>0.15236460710224908</v>
      </c>
      <c r="CY68" s="264">
        <f t="shared" si="102"/>
        <v>0.10039157377189012</v>
      </c>
      <c r="CZ68" s="264">
        <f t="shared" si="102"/>
        <v>9.6909268096738055E-2</v>
      </c>
      <c r="DA68" s="264">
        <f t="shared" si="102"/>
        <v>8.8751768397329789E-2</v>
      </c>
      <c r="DB68" s="264">
        <f t="shared" si="102"/>
        <v>8.5343079421891233E-2</v>
      </c>
      <c r="DC68" s="264">
        <f t="shared" si="102"/>
        <v>8.3463070725136257E-2</v>
      </c>
      <c r="DD68" s="264">
        <f t="shared" si="102"/>
        <v>6.2126002196344121E-2</v>
      </c>
      <c r="DE68" s="264">
        <f t="shared" si="103"/>
        <v>8.5478677991341678E-2</v>
      </c>
      <c r="DF68" s="264">
        <f t="shared" si="103"/>
        <v>0.10713325258318496</v>
      </c>
      <c r="DG68" s="264">
        <f t="shared" si="103"/>
        <v>0.13282540593314152</v>
      </c>
      <c r="DH68" s="264">
        <f t="shared" si="103"/>
        <v>0.16700440086968271</v>
      </c>
      <c r="DI68" s="264">
        <f t="shared" si="103"/>
        <v>0.14293787757847731</v>
      </c>
      <c r="DJ68" s="264">
        <f t="shared" si="103"/>
        <v>0.12876813957488809</v>
      </c>
      <c r="DK68" s="467">
        <f t="shared" si="103"/>
        <v>0.10534108301937084</v>
      </c>
      <c r="DL68" s="467">
        <f t="shared" si="103"/>
        <v>0.11886839823434037</v>
      </c>
      <c r="DM68" s="467">
        <f t="shared" si="103"/>
        <v>8.3020919827339279E-2</v>
      </c>
      <c r="DN68" s="467">
        <f t="shared" si="103"/>
        <v>7.7800374569915842E-2</v>
      </c>
      <c r="DO68" s="467">
        <f t="shared" si="104"/>
        <v>9.5257445536249152E-2</v>
      </c>
      <c r="DP68" s="467">
        <f t="shared" si="104"/>
        <v>0.10906520015791021</v>
      </c>
      <c r="DQ68" s="467">
        <f t="shared" si="104"/>
        <v>0.17125054115765881</v>
      </c>
      <c r="DR68" s="467">
        <f t="shared" si="104"/>
        <v>0.19629860111644937</v>
      </c>
      <c r="DS68" s="467">
        <f t="shared" si="104"/>
        <v>0.19563473410171239</v>
      </c>
      <c r="DT68" s="467">
        <f t="shared" si="104"/>
        <v>0.18836336169111068</v>
      </c>
      <c r="DU68" s="803">
        <f t="shared" si="104"/>
        <v>0.1887435400711539</v>
      </c>
      <c r="DV68" s="803">
        <f t="shared" si="104"/>
        <v>0.19666670991418278</v>
      </c>
      <c r="DW68" s="803">
        <f t="shared" si="104"/>
        <v>-1</v>
      </c>
      <c r="DX68" s="803">
        <f t="shared" si="104"/>
        <v>-1</v>
      </c>
      <c r="DY68" s="803">
        <f t="shared" si="105"/>
        <v>-1</v>
      </c>
      <c r="DZ68" s="803">
        <f t="shared" si="105"/>
        <v>-1</v>
      </c>
      <c r="EA68" s="803" t="e">
        <f t="shared" si="105"/>
        <v>#DIV/0!</v>
      </c>
      <c r="EB68" s="1033"/>
      <c r="EC68" s="1033"/>
      <c r="ED68" s="1033"/>
      <c r="EF68" s="161"/>
      <c r="EH68" s="161"/>
      <c r="EM68" s="161"/>
      <c r="EN68" s="161"/>
      <c r="EO68" s="161"/>
      <c r="EP68" s="161"/>
      <c r="FL68" s="263">
        <v>2356.31304</v>
      </c>
      <c r="FM68" s="263">
        <v>2479.5940499999997</v>
      </c>
      <c r="FN68" s="263">
        <v>2571.2568900000001</v>
      </c>
      <c r="FO68" s="433">
        <v>2706.1312887971162</v>
      </c>
      <c r="FP68" s="264">
        <v>9.1620630550997229E-2</v>
      </c>
      <c r="FQ68" s="264">
        <v>0.15166478630756974</v>
      </c>
      <c r="FR68" s="432">
        <v>0.17605468861626528</v>
      </c>
      <c r="FS68" s="650">
        <v>3000</v>
      </c>
      <c r="FT68" s="641">
        <v>0.19084524149726589</v>
      </c>
      <c r="FU68" s="677">
        <v>3100</v>
      </c>
      <c r="FV68" s="668">
        <v>0.18547529748734015</v>
      </c>
      <c r="FW68" s="671">
        <v>3236.0832333965891</v>
      </c>
      <c r="FX68" s="668">
        <v>0.1755977423921915</v>
      </c>
      <c r="FY68" s="751"/>
      <c r="FZ68" s="749">
        <v>-1</v>
      </c>
      <c r="GA68" s="784"/>
      <c r="GB68" s="784"/>
      <c r="GC68" s="808"/>
      <c r="GD68" s="784"/>
      <c r="GE68" s="808"/>
    </row>
    <row r="69" spans="1:187">
      <c r="A69" s="161"/>
      <c r="B69" s="161" t="str">
        <f>B52</f>
        <v>Voice</v>
      </c>
      <c r="C69" s="161"/>
      <c r="D69" s="161"/>
      <c r="E69" s="161"/>
      <c r="F69" s="161"/>
      <c r="G69" s="161"/>
      <c r="H69" s="161"/>
      <c r="I69" s="161"/>
      <c r="J69" s="161"/>
      <c r="K69" s="161"/>
      <c r="L69" s="263">
        <f t="shared" ref="L69:Y69" si="109">L52*3*AVERAGE(K24,L24)/1000</f>
        <v>287.42849999999999</v>
      </c>
      <c r="M69" s="263">
        <f t="shared" si="109"/>
        <v>283.57422974999997</v>
      </c>
      <c r="N69" s="263">
        <f t="shared" si="109"/>
        <v>273.15474285000005</v>
      </c>
      <c r="O69" s="263">
        <f t="shared" si="109"/>
        <v>288.81044999999995</v>
      </c>
      <c r="P69" s="263">
        <f t="shared" si="109"/>
        <v>290.58300000000003</v>
      </c>
      <c r="Q69" s="263">
        <f t="shared" si="109"/>
        <v>276.24510000000004</v>
      </c>
      <c r="R69" s="263">
        <f t="shared" si="109"/>
        <v>282.42</v>
      </c>
      <c r="S69" s="263">
        <f t="shared" si="109"/>
        <v>282.69150000000002</v>
      </c>
      <c r="T69" s="263">
        <f t="shared" si="109"/>
        <v>296.56740000000002</v>
      </c>
      <c r="U69" s="263">
        <f t="shared" si="109"/>
        <v>311.63040000000001</v>
      </c>
      <c r="V69" s="263">
        <f t="shared" si="109"/>
        <v>310.94489999999996</v>
      </c>
      <c r="W69" s="263">
        <f t="shared" si="109"/>
        <v>309.47894999999994</v>
      </c>
      <c r="X69" s="263">
        <f t="shared" si="109"/>
        <v>300.68811854999996</v>
      </c>
      <c r="Y69" s="263">
        <f t="shared" si="109"/>
        <v>311.25991064999999</v>
      </c>
      <c r="Z69" s="270">
        <v>326</v>
      </c>
      <c r="AA69" s="270">
        <v>327.8</v>
      </c>
      <c r="AB69" s="263">
        <v>334.7</v>
      </c>
      <c r="AC69" s="263">
        <f>AC52*3*AVERAGE(AB24,AC24)/1000</f>
        <v>329.238</v>
      </c>
      <c r="AD69" s="270">
        <v>349</v>
      </c>
      <c r="AE69" s="270">
        <v>344.35</v>
      </c>
      <c r="AF69" s="263">
        <f t="shared" ref="AF69:AT69" si="110">AF52*3*AVERAGE(AE24,AF24)/1000</f>
        <v>339.43497840000003</v>
      </c>
      <c r="AG69" s="263">
        <f t="shared" si="110"/>
        <v>359.21065349999998</v>
      </c>
      <c r="AH69" s="263">
        <f t="shared" si="110"/>
        <v>376.4756754</v>
      </c>
      <c r="AI69" s="263">
        <f t="shared" si="110"/>
        <v>402.67127999999991</v>
      </c>
      <c r="AJ69" s="263">
        <f t="shared" si="110"/>
        <v>417.16523699999999</v>
      </c>
      <c r="AK69" s="263">
        <f t="shared" si="110"/>
        <v>411.32820329999998</v>
      </c>
      <c r="AL69" s="263">
        <f t="shared" si="110"/>
        <v>410.16515400000003</v>
      </c>
      <c r="AM69" s="263">
        <f t="shared" si="110"/>
        <v>402.5487222000001</v>
      </c>
      <c r="AN69" s="263">
        <f t="shared" si="110"/>
        <v>388.74285449999996</v>
      </c>
      <c r="AO69" s="263">
        <f t="shared" si="110"/>
        <v>409.02597450000002</v>
      </c>
      <c r="AP69" s="263">
        <f t="shared" si="110"/>
        <v>427.13384175000004</v>
      </c>
      <c r="AQ69" s="263">
        <f t="shared" si="110"/>
        <v>431.40774149999999</v>
      </c>
      <c r="AR69" s="263">
        <f t="shared" si="110"/>
        <v>371.01822974999999</v>
      </c>
      <c r="AS69" s="263">
        <f t="shared" si="110"/>
        <v>394.92278279999999</v>
      </c>
      <c r="AT69" s="263">
        <f t="shared" si="110"/>
        <v>403.26742860000002</v>
      </c>
      <c r="AU69" s="263">
        <v>426.19600000000003</v>
      </c>
      <c r="AV69" s="263">
        <f t="shared" ref="AV69:BO69" si="111">AV52*3*AVERAGE(AU24,AV24)/1000</f>
        <v>440.98553385000002</v>
      </c>
      <c r="AW69" s="263">
        <f t="shared" si="111"/>
        <v>434.32359750000001</v>
      </c>
      <c r="AX69" s="263">
        <f t="shared" si="111"/>
        <v>461.00023245</v>
      </c>
      <c r="AY69" s="263">
        <f t="shared" si="111"/>
        <v>496.36741140000004</v>
      </c>
      <c r="AZ69" s="263">
        <f t="shared" si="111"/>
        <v>548.54547374999993</v>
      </c>
      <c r="BA69" s="263">
        <f t="shared" si="111"/>
        <v>574.36453260000019</v>
      </c>
      <c r="BB69" s="263">
        <f t="shared" si="111"/>
        <v>588.96914400000014</v>
      </c>
      <c r="BC69" s="263">
        <f t="shared" si="111"/>
        <v>625.49934614999995</v>
      </c>
      <c r="BD69" s="263">
        <f t="shared" si="111"/>
        <v>652.73372774999996</v>
      </c>
      <c r="BE69" s="263">
        <f t="shared" si="111"/>
        <v>631.06827420000002</v>
      </c>
      <c r="BF69" s="263">
        <f t="shared" si="111"/>
        <v>576.74364000000003</v>
      </c>
      <c r="BG69" s="263">
        <f t="shared" si="111"/>
        <v>599.06481179999992</v>
      </c>
      <c r="BH69" s="263">
        <f t="shared" si="111"/>
        <v>620.06482559999995</v>
      </c>
      <c r="BI69" s="263">
        <f t="shared" si="111"/>
        <v>639.80762895000009</v>
      </c>
      <c r="BJ69" s="263">
        <f t="shared" si="111"/>
        <v>638.46914174999995</v>
      </c>
      <c r="BK69" s="263">
        <f t="shared" si="111"/>
        <v>657.85198679999996</v>
      </c>
      <c r="BL69" s="263">
        <f t="shared" si="111"/>
        <v>689.07181155000001</v>
      </c>
      <c r="BM69" s="263">
        <f t="shared" si="111"/>
        <v>715.07520314999999</v>
      </c>
      <c r="BN69" s="772">
        <f t="shared" si="111"/>
        <v>718.82757824999987</v>
      </c>
      <c r="BO69" s="772">
        <f t="shared" si="111"/>
        <v>751.05365099999995</v>
      </c>
      <c r="BP69" s="263"/>
      <c r="BQ69" s="263"/>
      <c r="BR69" s="263"/>
      <c r="BS69" s="263"/>
      <c r="BT69" s="263"/>
      <c r="BU69" s="784"/>
      <c r="BV69" s="784"/>
      <c r="BW69" s="784"/>
      <c r="BX69" s="784"/>
      <c r="BY69" s="263"/>
      <c r="BZ69" s="263"/>
      <c r="CA69" s="264">
        <f t="shared" si="100"/>
        <v>2.0594460102621337E-2</v>
      </c>
      <c r="CB69" s="264">
        <f t="shared" si="100"/>
        <v>0.12809385578241916</v>
      </c>
      <c r="CC69" s="264">
        <f t="shared" si="100"/>
        <v>0.10100169959634564</v>
      </c>
      <c r="CD69" s="264">
        <f t="shared" si="100"/>
        <v>9.4758597269461342E-2</v>
      </c>
      <c r="CE69" s="264">
        <f t="shared" si="100"/>
        <v>1.3894711792327596E-2</v>
      </c>
      <c r="CF69" s="264">
        <f t="shared" si="100"/>
        <v>-1.1888742240808714E-3</v>
      </c>
      <c r="CG69" s="264">
        <f t="shared" si="100"/>
        <v>4.8417259778179567E-2</v>
      </c>
      <c r="CH69" s="264">
        <f t="shared" si="100"/>
        <v>5.9199664468294388E-2</v>
      </c>
      <c r="CI69" s="264">
        <f t="shared" si="100"/>
        <v>0.11311348653885833</v>
      </c>
      <c r="CJ69" s="264">
        <f t="shared" si="100"/>
        <v>5.7759090505605348E-2</v>
      </c>
      <c r="CK69" s="264">
        <f t="shared" si="101"/>
        <v>7.055214723926384E-2</v>
      </c>
      <c r="CL69" s="264">
        <f t="shared" si="101"/>
        <v>5.0488102501525356E-2</v>
      </c>
      <c r="CM69" s="264">
        <f t="shared" si="101"/>
        <v>1.4146932775620069E-2</v>
      </c>
      <c r="CN69" s="264">
        <f t="shared" si="101"/>
        <v>9.1036434129717625E-2</v>
      </c>
      <c r="CO69" s="264">
        <f t="shared" si="101"/>
        <v>7.8726863610315112E-2</v>
      </c>
      <c r="CP69" s="264">
        <f t="shared" si="101"/>
        <v>0.16936628430376044</v>
      </c>
      <c r="CQ69" s="264">
        <f t="shared" si="101"/>
        <v>0.2289989645922712</v>
      </c>
      <c r="CR69" s="264">
        <f t="shared" si="101"/>
        <v>0.14508909825526661</v>
      </c>
      <c r="CS69" s="264">
        <f t="shared" si="101"/>
        <v>8.9486468320178814E-2</v>
      </c>
      <c r="CT69" s="264">
        <f t="shared" si="101"/>
        <v>-3.0436191029026283E-4</v>
      </c>
      <c r="CU69" s="264">
        <f t="shared" si="102"/>
        <v>-6.8132193143409125E-2</v>
      </c>
      <c r="CV69" s="264">
        <f t="shared" si="102"/>
        <v>-5.5970604046347017E-3</v>
      </c>
      <c r="CW69" s="264">
        <f t="shared" si="102"/>
        <v>4.1370378698722954E-2</v>
      </c>
      <c r="CX69" s="264">
        <f t="shared" si="102"/>
        <v>7.1690748742860855E-2</v>
      </c>
      <c r="CY69" s="264">
        <f t="shared" si="102"/>
        <v>-4.5594728095510129E-2</v>
      </c>
      <c r="CZ69" s="264">
        <f t="shared" si="102"/>
        <v>-3.4479941566645023E-2</v>
      </c>
      <c r="DA69" s="264">
        <f t="shared" si="102"/>
        <v>-5.5875725164312717E-2</v>
      </c>
      <c r="DB69" s="264">
        <f t="shared" si="102"/>
        <v>-1.2080778805402925E-2</v>
      </c>
      <c r="DC69" s="264">
        <f t="shared" si="102"/>
        <v>0.18858184986528959</v>
      </c>
      <c r="DD69" s="264">
        <f t="shared" si="102"/>
        <v>9.9768401358484526E-2</v>
      </c>
      <c r="DE69" s="264">
        <f t="shared" si="103"/>
        <v>0.14316257588773684</v>
      </c>
      <c r="DF69" s="264">
        <f t="shared" si="103"/>
        <v>0.16464587044458412</v>
      </c>
      <c r="DG69" s="264">
        <f t="shared" si="103"/>
        <v>0.24390809140824588</v>
      </c>
      <c r="DH69" s="264">
        <f t="shared" si="103"/>
        <v>0.3224345531904933</v>
      </c>
      <c r="DI69" s="264">
        <f t="shared" si="103"/>
        <v>0.27758968985743326</v>
      </c>
      <c r="DJ69" s="264">
        <f t="shared" si="103"/>
        <v>0.26015393392927311</v>
      </c>
      <c r="DK69" s="467">
        <f t="shared" si="103"/>
        <v>0.18993549119591124</v>
      </c>
      <c r="DL69" s="467">
        <f t="shared" si="103"/>
        <v>9.8724309008630051E-2</v>
      </c>
      <c r="DM69" s="467">
        <f t="shared" si="103"/>
        <v>-2.0757460937546379E-2</v>
      </c>
      <c r="DN69" s="467">
        <f t="shared" si="103"/>
        <v>-4.2261489980296219E-2</v>
      </c>
      <c r="DO69" s="467">
        <f t="shared" si="104"/>
        <v>-5.0049355136911777E-2</v>
      </c>
      <c r="DP69" s="467">
        <f t="shared" si="104"/>
        <v>1.3848509119047225E-2</v>
      </c>
      <c r="DQ69" s="467">
        <f t="shared" si="104"/>
        <v>0.10702415678133859</v>
      </c>
      <c r="DR69" s="467">
        <f t="shared" si="104"/>
        <v>9.8131577488858479E-2</v>
      </c>
      <c r="DS69" s="467">
        <f t="shared" si="104"/>
        <v>0.11128995405153974</v>
      </c>
      <c r="DT69" s="467">
        <f t="shared" si="104"/>
        <v>0.1176409451752285</v>
      </c>
      <c r="DU69" s="803">
        <f t="shared" si="104"/>
        <v>0.12586111253512255</v>
      </c>
      <c r="DV69" s="803">
        <f t="shared" si="104"/>
        <v>0.14167573568237191</v>
      </c>
      <c r="DW69" s="803">
        <f t="shared" si="104"/>
        <v>-1</v>
      </c>
      <c r="DX69" s="803">
        <f t="shared" si="104"/>
        <v>-1</v>
      </c>
      <c r="DY69" s="803">
        <f t="shared" si="105"/>
        <v>-1</v>
      </c>
      <c r="DZ69" s="803">
        <f t="shared" si="105"/>
        <v>-1</v>
      </c>
      <c r="EA69" s="803" t="e">
        <f t="shared" si="105"/>
        <v>#DIV/0!</v>
      </c>
      <c r="EB69" s="1033"/>
      <c r="EC69" s="1033"/>
      <c r="ED69" s="1033"/>
      <c r="EF69" s="161"/>
      <c r="EH69" s="161"/>
      <c r="EM69" s="161"/>
      <c r="EN69" s="161"/>
      <c r="EO69" s="161"/>
      <c r="EP69" s="161"/>
      <c r="FL69" s="263">
        <v>602.75774999999999</v>
      </c>
      <c r="FM69" s="263">
        <v>624.76337699999999</v>
      </c>
      <c r="FN69" s="263">
        <v>586.42849799999999</v>
      </c>
      <c r="FO69" s="433">
        <v>663.7701442849874</v>
      </c>
      <c r="FP69" s="264">
        <v>-9.9908321456860794E-3</v>
      </c>
      <c r="FQ69" s="264">
        <v>1.679231001142889E-2</v>
      </c>
      <c r="FR69" s="432">
        <v>0.10801057116102086</v>
      </c>
      <c r="FS69" s="650">
        <v>710</v>
      </c>
      <c r="FT69" s="641">
        <v>0.10970855593765561</v>
      </c>
      <c r="FU69" s="677">
        <v>700</v>
      </c>
      <c r="FV69" s="668">
        <v>9.6372485726323731E-2</v>
      </c>
      <c r="FW69" s="671">
        <v>751.82118271329875</v>
      </c>
      <c r="FX69" s="668">
        <v>0.14284245970038745</v>
      </c>
      <c r="FY69" s="751"/>
      <c r="FZ69" s="749">
        <v>-1</v>
      </c>
      <c r="GA69" s="784"/>
      <c r="GB69" s="784"/>
      <c r="GC69" s="808"/>
      <c r="GD69" s="784"/>
      <c r="GE69" s="808"/>
    </row>
    <row r="70" spans="1:187">
      <c r="A70" s="161"/>
      <c r="B70" s="161" t="s">
        <v>454</v>
      </c>
      <c r="C70" s="161"/>
      <c r="D70" s="161"/>
      <c r="E70" s="161"/>
      <c r="F70" s="161"/>
      <c r="G70" s="161"/>
      <c r="H70" s="161"/>
      <c r="I70" s="161"/>
      <c r="J70" s="161"/>
      <c r="K70" s="161"/>
      <c r="L70" s="263"/>
      <c r="M70" s="263"/>
      <c r="N70" s="263"/>
      <c r="O70" s="263"/>
      <c r="P70" s="263"/>
      <c r="Q70" s="263"/>
      <c r="R70" s="263"/>
      <c r="S70" s="263"/>
      <c r="T70" s="263">
        <f t="shared" ref="T70:BO70" si="112">T104-T76-T67-T68-T69</f>
        <v>35.935049999999876</v>
      </c>
      <c r="U70" s="263">
        <f t="shared" si="112"/>
        <v>1.1807499999998754</v>
      </c>
      <c r="V70" s="263">
        <f t="shared" si="112"/>
        <v>14.349549999999908</v>
      </c>
      <c r="W70" s="263">
        <v>26</v>
      </c>
      <c r="X70" s="263">
        <f t="shared" si="112"/>
        <v>35.650651450000112</v>
      </c>
      <c r="Y70" s="263">
        <f t="shared" si="112"/>
        <v>28.27383264999952</v>
      </c>
      <c r="Z70" s="263">
        <f t="shared" si="112"/>
        <v>30.800000000000182</v>
      </c>
      <c r="AA70" s="263">
        <f t="shared" si="112"/>
        <v>30.157000000000096</v>
      </c>
      <c r="AB70" s="263">
        <f t="shared" si="112"/>
        <v>45.200000000000102</v>
      </c>
      <c r="AC70" s="263">
        <f t="shared" si="112"/>
        <v>65.736120000000199</v>
      </c>
      <c r="AD70" s="263">
        <f t="shared" si="112"/>
        <v>18.999999999999886</v>
      </c>
      <c r="AE70" s="263">
        <f t="shared" si="112"/>
        <v>29.838334500000997</v>
      </c>
      <c r="AF70" s="263">
        <f t="shared" si="112"/>
        <v>31.154021600000362</v>
      </c>
      <c r="AG70" s="263">
        <f t="shared" si="112"/>
        <v>34.182538950000719</v>
      </c>
      <c r="AH70" s="263">
        <f t="shared" si="112"/>
        <v>27.889238199999909</v>
      </c>
      <c r="AI70" s="263">
        <f t="shared" si="112"/>
        <v>28.83771500000023</v>
      </c>
      <c r="AJ70" s="263">
        <f t="shared" si="112"/>
        <v>26.818363000000716</v>
      </c>
      <c r="AK70" s="263">
        <f t="shared" si="112"/>
        <v>20.880675899999744</v>
      </c>
      <c r="AL70" s="263">
        <f t="shared" si="112"/>
        <v>35.025878449999254</v>
      </c>
      <c r="AM70" s="263">
        <f t="shared" si="112"/>
        <v>46.715984750000246</v>
      </c>
      <c r="AN70" s="263">
        <f t="shared" si="112"/>
        <v>51.259461549999116</v>
      </c>
      <c r="AO70" s="263">
        <f t="shared" si="112"/>
        <v>35.78654084999954</v>
      </c>
      <c r="AP70" s="263">
        <f t="shared" si="112"/>
        <v>32.463314150000599</v>
      </c>
      <c r="AQ70" s="263">
        <f t="shared" si="112"/>
        <v>27.857727799999736</v>
      </c>
      <c r="AR70" s="263">
        <f t="shared" si="112"/>
        <v>27.261337650000598</v>
      </c>
      <c r="AS70" s="263">
        <f t="shared" si="112"/>
        <v>83.489574150000692</v>
      </c>
      <c r="AT70" s="263">
        <f t="shared" si="112"/>
        <v>25.524236399999268</v>
      </c>
      <c r="AU70" s="263">
        <f t="shared" si="112"/>
        <v>30.268000000000143</v>
      </c>
      <c r="AV70" s="263">
        <f t="shared" si="112"/>
        <v>32.846979750000287</v>
      </c>
      <c r="AW70" s="263">
        <f t="shared" si="112"/>
        <v>38.013545450000038</v>
      </c>
      <c r="AX70" s="263">
        <f t="shared" si="112"/>
        <v>80.645292249999216</v>
      </c>
      <c r="AY70" s="263">
        <f t="shared" si="112"/>
        <v>77.167977249999467</v>
      </c>
      <c r="AZ70" s="263">
        <f t="shared" si="112"/>
        <v>89.296444749999637</v>
      </c>
      <c r="BA70" s="263">
        <f t="shared" si="112"/>
        <v>90.286794349999923</v>
      </c>
      <c r="BB70" s="263">
        <f t="shared" si="112"/>
        <v>108.62361850000025</v>
      </c>
      <c r="BC70" s="263">
        <f t="shared" si="112"/>
        <v>128.49806115000035</v>
      </c>
      <c r="BD70" s="263">
        <f t="shared" si="112"/>
        <v>154.32089525000004</v>
      </c>
      <c r="BE70" s="263">
        <f t="shared" si="112"/>
        <v>145.37110399999972</v>
      </c>
      <c r="BF70" s="263">
        <f t="shared" si="112"/>
        <v>167.6505473999988</v>
      </c>
      <c r="BG70" s="263">
        <f t="shared" si="112"/>
        <v>182.99333900000011</v>
      </c>
      <c r="BH70" s="263">
        <f t="shared" si="112"/>
        <v>197.61687770000026</v>
      </c>
      <c r="BI70" s="263">
        <f t="shared" si="112"/>
        <v>206.21810435000032</v>
      </c>
      <c r="BJ70" s="263">
        <f t="shared" si="112"/>
        <v>240.71308215000033</v>
      </c>
      <c r="BK70" s="263">
        <f t="shared" si="112"/>
        <v>209.64449000000138</v>
      </c>
      <c r="BL70" s="263">
        <f t="shared" si="112"/>
        <v>227.07451000000026</v>
      </c>
      <c r="BM70" s="263">
        <f t="shared" si="112"/>
        <v>178.50351609999927</v>
      </c>
      <c r="BN70" s="772">
        <f t="shared" si="112"/>
        <v>206.86063075000095</v>
      </c>
      <c r="BO70" s="772">
        <f t="shared" si="112"/>
        <v>297.64269412499948</v>
      </c>
      <c r="BP70" s="263"/>
      <c r="BQ70" s="263"/>
      <c r="BR70" s="263"/>
      <c r="BS70" s="263"/>
      <c r="BT70" s="263"/>
      <c r="BU70" s="784"/>
      <c r="BV70" s="784"/>
      <c r="BW70" s="784"/>
      <c r="BX70" s="784"/>
      <c r="BY70" s="263"/>
      <c r="BZ70" s="263"/>
      <c r="CA70" s="264"/>
      <c r="CB70" s="264"/>
      <c r="CC70" s="264"/>
      <c r="CD70" s="264"/>
      <c r="CE70" s="264"/>
      <c r="CF70" s="264"/>
      <c r="CG70" s="264"/>
      <c r="CH70" s="264"/>
      <c r="CI70" s="264"/>
      <c r="CJ70" s="264"/>
      <c r="CK70" s="264"/>
      <c r="CL70" s="264"/>
      <c r="CM70" s="264"/>
      <c r="CN70" s="264"/>
      <c r="CO70" s="264"/>
      <c r="CP70" s="264"/>
      <c r="CQ70" s="264"/>
      <c r="CR70" s="264"/>
      <c r="CS70" s="264"/>
      <c r="CT70" s="264"/>
      <c r="CU70" s="264"/>
      <c r="CV70" s="264"/>
      <c r="CW70" s="264"/>
      <c r="CX70" s="264"/>
      <c r="CY70" s="264"/>
      <c r="CZ70" s="264"/>
      <c r="DA70" s="264"/>
      <c r="DB70" s="264"/>
      <c r="DC70" s="264"/>
      <c r="DD70" s="264"/>
      <c r="DE70" s="264"/>
      <c r="DF70" s="264"/>
      <c r="DG70" s="264"/>
      <c r="DH70" s="264"/>
      <c r="DI70" s="161"/>
      <c r="DJ70" s="161"/>
      <c r="DK70" s="467">
        <f t="shared" ref="DK70:EA72" si="113">BD70/AZ70-1</f>
        <v>0.72818633129288912</v>
      </c>
      <c r="DL70" s="467">
        <f t="shared" si="113"/>
        <v>0.61010372609380203</v>
      </c>
      <c r="DM70" s="467">
        <f t="shared" si="113"/>
        <v>0.54340786759924065</v>
      </c>
      <c r="DN70" s="467">
        <f t="shared" si="113"/>
        <v>0.42409416424101121</v>
      </c>
      <c r="DO70" s="467">
        <f t="shared" si="113"/>
        <v>0.28055813426860099</v>
      </c>
      <c r="DP70" s="467">
        <f t="shared" si="113"/>
        <v>0.41856324039473969</v>
      </c>
      <c r="DQ70" s="467">
        <f t="shared" si="113"/>
        <v>0.43580254215144931</v>
      </c>
      <c r="DR70" s="467">
        <f t="shared" si="113"/>
        <v>0.14564000605509064</v>
      </c>
      <c r="DS70" s="467">
        <f t="shared" si="113"/>
        <v>0.14906435443595689</v>
      </c>
      <c r="DT70" s="467">
        <f t="shared" si="113"/>
        <v>-0.13439454473387513</v>
      </c>
      <c r="DU70" s="803">
        <f t="shared" si="113"/>
        <v>-0.14063403242414652</v>
      </c>
      <c r="DV70" s="803">
        <f t="shared" si="113"/>
        <v>0.41974966346598253</v>
      </c>
      <c r="DW70" s="803">
        <f t="shared" si="113"/>
        <v>-1</v>
      </c>
      <c r="DX70" s="803">
        <f t="shared" si="113"/>
        <v>-1</v>
      </c>
      <c r="DY70" s="803">
        <f t="shared" si="113"/>
        <v>-1</v>
      </c>
      <c r="DZ70" s="803">
        <f t="shared" si="113"/>
        <v>-1</v>
      </c>
      <c r="EA70" s="803" t="e">
        <f t="shared" si="113"/>
        <v>#DIV/0!</v>
      </c>
      <c r="EB70" s="1033"/>
      <c r="EC70" s="1033"/>
      <c r="ED70" s="1033"/>
      <c r="EF70" s="161"/>
      <c r="EH70" s="161"/>
      <c r="EM70" s="161"/>
      <c r="EN70" s="161"/>
      <c r="EO70" s="161"/>
      <c r="EP70" s="161"/>
      <c r="FL70" s="271">
        <v>190</v>
      </c>
      <c r="FM70" s="271">
        <v>195</v>
      </c>
      <c r="FN70" s="271">
        <v>210</v>
      </c>
      <c r="FO70" s="433">
        <v>194.52355779450841</v>
      </c>
      <c r="FP70" s="161"/>
      <c r="FQ70" s="161"/>
      <c r="FR70" s="430"/>
      <c r="FS70" s="650">
        <v>230</v>
      </c>
      <c r="FT70" s="639"/>
      <c r="FU70" s="677">
        <v>235</v>
      </c>
      <c r="FV70" s="667"/>
      <c r="FW70" s="671">
        <v>244.72950475111827</v>
      </c>
      <c r="FX70" s="668">
        <v>0.16735481457736689</v>
      </c>
      <c r="FY70" s="751"/>
      <c r="FZ70" s="749">
        <v>-1</v>
      </c>
      <c r="GA70" s="784"/>
      <c r="GB70" s="784"/>
      <c r="GC70" s="808"/>
      <c r="GD70" s="784"/>
      <c r="GE70" s="808"/>
    </row>
    <row r="71" spans="1:187">
      <c r="A71" s="161"/>
      <c r="B71" s="855" t="s">
        <v>455</v>
      </c>
      <c r="C71" s="855"/>
      <c r="D71" s="855"/>
      <c r="E71" s="855"/>
      <c r="F71" s="855"/>
      <c r="G71" s="855"/>
      <c r="H71" s="855"/>
      <c r="I71" s="855"/>
      <c r="J71" s="855"/>
      <c r="K71" s="855"/>
      <c r="L71" s="870">
        <f t="shared" ref="L71:S71" si="114">L72-L69-L68-L67</f>
        <v>115.4266540000001</v>
      </c>
      <c r="M71" s="870">
        <f t="shared" si="114"/>
        <v>128.7076955</v>
      </c>
      <c r="N71" s="870">
        <f t="shared" si="114"/>
        <v>114.26888244999986</v>
      </c>
      <c r="O71" s="870">
        <f t="shared" si="114"/>
        <v>131.55514999999991</v>
      </c>
      <c r="P71" s="870">
        <f t="shared" si="114"/>
        <v>149.05289999999991</v>
      </c>
      <c r="Q71" s="870">
        <f t="shared" si="114"/>
        <v>127.7953</v>
      </c>
      <c r="R71" s="870">
        <f t="shared" si="114"/>
        <v>134.39770000000021</v>
      </c>
      <c r="S71" s="870">
        <f t="shared" si="114"/>
        <v>135.71240000000034</v>
      </c>
      <c r="T71" s="870">
        <f t="shared" ref="T71:BD71" si="115">T72-T69-T68-T67-T70</f>
        <v>123.70000000000044</v>
      </c>
      <c r="U71" s="870">
        <f t="shared" si="115"/>
        <v>123.70000000000039</v>
      </c>
      <c r="V71" s="870">
        <f t="shared" si="115"/>
        <v>141.80000000000018</v>
      </c>
      <c r="W71" s="870">
        <v>303</v>
      </c>
      <c r="X71" s="870">
        <f t="shared" si="115"/>
        <v>265.59999999999974</v>
      </c>
      <c r="Y71" s="870">
        <f t="shared" si="115"/>
        <v>307.5750000000001</v>
      </c>
      <c r="Z71" s="870">
        <f t="shared" si="115"/>
        <v>330.19999999999982</v>
      </c>
      <c r="AA71" s="870">
        <f t="shared" si="115"/>
        <v>429.79599999999988</v>
      </c>
      <c r="AB71" s="870">
        <f t="shared" si="115"/>
        <v>498.40000000000026</v>
      </c>
      <c r="AC71" s="870">
        <f t="shared" si="115"/>
        <v>870.00000000000023</v>
      </c>
      <c r="AD71" s="870">
        <f t="shared" si="115"/>
        <v>620.4000000000002</v>
      </c>
      <c r="AE71" s="870">
        <f t="shared" si="115"/>
        <v>681.15299999999945</v>
      </c>
      <c r="AF71" s="870">
        <f t="shared" si="115"/>
        <v>682.17499999999995</v>
      </c>
      <c r="AG71" s="870">
        <f t="shared" si="115"/>
        <v>753.42700000000013</v>
      </c>
      <c r="AH71" s="870">
        <f t="shared" si="115"/>
        <v>766.7</v>
      </c>
      <c r="AI71" s="870">
        <f t="shared" si="115"/>
        <v>921.80000000000007</v>
      </c>
      <c r="AJ71" s="870">
        <f t="shared" si="115"/>
        <v>760.35999999999945</v>
      </c>
      <c r="AK71" s="870">
        <f t="shared" si="115"/>
        <v>607.24000000000024</v>
      </c>
      <c r="AL71" s="870">
        <f t="shared" si="115"/>
        <v>698.40000000000032</v>
      </c>
      <c r="AM71" s="870">
        <f t="shared" si="115"/>
        <v>748.69999999999959</v>
      </c>
      <c r="AN71" s="870">
        <f t="shared" si="115"/>
        <v>799.7</v>
      </c>
      <c r="AO71" s="870">
        <f t="shared" si="115"/>
        <v>895.84099999999989</v>
      </c>
      <c r="AP71" s="870">
        <f t="shared" si="115"/>
        <v>825.59999999999968</v>
      </c>
      <c r="AQ71" s="870">
        <f t="shared" si="115"/>
        <v>926.49999999999955</v>
      </c>
      <c r="AR71" s="870">
        <f t="shared" si="115"/>
        <v>948.09999999999968</v>
      </c>
      <c r="AS71" s="870">
        <f t="shared" si="115"/>
        <v>990.79299999999944</v>
      </c>
      <c r="AT71" s="870">
        <f t="shared" si="115"/>
        <v>1070.3999999999996</v>
      </c>
      <c r="AU71" s="870">
        <f t="shared" si="115"/>
        <v>1170.6330000000003</v>
      </c>
      <c r="AV71" s="870">
        <f t="shared" si="115"/>
        <v>959.87899999999979</v>
      </c>
      <c r="AW71" s="870">
        <f t="shared" si="115"/>
        <v>972.69200000000046</v>
      </c>
      <c r="AX71" s="870">
        <f t="shared" si="115"/>
        <v>975.32400000000064</v>
      </c>
      <c r="AY71" s="870">
        <f t="shared" si="115"/>
        <v>989.04099999999949</v>
      </c>
      <c r="AZ71" s="870">
        <f t="shared" si="115"/>
        <v>991.07900000000086</v>
      </c>
      <c r="BA71" s="870">
        <f t="shared" si="115"/>
        <v>1030.7999999999997</v>
      </c>
      <c r="BB71" s="870">
        <f t="shared" si="115"/>
        <v>1043.5540000000005</v>
      </c>
      <c r="BC71" s="870">
        <f t="shared" si="115"/>
        <v>1132.2079999999996</v>
      </c>
      <c r="BD71" s="870">
        <f t="shared" si="115"/>
        <v>1139.0630000000001</v>
      </c>
      <c r="BE71" s="870">
        <f>BE72-BE69-BE68-BE67-BE70</f>
        <v>1181.3379999999997</v>
      </c>
      <c r="BF71" s="870">
        <f>BF72-BF69-BF68-BF67-BF70</f>
        <v>1305.5350000000012</v>
      </c>
      <c r="BG71" s="870">
        <f>BG72-BG69-BG68-BG67-BG70</f>
        <v>1554.0579999999995</v>
      </c>
      <c r="BH71" s="870">
        <f t="shared" ref="BH71:BM71" si="116">BH72-BH69-BH68-BH67-BH70</f>
        <v>1333.3319999999994</v>
      </c>
      <c r="BI71" s="870">
        <f t="shared" si="116"/>
        <v>1352.962</v>
      </c>
      <c r="BJ71" s="870">
        <f t="shared" si="116"/>
        <v>1300.2369999999992</v>
      </c>
      <c r="BK71" s="870">
        <f t="shared" si="116"/>
        <v>1416.4529999999991</v>
      </c>
      <c r="BL71" s="870">
        <f t="shared" si="116"/>
        <v>1402.9919999999997</v>
      </c>
      <c r="BM71" s="870">
        <f t="shared" si="116"/>
        <v>1450.5110000000022</v>
      </c>
      <c r="BN71" s="870">
        <f>BN81</f>
        <v>1388.85</v>
      </c>
      <c r="BO71" s="870">
        <f t="shared" ref="BO71:BT71" si="117">BO81+BO82</f>
        <v>1416.952</v>
      </c>
      <c r="BP71" s="870">
        <f t="shared" si="117"/>
        <v>1413.501</v>
      </c>
      <c r="BQ71" s="870">
        <f t="shared" si="117"/>
        <v>1305.386</v>
      </c>
      <c r="BR71" s="870">
        <f t="shared" si="117"/>
        <v>1326.2929999999999</v>
      </c>
      <c r="BS71" s="870">
        <f t="shared" si="117"/>
        <v>1380.9380000000001</v>
      </c>
      <c r="BT71" s="870">
        <f t="shared" si="117"/>
        <v>1351.771</v>
      </c>
      <c r="BU71" s="841"/>
      <c r="BV71" s="841"/>
      <c r="BW71" s="841"/>
      <c r="BX71" s="841"/>
      <c r="BY71" s="263"/>
      <c r="BZ71" s="263"/>
      <c r="CA71" s="875">
        <f t="shared" ref="CA71:CJ72" si="118">T71/P71-1</f>
        <v>-0.17009330244496734</v>
      </c>
      <c r="CB71" s="875">
        <f t="shared" si="118"/>
        <v>-3.2045779461369994E-2</v>
      </c>
      <c r="CC71" s="875">
        <f t="shared" si="118"/>
        <v>5.5077579452624148E-2</v>
      </c>
      <c r="CD71" s="875">
        <f t="shared" si="118"/>
        <v>1.2326626012066639</v>
      </c>
      <c r="CE71" s="875">
        <f t="shared" si="118"/>
        <v>1.1471301535974034</v>
      </c>
      <c r="CF71" s="875">
        <f t="shared" si="118"/>
        <v>1.486459175424407</v>
      </c>
      <c r="CG71" s="875">
        <f t="shared" si="118"/>
        <v>1.328631875881519</v>
      </c>
      <c r="CH71" s="875">
        <f t="shared" si="118"/>
        <v>0.4184686468646861</v>
      </c>
      <c r="CI71" s="875">
        <f t="shared" si="118"/>
        <v>0.87650602409638845</v>
      </c>
      <c r="CJ71" s="875">
        <f t="shared" si="118"/>
        <v>1.828578395513289</v>
      </c>
      <c r="CK71" s="875">
        <f t="shared" ref="CK71:CT72" si="119">AD71/Z71-1</f>
        <v>0.87886129618413245</v>
      </c>
      <c r="CL71" s="875">
        <f t="shared" si="119"/>
        <v>0.5848286163668337</v>
      </c>
      <c r="CM71" s="875">
        <f t="shared" si="119"/>
        <v>0.36872993579454172</v>
      </c>
      <c r="CN71" s="875">
        <f t="shared" si="119"/>
        <v>-0.13399195402298858</v>
      </c>
      <c r="CO71" s="875">
        <f t="shared" si="119"/>
        <v>0.23581560283687919</v>
      </c>
      <c r="CP71" s="875">
        <f t="shared" si="119"/>
        <v>0.35329360657591002</v>
      </c>
      <c r="CQ71" s="875">
        <f t="shared" si="119"/>
        <v>0.11461135339172435</v>
      </c>
      <c r="CR71" s="875">
        <f t="shared" si="119"/>
        <v>-0.19402941492672798</v>
      </c>
      <c r="CS71" s="875">
        <f t="shared" si="119"/>
        <v>-8.9083083344202119E-2</v>
      </c>
      <c r="CT71" s="875">
        <f t="shared" si="119"/>
        <v>-0.18778476893035412</v>
      </c>
      <c r="CU71" s="875">
        <f t="shared" ref="CU71:DD72" si="120">AN71/AJ71-1</f>
        <v>5.1738650113105189E-2</v>
      </c>
      <c r="CV71" s="875">
        <f t="shared" si="120"/>
        <v>0.47526678084447593</v>
      </c>
      <c r="CW71" s="875">
        <f t="shared" si="120"/>
        <v>0.18213058419243877</v>
      </c>
      <c r="CX71" s="875">
        <f t="shared" si="120"/>
        <v>0.23747829571256851</v>
      </c>
      <c r="CY71" s="875">
        <f t="shared" si="120"/>
        <v>0.18556958859572292</v>
      </c>
      <c r="CZ71" s="875">
        <f t="shared" si="120"/>
        <v>0.10599202313803402</v>
      </c>
      <c r="DA71" s="875">
        <f t="shared" si="120"/>
        <v>0.29651162790697683</v>
      </c>
      <c r="DB71" s="875">
        <f t="shared" si="120"/>
        <v>0.26350026983270469</v>
      </c>
      <c r="DC71" s="875">
        <f t="shared" si="120"/>
        <v>1.2423794958337897E-2</v>
      </c>
      <c r="DD71" s="875">
        <f t="shared" si="120"/>
        <v>-1.826920456644221E-2</v>
      </c>
      <c r="DE71" s="875">
        <f t="shared" ref="DE71:DJ72" si="121">AX71/AT71-1</f>
        <v>-8.8822869955156092E-2</v>
      </c>
      <c r="DF71" s="875">
        <f t="shared" si="121"/>
        <v>-0.1551229121338632</v>
      </c>
      <c r="DG71" s="875">
        <f t="shared" si="121"/>
        <v>3.2504096870544119E-2</v>
      </c>
      <c r="DH71" s="875">
        <f t="shared" si="121"/>
        <v>5.9739362511462168E-2</v>
      </c>
      <c r="DI71" s="875">
        <f t="shared" si="121"/>
        <v>6.9956240182749374E-2</v>
      </c>
      <c r="DJ71" s="875">
        <f t="shared" si="121"/>
        <v>0.14475335198439732</v>
      </c>
      <c r="DK71" s="876">
        <f t="shared" si="113"/>
        <v>0.14931604846838553</v>
      </c>
      <c r="DL71" s="876">
        <f t="shared" si="113"/>
        <v>0.14603996895615068</v>
      </c>
      <c r="DM71" s="876">
        <f t="shared" si="113"/>
        <v>0.25104690317894485</v>
      </c>
      <c r="DN71" s="876">
        <f t="shared" si="113"/>
        <v>0.37259054873309494</v>
      </c>
      <c r="DO71" s="876">
        <f t="shared" si="113"/>
        <v>0.17055158494306233</v>
      </c>
      <c r="DP71" s="876">
        <f t="shared" si="113"/>
        <v>0.14527933580397834</v>
      </c>
      <c r="DQ71" s="876">
        <f t="shared" si="113"/>
        <v>-4.0581064467839489E-3</v>
      </c>
      <c r="DR71" s="876">
        <f t="shared" si="113"/>
        <v>-8.8545601258125828E-2</v>
      </c>
      <c r="DS71" s="876">
        <f t="shared" si="113"/>
        <v>5.2245052245052603E-2</v>
      </c>
      <c r="DT71" s="876">
        <f t="shared" si="113"/>
        <v>7.2100325064563764E-2</v>
      </c>
      <c r="DU71" s="876">
        <f t="shared" si="113"/>
        <v>6.8151421625442632E-2</v>
      </c>
      <c r="DV71" s="876">
        <f t="shared" si="113"/>
        <v>3.5228842750223421E-4</v>
      </c>
      <c r="DW71" s="876">
        <f t="shared" si="113"/>
        <v>7.4904204728183377E-3</v>
      </c>
      <c r="DX71" s="876">
        <f t="shared" si="113"/>
        <v>-0.10005094756261901</v>
      </c>
      <c r="DY71" s="876">
        <f t="shared" si="113"/>
        <v>-4.5042301184433198E-2</v>
      </c>
      <c r="DZ71" s="876">
        <f t="shared" si="113"/>
        <v>-2.5416527871092276E-2</v>
      </c>
      <c r="EA71" s="876">
        <f t="shared" si="113"/>
        <v>-4.3671705927339266E-2</v>
      </c>
      <c r="EB71" s="809"/>
      <c r="EC71" s="809"/>
      <c r="ED71" s="809"/>
      <c r="EF71" s="161"/>
      <c r="EH71" s="161"/>
      <c r="EM71" s="161"/>
      <c r="EN71" s="161"/>
      <c r="EO71" s="161"/>
      <c r="EP71" s="161"/>
      <c r="FL71" s="870">
        <v>1304.6857</v>
      </c>
      <c r="FM71" s="870">
        <v>1379.34942</v>
      </c>
      <c r="FN71" s="870">
        <v>1465.3127199999999</v>
      </c>
      <c r="FO71" s="873">
        <v>1323.4689999999996</v>
      </c>
      <c r="FP71" s="875">
        <v>0.16761622837833068</v>
      </c>
      <c r="FQ71" s="875">
        <v>0.12238486137866733</v>
      </c>
      <c r="FR71" s="877">
        <v>-0.14837863194295198</v>
      </c>
      <c r="FS71" s="874">
        <v>1405</v>
      </c>
      <c r="FT71" s="662">
        <v>3.8462277580597171E-2</v>
      </c>
      <c r="FU71" s="678">
        <v>1439</v>
      </c>
      <c r="FV71" s="692">
        <v>0.10672131311445598</v>
      </c>
      <c r="FW71" s="678">
        <v>1495.6829999999998</v>
      </c>
      <c r="FX71" s="668">
        <v>5.5935495212337205E-2</v>
      </c>
      <c r="FY71" s="756">
        <v>1473.1415999999999</v>
      </c>
      <c r="FZ71" s="749">
        <v>5.0000000000000044E-2</v>
      </c>
      <c r="GA71" s="841">
        <v>1465.0161100000003</v>
      </c>
      <c r="GB71" s="841">
        <v>1402.7384999999999</v>
      </c>
      <c r="GC71" s="808"/>
      <c r="GD71" s="841">
        <v>1370.7758419999993</v>
      </c>
      <c r="GE71" s="808"/>
    </row>
    <row r="72" spans="1:187">
      <c r="A72" s="161"/>
      <c r="B72" s="163" t="s">
        <v>347</v>
      </c>
      <c r="C72" s="163"/>
      <c r="D72" s="163"/>
      <c r="E72" s="163"/>
      <c r="F72" s="163"/>
      <c r="G72" s="163"/>
      <c r="H72" s="163"/>
      <c r="I72" s="308">
        <v>1808</v>
      </c>
      <c r="J72" s="308">
        <v>1892</v>
      </c>
      <c r="K72" s="308">
        <v>1961</v>
      </c>
      <c r="L72" s="308">
        <f t="shared" ref="L72:V72" si="122">L73</f>
        <v>2044</v>
      </c>
      <c r="M72" s="308">
        <f t="shared" si="122"/>
        <v>2009</v>
      </c>
      <c r="N72" s="308">
        <f t="shared" si="122"/>
        <v>2038</v>
      </c>
      <c r="O72" s="308">
        <f t="shared" si="122"/>
        <v>2159</v>
      </c>
      <c r="P72" s="308">
        <f t="shared" si="122"/>
        <v>2250</v>
      </c>
      <c r="Q72" s="308">
        <f t="shared" si="122"/>
        <v>2191</v>
      </c>
      <c r="R72" s="308">
        <f t="shared" si="122"/>
        <v>2257</v>
      </c>
      <c r="S72" s="308">
        <f t="shared" si="122"/>
        <v>2279</v>
      </c>
      <c r="T72" s="308">
        <f t="shared" si="122"/>
        <v>2401</v>
      </c>
      <c r="U72" s="308">
        <f t="shared" si="122"/>
        <v>2444</v>
      </c>
      <c r="V72" s="308">
        <f t="shared" si="122"/>
        <v>2475</v>
      </c>
      <c r="W72" s="813">
        <f>SUM(W67:W71)</f>
        <v>2757.6379999999999</v>
      </c>
      <c r="X72" s="308">
        <f>X73</f>
        <v>2696</v>
      </c>
      <c r="Y72" s="308">
        <f>Y73</f>
        <v>2791</v>
      </c>
      <c r="Z72" s="308">
        <v>2880</v>
      </c>
      <c r="AA72" s="813">
        <v>3108.453</v>
      </c>
      <c r="AB72" s="308">
        <v>3338.8</v>
      </c>
      <c r="AC72" s="308">
        <v>3708</v>
      </c>
      <c r="AD72" s="308">
        <v>3583</v>
      </c>
      <c r="AE72" s="308">
        <v>3927.5030000000002</v>
      </c>
      <c r="AF72" s="308">
        <v>4059.2640000000001</v>
      </c>
      <c r="AG72" s="308">
        <v>4222.6660000000002</v>
      </c>
      <c r="AH72" s="308">
        <v>4219.5</v>
      </c>
      <c r="AI72" s="308">
        <v>4455.7510000000002</v>
      </c>
      <c r="AJ72" s="308">
        <v>4289.9480000000003</v>
      </c>
      <c r="AK72" s="308">
        <v>4129.84</v>
      </c>
      <c r="AL72" s="813">
        <f>4351.552-74</f>
        <v>4277.5519999999997</v>
      </c>
      <c r="AM72" s="308">
        <v>4515.4989999999998</v>
      </c>
      <c r="AN72" s="308">
        <v>4695</v>
      </c>
      <c r="AO72" s="813">
        <f>4932.143-99</f>
        <v>4833.143</v>
      </c>
      <c r="AP72" s="308">
        <v>4850.9660000000003</v>
      </c>
      <c r="AQ72" s="308">
        <v>5057.0969999999998</v>
      </c>
      <c r="AR72" s="813">
        <v>5150.2</v>
      </c>
      <c r="AS72" s="813">
        <f>5424.053-79</f>
        <v>5345.0529999999999</v>
      </c>
      <c r="AT72" s="813">
        <v>5405.4</v>
      </c>
      <c r="AU72" s="813">
        <v>5624.95</v>
      </c>
      <c r="AV72" s="813">
        <v>5520.0889999999999</v>
      </c>
      <c r="AW72" s="813">
        <v>5460.4750000000004</v>
      </c>
      <c r="AX72" s="813">
        <v>5621.4369999999999</v>
      </c>
      <c r="AY72" s="813">
        <v>5780.8639999999996</v>
      </c>
      <c r="AZ72" s="813">
        <v>5951.9790000000003</v>
      </c>
      <c r="BA72" s="813">
        <v>6063.8</v>
      </c>
      <c r="BB72" s="813">
        <v>6144.9260000000004</v>
      </c>
      <c r="BC72" s="813">
        <v>6473.45</v>
      </c>
      <c r="BD72" s="813">
        <v>6562.4260000000004</v>
      </c>
      <c r="BE72" s="813">
        <v>6681.1859999999997</v>
      </c>
      <c r="BF72" s="813">
        <v>6736.8850000000002</v>
      </c>
      <c r="BG72" s="813">
        <v>7175.058</v>
      </c>
      <c r="BH72" s="813">
        <v>7152.1880000000001</v>
      </c>
      <c r="BI72" s="813">
        <v>7373.6940000000004</v>
      </c>
      <c r="BJ72" s="813">
        <v>7490.7309999999998</v>
      </c>
      <c r="BK72" s="813">
        <v>7853.9269999999997</v>
      </c>
      <c r="BL72" s="813">
        <v>7984.6030000000001</v>
      </c>
      <c r="BM72" s="813">
        <v>8135.7120000000004</v>
      </c>
      <c r="BN72" s="813">
        <v>8215.8770000000004</v>
      </c>
      <c r="BO72" s="813">
        <v>8504.6560000000009</v>
      </c>
      <c r="BP72" s="813">
        <v>8607.0949999999993</v>
      </c>
      <c r="BQ72" s="813">
        <v>8699.5190000000002</v>
      </c>
      <c r="BR72" s="813">
        <v>8921.018</v>
      </c>
      <c r="BS72" s="813">
        <v>9202.0789999999997</v>
      </c>
      <c r="BT72" s="813">
        <v>9356.7919999999995</v>
      </c>
      <c r="BU72" s="1037">
        <f>1.09*BQ72</f>
        <v>9482.4757100000006</v>
      </c>
      <c r="BV72" s="1037">
        <f>1.09*BR72</f>
        <v>9723.9096200000004</v>
      </c>
      <c r="BW72" s="1037">
        <f>BX72-BT72-BU72-BV72</f>
        <v>9921.1541500000076</v>
      </c>
      <c r="BX72" s="1037">
        <f>Master!Z8</f>
        <v>38484.331480000008</v>
      </c>
      <c r="BY72" s="975"/>
      <c r="BZ72" s="294"/>
      <c r="CA72" s="285">
        <f t="shared" si="118"/>
        <v>6.7111111111111121E-2</v>
      </c>
      <c r="CB72" s="285">
        <f t="shared" si="118"/>
        <v>0.11547238703788221</v>
      </c>
      <c r="CC72" s="285">
        <f t="shared" si="118"/>
        <v>9.6588391670358931E-2</v>
      </c>
      <c r="CD72" s="285">
        <f t="shared" si="118"/>
        <v>0.21002106186924085</v>
      </c>
      <c r="CE72" s="285">
        <f t="shared" si="118"/>
        <v>0.12286547271970005</v>
      </c>
      <c r="CF72" s="285">
        <f t="shared" si="118"/>
        <v>0.14198036006546655</v>
      </c>
      <c r="CG72" s="285">
        <f t="shared" si="118"/>
        <v>0.16363636363636358</v>
      </c>
      <c r="CH72" s="285">
        <f t="shared" si="118"/>
        <v>0.12721575493230075</v>
      </c>
      <c r="CI72" s="285">
        <f t="shared" si="118"/>
        <v>0.23842729970326415</v>
      </c>
      <c r="CJ72" s="285">
        <f t="shared" si="118"/>
        <v>0.32855607309208179</v>
      </c>
      <c r="CK72" s="285">
        <f t="shared" si="119"/>
        <v>0.24409722222222219</v>
      </c>
      <c r="CL72" s="285">
        <f t="shared" si="119"/>
        <v>0.26349119642471686</v>
      </c>
      <c r="CM72" s="285">
        <f t="shared" si="119"/>
        <v>0.21578531208817542</v>
      </c>
      <c r="CN72" s="285">
        <f t="shared" si="119"/>
        <v>0.13879881337648325</v>
      </c>
      <c r="CO72" s="285">
        <f t="shared" si="119"/>
        <v>0.17764443204018976</v>
      </c>
      <c r="CP72" s="285">
        <f t="shared" si="119"/>
        <v>0.13449970630194308</v>
      </c>
      <c r="CQ72" s="285">
        <f t="shared" si="119"/>
        <v>5.6829021221581177E-2</v>
      </c>
      <c r="CR72" s="285">
        <f t="shared" si="119"/>
        <v>-2.1982794755730173E-2</v>
      </c>
      <c r="CS72" s="285">
        <f t="shared" si="119"/>
        <v>1.3758028202393469E-2</v>
      </c>
      <c r="CT72" s="285">
        <f t="shared" si="119"/>
        <v>1.3409187362579233E-2</v>
      </c>
      <c r="CU72" s="285">
        <f t="shared" si="120"/>
        <v>9.4418860088747003E-2</v>
      </c>
      <c r="CV72" s="285">
        <f t="shared" si="120"/>
        <v>0.17029788078957053</v>
      </c>
      <c r="CW72" s="285">
        <f t="shared" si="120"/>
        <v>0.13405190632399111</v>
      </c>
      <c r="CX72" s="285">
        <f t="shared" si="120"/>
        <v>0.11994200419488532</v>
      </c>
      <c r="CY72" s="285">
        <f t="shared" si="120"/>
        <v>9.6954206602768878E-2</v>
      </c>
      <c r="CZ72" s="285">
        <f t="shared" si="120"/>
        <v>0.10591658471516352</v>
      </c>
      <c r="DA72" s="285">
        <f t="shared" si="120"/>
        <v>0.1142935242176506</v>
      </c>
      <c r="DB72" s="285">
        <f t="shared" si="120"/>
        <v>0.11228833459196053</v>
      </c>
      <c r="DC72" s="285">
        <f t="shared" si="120"/>
        <v>7.182031765756669E-2</v>
      </c>
      <c r="DD72" s="285">
        <f t="shared" si="120"/>
        <v>2.1594173154129814E-2</v>
      </c>
      <c r="DE72" s="285">
        <f t="shared" si="121"/>
        <v>3.9966884966885052E-2</v>
      </c>
      <c r="DF72" s="285">
        <f t="shared" si="121"/>
        <v>2.7718290829251702E-2</v>
      </c>
      <c r="DG72" s="285">
        <f t="shared" si="121"/>
        <v>7.8239680555875157E-2</v>
      </c>
      <c r="DH72" s="285">
        <f t="shared" si="121"/>
        <v>0.11048947206973758</v>
      </c>
      <c r="DI72" s="285">
        <f t="shared" si="121"/>
        <v>9.3123697730669308E-2</v>
      </c>
      <c r="DJ72" s="285">
        <f t="shared" si="121"/>
        <v>0.1198066586586366</v>
      </c>
      <c r="DK72" s="486">
        <f t="shared" si="113"/>
        <v>0.10256202180820861</v>
      </c>
      <c r="DL72" s="486">
        <f t="shared" si="113"/>
        <v>0.10181503347735732</v>
      </c>
      <c r="DM72" s="486">
        <f t="shared" si="113"/>
        <v>9.6332974554941719E-2</v>
      </c>
      <c r="DN72" s="486">
        <f t="shared" si="113"/>
        <v>0.10838239269632122</v>
      </c>
      <c r="DO72" s="486">
        <f t="shared" si="113"/>
        <v>8.9869508623792393E-2</v>
      </c>
      <c r="DP72" s="486">
        <f t="shared" si="113"/>
        <v>0.10365045966389808</v>
      </c>
      <c r="DQ72" s="486">
        <f t="shared" si="113"/>
        <v>0.11189830314752292</v>
      </c>
      <c r="DR72" s="486">
        <f t="shared" si="113"/>
        <v>9.461512366868674E-2</v>
      </c>
      <c r="DS72" s="486">
        <f t="shared" si="113"/>
        <v>0.11638606255875827</v>
      </c>
      <c r="DT72" s="486">
        <f t="shared" si="113"/>
        <v>0.10334277500530931</v>
      </c>
      <c r="DU72" s="486">
        <f t="shared" si="113"/>
        <v>9.680577236053467E-2</v>
      </c>
      <c r="DV72" s="486">
        <f t="shared" si="113"/>
        <v>8.2853965920488104E-2</v>
      </c>
      <c r="DW72" s="804">
        <f t="shared" si="113"/>
        <v>7.7961546741897925E-2</v>
      </c>
      <c r="DX72" s="804">
        <f t="shared" si="113"/>
        <v>6.9300265299459873E-2</v>
      </c>
      <c r="DY72" s="804">
        <f t="shared" si="113"/>
        <v>8.5826625690720526E-2</v>
      </c>
      <c r="DZ72" s="804">
        <f t="shared" si="113"/>
        <v>8.2004845345890365E-2</v>
      </c>
      <c r="EA72" s="804">
        <f t="shared" si="113"/>
        <v>8.7102210443825712E-2</v>
      </c>
      <c r="EB72" s="1036">
        <f t="shared" ref="EB72" si="123">BU72/BQ72-1</f>
        <v>9.000000000000008E-2</v>
      </c>
      <c r="EC72" s="1036">
        <f t="shared" ref="EC72" si="124">BV72/BR72-1</f>
        <v>9.000000000000008E-2</v>
      </c>
      <c r="ED72" s="1036">
        <f t="shared" ref="ED72" si="125">BW72/BS72-1</f>
        <v>7.8142683843510641E-2</v>
      </c>
      <c r="EF72" s="161"/>
      <c r="EH72" s="400">
        <v>0.1</v>
      </c>
      <c r="EM72" s="161"/>
      <c r="EN72" s="161"/>
      <c r="EO72" s="161"/>
      <c r="EP72" s="161"/>
      <c r="FL72" s="263">
        <v>7040.4863749999995</v>
      </c>
      <c r="FM72" s="263">
        <v>7321.357598999999</v>
      </c>
      <c r="FN72" s="263">
        <v>7535.8055320000003</v>
      </c>
      <c r="FO72" s="433">
        <v>7638.7077108040739</v>
      </c>
      <c r="FP72" s="264">
        <v>9.5817059875297428E-2</v>
      </c>
      <c r="FQ72" s="264">
        <v>0.118589011390279</v>
      </c>
      <c r="FR72" s="432">
        <v>6.4619646392276353E-2</v>
      </c>
      <c r="FS72" s="643">
        <v>8175</v>
      </c>
      <c r="FT72" s="641">
        <v>0.10867090497652865</v>
      </c>
      <c r="FU72" s="670">
        <v>8294</v>
      </c>
      <c r="FV72" s="668">
        <v>0.10723506157142748</v>
      </c>
      <c r="FW72" s="670">
        <v>8639.6037205285393</v>
      </c>
      <c r="FX72" s="668">
        <v>0.10003616286840189</v>
      </c>
      <c r="FY72" s="751">
        <v>8783.0633000000016</v>
      </c>
      <c r="FZ72" s="749">
        <v>7.7961546741897925E-2</v>
      </c>
      <c r="GA72" s="792">
        <v>8827.2475200000008</v>
      </c>
      <c r="GB72" s="792">
        <v>8914.2265449999995</v>
      </c>
      <c r="GC72" s="817">
        <v>8.5000000000000006E-2</v>
      </c>
      <c r="GD72" s="792">
        <v>9251.108188000002</v>
      </c>
      <c r="GE72" s="983">
        <v>8.7769827256975574E-2</v>
      </c>
    </row>
    <row r="73" spans="1:187" hidden="1">
      <c r="A73" s="161"/>
      <c r="B73" s="267" t="s">
        <v>383</v>
      </c>
      <c r="C73" s="161"/>
      <c r="D73" s="161"/>
      <c r="E73" s="161"/>
      <c r="F73" s="161"/>
      <c r="G73" s="161"/>
      <c r="H73" s="161"/>
      <c r="L73" s="263">
        <v>2044</v>
      </c>
      <c r="M73" s="161">
        <v>2009</v>
      </c>
      <c r="N73" s="161">
        <v>2038</v>
      </c>
      <c r="O73" s="161">
        <v>2159</v>
      </c>
      <c r="P73" s="263">
        <v>2250</v>
      </c>
      <c r="Q73" s="161">
        <v>2191</v>
      </c>
      <c r="R73" s="161">
        <v>2257</v>
      </c>
      <c r="S73" s="161">
        <v>2279</v>
      </c>
      <c r="T73" s="161">
        <v>2401</v>
      </c>
      <c r="U73" s="161">
        <v>2444</v>
      </c>
      <c r="V73" s="161">
        <v>2475</v>
      </c>
      <c r="W73" s="161">
        <v>2748</v>
      </c>
      <c r="X73" s="161">
        <v>2696</v>
      </c>
      <c r="Y73" s="161">
        <v>2791</v>
      </c>
      <c r="Z73" s="263">
        <f t="shared" ref="Z73:BS73" si="126">Z72</f>
        <v>2880</v>
      </c>
      <c r="AA73" s="263">
        <f t="shared" si="126"/>
        <v>3108.453</v>
      </c>
      <c r="AB73" s="263">
        <f t="shared" si="126"/>
        <v>3338.8</v>
      </c>
      <c r="AC73" s="263">
        <f t="shared" si="126"/>
        <v>3708</v>
      </c>
      <c r="AD73" s="263">
        <f t="shared" si="126"/>
        <v>3583</v>
      </c>
      <c r="AE73" s="263">
        <f t="shared" si="126"/>
        <v>3927.5030000000002</v>
      </c>
      <c r="AF73" s="263">
        <f t="shared" si="126"/>
        <v>4059.2640000000001</v>
      </c>
      <c r="AG73" s="263">
        <f t="shared" si="126"/>
        <v>4222.6660000000002</v>
      </c>
      <c r="AH73" s="263">
        <f t="shared" si="126"/>
        <v>4219.5</v>
      </c>
      <c r="AI73" s="263">
        <f t="shared" si="126"/>
        <v>4455.7510000000002</v>
      </c>
      <c r="AJ73" s="263">
        <f t="shared" si="126"/>
        <v>4289.9480000000003</v>
      </c>
      <c r="AK73" s="263">
        <f t="shared" si="126"/>
        <v>4129.84</v>
      </c>
      <c r="AL73" s="263">
        <f t="shared" si="126"/>
        <v>4277.5519999999997</v>
      </c>
      <c r="AM73" s="263">
        <f t="shared" si="126"/>
        <v>4515.4989999999998</v>
      </c>
      <c r="AN73" s="263">
        <f t="shared" si="126"/>
        <v>4695</v>
      </c>
      <c r="AO73" s="263">
        <f t="shared" si="126"/>
        <v>4833.143</v>
      </c>
      <c r="AP73" s="263">
        <f t="shared" si="126"/>
        <v>4850.9660000000003</v>
      </c>
      <c r="AQ73" s="263">
        <f t="shared" si="126"/>
        <v>5057.0969999999998</v>
      </c>
      <c r="AR73" s="263">
        <f t="shared" si="126"/>
        <v>5150.2</v>
      </c>
      <c r="AS73" s="263">
        <f t="shared" si="126"/>
        <v>5345.0529999999999</v>
      </c>
      <c r="AT73" s="263">
        <f t="shared" si="126"/>
        <v>5405.4</v>
      </c>
      <c r="AU73" s="263">
        <f t="shared" si="126"/>
        <v>5624.95</v>
      </c>
      <c r="AV73" s="263">
        <f t="shared" si="126"/>
        <v>5520.0889999999999</v>
      </c>
      <c r="AW73" s="263">
        <f t="shared" si="126"/>
        <v>5460.4750000000004</v>
      </c>
      <c r="AX73" s="263">
        <f t="shared" si="126"/>
        <v>5621.4369999999999</v>
      </c>
      <c r="AY73" s="263">
        <f t="shared" si="126"/>
        <v>5780.8639999999996</v>
      </c>
      <c r="AZ73" s="263">
        <f t="shared" si="126"/>
        <v>5951.9790000000003</v>
      </c>
      <c r="BA73" s="263">
        <f t="shared" si="126"/>
        <v>6063.8</v>
      </c>
      <c r="BB73" s="263">
        <f t="shared" si="126"/>
        <v>6144.9260000000004</v>
      </c>
      <c r="BC73" s="263">
        <f t="shared" si="126"/>
        <v>6473.45</v>
      </c>
      <c r="BD73" s="263">
        <f t="shared" si="126"/>
        <v>6562.4260000000004</v>
      </c>
      <c r="BE73" s="263">
        <f t="shared" si="126"/>
        <v>6681.1859999999997</v>
      </c>
      <c r="BF73" s="263">
        <f t="shared" si="126"/>
        <v>6736.8850000000002</v>
      </c>
      <c r="BG73" s="263">
        <f t="shared" si="126"/>
        <v>7175.058</v>
      </c>
      <c r="BH73" s="263">
        <f t="shared" si="126"/>
        <v>7152.1880000000001</v>
      </c>
      <c r="BI73" s="263">
        <f t="shared" si="126"/>
        <v>7373.6940000000004</v>
      </c>
      <c r="BJ73" s="263">
        <f t="shared" si="126"/>
        <v>7490.7309999999998</v>
      </c>
      <c r="BK73" s="263">
        <f t="shared" si="126"/>
        <v>7853.9269999999997</v>
      </c>
      <c r="BL73" s="263">
        <f t="shared" si="126"/>
        <v>7984.6030000000001</v>
      </c>
      <c r="BM73" s="263">
        <f t="shared" si="126"/>
        <v>8135.7120000000004</v>
      </c>
      <c r="BN73" s="263">
        <f t="shared" si="126"/>
        <v>8215.8770000000004</v>
      </c>
      <c r="BO73" s="263">
        <f t="shared" si="126"/>
        <v>8504.6560000000009</v>
      </c>
      <c r="BP73" s="263">
        <f t="shared" si="126"/>
        <v>8607.0949999999993</v>
      </c>
      <c r="BQ73" s="263">
        <f>BQ72</f>
        <v>8699.5190000000002</v>
      </c>
      <c r="BR73" s="784">
        <f t="shared" si="126"/>
        <v>8921.018</v>
      </c>
      <c r="BS73" s="784">
        <f t="shared" si="126"/>
        <v>9202.0789999999997</v>
      </c>
      <c r="BT73" s="263">
        <f>BT72</f>
        <v>9356.7919999999995</v>
      </c>
      <c r="BU73" s="784"/>
      <c r="BV73" s="784"/>
      <c r="BW73" s="784"/>
      <c r="BX73" s="784">
        <f>BX72</f>
        <v>38484.331480000008</v>
      </c>
      <c r="BY73" s="161"/>
      <c r="BZ73" s="161"/>
      <c r="CA73" s="264">
        <f t="shared" ref="CA73:CM73" si="127">T73/P73-1</f>
        <v>6.7111111111111121E-2</v>
      </c>
      <c r="CB73" s="264">
        <f t="shared" si="127"/>
        <v>0.11547238703788221</v>
      </c>
      <c r="CC73" s="264">
        <f t="shared" si="127"/>
        <v>9.6588391670358931E-2</v>
      </c>
      <c r="CD73" s="264">
        <f t="shared" si="127"/>
        <v>0.20579201404124614</v>
      </c>
      <c r="CE73" s="264">
        <f t="shared" si="127"/>
        <v>0.12286547271970005</v>
      </c>
      <c r="CF73" s="264">
        <f t="shared" si="127"/>
        <v>0.14198036006546655</v>
      </c>
      <c r="CG73" s="264">
        <f t="shared" si="127"/>
        <v>0.16363636363636358</v>
      </c>
      <c r="CH73" s="264">
        <f t="shared" si="127"/>
        <v>0.13116921397379921</v>
      </c>
      <c r="CI73" s="264">
        <f t="shared" si="127"/>
        <v>0.23842729970326415</v>
      </c>
      <c r="CJ73" s="264">
        <f t="shared" si="127"/>
        <v>0.32855607309208179</v>
      </c>
      <c r="CK73" s="264">
        <f t="shared" si="127"/>
        <v>0.24409722222222219</v>
      </c>
      <c r="CL73" s="264">
        <f t="shared" si="127"/>
        <v>0.26349119642471686</v>
      </c>
      <c r="CM73" s="264">
        <f t="shared" si="127"/>
        <v>0.21578531208817542</v>
      </c>
      <c r="CN73" s="264"/>
      <c r="CO73" s="264"/>
      <c r="CP73" s="264"/>
      <c r="CQ73" s="264"/>
      <c r="CR73" s="264"/>
      <c r="CS73" s="264"/>
      <c r="CT73" s="264"/>
      <c r="CU73" s="264"/>
      <c r="CV73" s="161"/>
      <c r="CW73" s="161"/>
      <c r="CX73" s="161"/>
      <c r="CY73" s="161"/>
      <c r="CZ73" s="161"/>
      <c r="DA73" s="161"/>
      <c r="DB73" s="161"/>
      <c r="DC73" s="161"/>
      <c r="DD73" s="161"/>
      <c r="DE73" s="161"/>
      <c r="DF73" s="161"/>
      <c r="DG73" s="161"/>
      <c r="DH73" s="161"/>
      <c r="DI73" s="161"/>
      <c r="DJ73" s="161"/>
      <c r="DK73" s="177"/>
      <c r="DL73" s="177"/>
      <c r="DM73" s="177"/>
      <c r="DN73" s="177"/>
      <c r="DO73" s="177"/>
      <c r="DP73" s="177"/>
      <c r="DQ73" s="177"/>
      <c r="DR73" s="177"/>
      <c r="DS73" s="177"/>
      <c r="DT73" s="177"/>
      <c r="DU73" s="177"/>
      <c r="DV73" s="177"/>
      <c r="DW73" s="177"/>
      <c r="DX73" s="177"/>
      <c r="DY73" s="177"/>
      <c r="DZ73" s="177"/>
      <c r="EA73" s="177"/>
      <c r="EB73" s="808"/>
      <c r="EC73" s="808"/>
      <c r="ED73" s="808"/>
      <c r="EF73" s="161"/>
      <c r="EH73" s="161"/>
      <c r="EM73" s="161"/>
      <c r="EN73" s="161"/>
      <c r="EO73" s="161"/>
      <c r="EP73" s="161"/>
      <c r="FL73" s="263">
        <v>7040.4863749999995</v>
      </c>
      <c r="FM73" s="263">
        <v>7321.357598999999</v>
      </c>
      <c r="FN73" s="263">
        <v>7535.8055320000003</v>
      </c>
      <c r="FO73" s="433">
        <v>7638.7077108040739</v>
      </c>
      <c r="FP73" s="161"/>
      <c r="FQ73" s="161"/>
      <c r="FR73" s="430"/>
      <c r="FS73" s="643">
        <v>8175</v>
      </c>
      <c r="FT73" s="639"/>
      <c r="FU73" s="670">
        <v>8294</v>
      </c>
      <c r="FV73" s="667"/>
      <c r="FW73" s="670">
        <v>8639.6037205285393</v>
      </c>
      <c r="FX73" s="667"/>
      <c r="FY73" s="751">
        <v>8783.0633000000016</v>
      </c>
      <c r="FZ73" s="747"/>
      <c r="GA73" s="784">
        <v>8827.2475200000008</v>
      </c>
      <c r="GB73" s="784">
        <v>8914.2265449999995</v>
      </c>
      <c r="GC73" s="808"/>
      <c r="GD73" s="784">
        <v>9251.108188000002</v>
      </c>
      <c r="GE73" s="808"/>
    </row>
    <row r="74" spans="1:187">
      <c r="A74" s="161"/>
      <c r="BU74" s="782"/>
      <c r="BV74" s="782"/>
      <c r="BW74" s="782"/>
      <c r="BX74" s="782"/>
      <c r="BY74" s="161"/>
      <c r="BZ74" s="161"/>
      <c r="CA74" s="161"/>
      <c r="CB74" s="161"/>
      <c r="CC74" s="161"/>
      <c r="CD74" s="161"/>
      <c r="CE74" s="161"/>
      <c r="CF74" s="161"/>
      <c r="CG74" s="161"/>
      <c r="CH74" s="161"/>
      <c r="CI74" s="161"/>
      <c r="CJ74" s="161"/>
      <c r="CK74" s="161"/>
      <c r="CL74" s="161"/>
      <c r="CM74" s="161"/>
      <c r="CN74" s="161"/>
      <c r="CO74" s="161"/>
      <c r="CP74" s="161"/>
      <c r="CQ74" s="161"/>
      <c r="CR74" s="161"/>
      <c r="CS74" s="161"/>
      <c r="CT74" s="161"/>
      <c r="CU74" s="161"/>
      <c r="CV74" s="161"/>
      <c r="CW74" s="161"/>
      <c r="CX74" s="161"/>
      <c r="CY74" s="161"/>
      <c r="CZ74" s="161"/>
      <c r="DA74" s="161"/>
      <c r="DB74" s="161"/>
      <c r="DC74" s="161"/>
      <c r="DD74" s="161"/>
      <c r="DE74" s="161"/>
      <c r="DF74" s="161"/>
      <c r="DG74" s="161"/>
      <c r="DH74" s="161"/>
      <c r="DI74" s="161"/>
      <c r="DJ74" s="161"/>
      <c r="DK74" s="177"/>
      <c r="DL74" s="177"/>
      <c r="DM74" s="177"/>
      <c r="DN74" s="177"/>
      <c r="DO74" s="177"/>
      <c r="DP74" s="177"/>
      <c r="DQ74" s="177"/>
      <c r="DR74" s="177"/>
      <c r="DS74" s="177"/>
      <c r="DT74" s="177"/>
      <c r="DU74" s="177"/>
      <c r="DV74" s="177"/>
      <c r="DW74" s="177"/>
      <c r="DX74" s="177"/>
      <c r="DY74" s="177"/>
      <c r="DZ74" s="177"/>
      <c r="EA74" s="177"/>
      <c r="EB74" s="808"/>
      <c r="EC74" s="808"/>
      <c r="ED74" s="808"/>
      <c r="EF74" s="161"/>
      <c r="EH74" s="161"/>
      <c r="EM74" s="161"/>
      <c r="EN74" s="161"/>
      <c r="EO74" s="161"/>
      <c r="EP74" s="161"/>
      <c r="FL74" s="263"/>
      <c r="FM74" s="263"/>
      <c r="FN74" s="263"/>
      <c r="FO74" s="432"/>
      <c r="FP74" s="161"/>
      <c r="FQ74" s="161"/>
      <c r="FR74" s="430"/>
      <c r="FS74" s="641"/>
      <c r="FT74" s="639"/>
      <c r="FU74" s="668"/>
      <c r="FV74" s="667"/>
      <c r="FW74" s="668"/>
      <c r="FX74" s="667"/>
      <c r="FY74" s="749"/>
      <c r="FZ74" s="747"/>
      <c r="GA74" s="782"/>
      <c r="GB74" s="782"/>
      <c r="GC74" s="808"/>
      <c r="GD74" s="782"/>
      <c r="GE74" s="808"/>
    </row>
    <row r="75" spans="1:187" hidden="1" outlineLevel="1">
      <c r="A75" s="161"/>
      <c r="B75" s="288" t="s">
        <v>456</v>
      </c>
      <c r="C75" s="161"/>
      <c r="D75" s="161"/>
      <c r="E75" s="161"/>
      <c r="F75" s="161"/>
      <c r="G75" s="161"/>
      <c r="H75" s="161"/>
      <c r="I75" s="161"/>
      <c r="J75" s="161"/>
      <c r="K75" s="161"/>
      <c r="L75" s="263"/>
      <c r="M75" s="263"/>
      <c r="N75" s="263"/>
      <c r="O75" s="263"/>
      <c r="P75" s="263"/>
      <c r="Q75" s="263"/>
      <c r="R75" s="263"/>
      <c r="S75" s="263"/>
      <c r="T75" s="263"/>
      <c r="U75" s="263"/>
      <c r="V75" s="263"/>
      <c r="W75" s="263"/>
      <c r="X75" s="263"/>
      <c r="Y75" s="263"/>
      <c r="Z75" s="263"/>
      <c r="AA75" s="263"/>
      <c r="AB75" s="263"/>
      <c r="AC75" s="263"/>
      <c r="AD75" s="263"/>
      <c r="AE75" s="263"/>
      <c r="AF75" s="263"/>
      <c r="AG75" s="263"/>
      <c r="AH75" s="263"/>
      <c r="AI75" s="263"/>
      <c r="AJ75" s="263"/>
      <c r="AK75" s="263"/>
      <c r="AL75" s="263"/>
      <c r="AM75" s="263"/>
      <c r="AN75" s="263"/>
      <c r="AO75" s="263"/>
      <c r="AP75" s="263"/>
      <c r="AQ75" s="263"/>
      <c r="AR75" s="263"/>
      <c r="AS75" s="265"/>
      <c r="AT75" s="265"/>
      <c r="AU75" s="265"/>
      <c r="AV75" s="265"/>
      <c r="AW75" s="265"/>
      <c r="AX75" s="265"/>
      <c r="AY75" s="265"/>
      <c r="AZ75" s="265"/>
      <c r="BA75" s="265"/>
      <c r="BB75" s="265"/>
      <c r="BC75" s="263"/>
      <c r="BD75" s="263"/>
      <c r="BE75" s="263"/>
      <c r="BF75" s="263"/>
      <c r="BG75" s="263"/>
      <c r="BH75" s="263"/>
      <c r="BI75" s="263"/>
      <c r="BJ75" s="263"/>
      <c r="BK75" s="263"/>
      <c r="BL75" s="263"/>
      <c r="BM75" s="263"/>
      <c r="BN75" s="263"/>
      <c r="BO75" s="263"/>
      <c r="BS75" s="784"/>
      <c r="BU75" s="784"/>
      <c r="BV75" s="784"/>
      <c r="BW75" s="784"/>
      <c r="BX75" s="784"/>
      <c r="BY75" s="263"/>
      <c r="BZ75" s="263"/>
      <c r="CA75" s="264"/>
      <c r="CB75" s="264"/>
      <c r="CC75" s="264"/>
      <c r="CD75" s="264"/>
      <c r="CE75" s="264"/>
      <c r="CF75" s="264"/>
      <c r="CG75" s="264"/>
      <c r="CH75" s="264"/>
      <c r="CI75" s="264"/>
      <c r="CJ75" s="264"/>
      <c r="CK75" s="264"/>
      <c r="CL75" s="264"/>
      <c r="CM75" s="264"/>
      <c r="CN75" s="264"/>
      <c r="CO75" s="264"/>
      <c r="CP75" s="264"/>
      <c r="CQ75" s="264"/>
      <c r="CR75" s="264"/>
      <c r="CS75" s="264"/>
      <c r="CT75" s="264"/>
      <c r="CU75" s="264"/>
      <c r="CV75" s="161"/>
      <c r="CW75" s="161"/>
      <c r="CX75" s="161"/>
      <c r="CY75" s="161"/>
      <c r="CZ75" s="161"/>
      <c r="DA75" s="161"/>
      <c r="DB75" s="161"/>
      <c r="DC75" s="161"/>
      <c r="DD75" s="161"/>
      <c r="DE75" s="161"/>
      <c r="DF75" s="161"/>
      <c r="DG75" s="161"/>
      <c r="DH75" s="161"/>
      <c r="DI75" s="161"/>
      <c r="DJ75" s="161"/>
      <c r="DK75" s="177"/>
      <c r="DL75" s="177"/>
      <c r="DM75" s="177"/>
      <c r="DN75" s="177"/>
      <c r="DO75" s="177"/>
      <c r="DP75" s="177"/>
      <c r="DQ75" s="177"/>
      <c r="DR75" s="177"/>
      <c r="DS75" s="177"/>
      <c r="DT75" s="177"/>
      <c r="DU75" s="177"/>
      <c r="DV75" s="177"/>
      <c r="DW75" s="177"/>
      <c r="DX75" s="177"/>
      <c r="DY75" s="177"/>
      <c r="DZ75" s="177"/>
      <c r="EA75" s="177"/>
      <c r="EB75" s="808"/>
      <c r="EC75" s="808"/>
      <c r="ED75" s="808"/>
      <c r="EF75" s="161"/>
      <c r="EH75" s="161"/>
      <c r="EM75" s="161"/>
      <c r="EN75" s="161"/>
      <c r="EO75" s="161"/>
      <c r="EP75" s="161"/>
      <c r="FL75" s="263"/>
      <c r="FM75" s="263"/>
      <c r="FN75" s="263"/>
      <c r="FO75" s="433"/>
      <c r="FP75" s="161"/>
      <c r="FQ75" s="161"/>
      <c r="FR75" s="430"/>
      <c r="FS75" s="643"/>
      <c r="FT75" s="639"/>
      <c r="FU75" s="670"/>
      <c r="FV75" s="667"/>
      <c r="FW75" s="670"/>
      <c r="FX75" s="667"/>
      <c r="FY75" s="751"/>
      <c r="FZ75" s="747"/>
      <c r="GA75" s="784"/>
      <c r="GB75" s="784"/>
      <c r="GC75" s="808"/>
      <c r="GD75" s="784"/>
      <c r="GE75" s="808"/>
    </row>
    <row r="76" spans="1:187" hidden="1" outlineLevel="1">
      <c r="A76" s="161"/>
      <c r="B76" s="288" t="s">
        <v>457</v>
      </c>
      <c r="C76" s="161"/>
      <c r="D76" s="161"/>
      <c r="E76" s="161"/>
      <c r="F76" s="161"/>
      <c r="G76" s="161"/>
      <c r="H76" s="161"/>
      <c r="I76" s="161"/>
      <c r="J76" s="161"/>
      <c r="K76" s="161"/>
      <c r="L76" s="263"/>
      <c r="M76" s="263"/>
      <c r="N76" s="263"/>
      <c r="O76" s="263"/>
      <c r="P76" s="263"/>
      <c r="Q76" s="263"/>
      <c r="R76" s="263"/>
      <c r="S76" s="263"/>
      <c r="T76" s="263">
        <v>27.9</v>
      </c>
      <c r="U76" s="263">
        <v>27.9</v>
      </c>
      <c r="V76" s="263">
        <v>33.9</v>
      </c>
      <c r="W76" s="263">
        <v>48.5</v>
      </c>
      <c r="X76" s="263">
        <v>52</v>
      </c>
      <c r="Y76" s="263">
        <v>70.900000000000006</v>
      </c>
      <c r="Z76" s="263">
        <v>56.2</v>
      </c>
      <c r="AA76" s="263">
        <v>67.096000000000004</v>
      </c>
      <c r="AB76" s="263">
        <v>69</v>
      </c>
      <c r="AC76" s="263">
        <v>83</v>
      </c>
      <c r="AD76" s="263">
        <v>98.4</v>
      </c>
      <c r="AE76" s="263">
        <v>143.27600000000001</v>
      </c>
      <c r="AF76" s="263">
        <v>152.69999999999999</v>
      </c>
      <c r="AG76" s="263">
        <v>161.328</v>
      </c>
      <c r="AH76" s="263">
        <v>166.5</v>
      </c>
      <c r="AI76" s="263">
        <v>174.2</v>
      </c>
      <c r="AJ76" s="263">
        <v>216.44399999999999</v>
      </c>
      <c r="AK76" s="263">
        <v>209.78200000000001</v>
      </c>
      <c r="AL76" s="263">
        <v>257.8</v>
      </c>
      <c r="AM76" s="263">
        <v>258</v>
      </c>
      <c r="AN76" s="263">
        <v>353.6</v>
      </c>
      <c r="AO76" s="289">
        <v>444.68200000000002</v>
      </c>
      <c r="AP76" s="289">
        <v>361.6</v>
      </c>
      <c r="AQ76" s="289">
        <v>388</v>
      </c>
      <c r="AR76" s="289">
        <v>439.9</v>
      </c>
      <c r="AS76" s="289">
        <v>532.697</v>
      </c>
      <c r="AT76" s="289">
        <v>465</v>
      </c>
      <c r="AU76" s="289">
        <v>400.666</v>
      </c>
      <c r="AV76" s="289">
        <v>450.30500000000001</v>
      </c>
      <c r="AW76" s="289">
        <v>465.178</v>
      </c>
      <c r="AX76" s="289">
        <v>477.8</v>
      </c>
      <c r="AY76" s="289">
        <v>476.12599999999998</v>
      </c>
      <c r="AZ76" s="289">
        <v>498</v>
      </c>
      <c r="BA76" s="289">
        <v>511</v>
      </c>
      <c r="BB76" s="289">
        <v>523.12</v>
      </c>
      <c r="BC76" s="289">
        <v>571.57000000000005</v>
      </c>
      <c r="BD76" s="290">
        <v>598.69200000000001</v>
      </c>
      <c r="BE76" s="290">
        <v>604.471</v>
      </c>
      <c r="BF76" s="290">
        <v>702.26</v>
      </c>
      <c r="BG76" s="290">
        <v>687</v>
      </c>
      <c r="BH76" s="290">
        <v>697.59699999999998</v>
      </c>
      <c r="BI76" s="290">
        <v>696.78599999999994</v>
      </c>
      <c r="BJ76" s="290">
        <v>717.05200000000002</v>
      </c>
      <c r="BK76" s="290">
        <v>730.46400000000006</v>
      </c>
      <c r="BL76" s="290">
        <v>748.68200000000002</v>
      </c>
      <c r="BM76" s="290">
        <v>764.80600000000004</v>
      </c>
      <c r="BN76" s="290">
        <v>763.4</v>
      </c>
      <c r="BO76" s="290">
        <v>778.62099999999998</v>
      </c>
      <c r="BP76" s="289">
        <f>BP81-BP77-BP79-BP80</f>
        <v>733.23419999999976</v>
      </c>
      <c r="BQ76" s="289"/>
      <c r="BR76" s="289"/>
      <c r="BS76" s="791">
        <f>BS81-BS77-BS79-BS80</f>
        <v>1380.9380000000001</v>
      </c>
      <c r="BT76" s="289">
        <f>BT81-BT77-BT79-BT80</f>
        <v>671.50419999999974</v>
      </c>
      <c r="BU76" s="791"/>
      <c r="BV76" s="791"/>
      <c r="BW76" s="791"/>
      <c r="BX76" s="791">
        <f>BX81-BX77-BX79-BX80</f>
        <v>4800.1123800000005</v>
      </c>
      <c r="BY76" s="263"/>
      <c r="BZ76" s="263"/>
      <c r="CA76" s="161"/>
      <c r="CB76" s="264"/>
      <c r="CC76" s="264"/>
      <c r="CD76" s="264"/>
      <c r="CE76" s="264">
        <f t="shared" ref="CE76:CN77" si="128">X76/T76-1</f>
        <v>0.86379928315412191</v>
      </c>
      <c r="CF76" s="264">
        <f t="shared" si="128"/>
        <v>1.5412186379928317</v>
      </c>
      <c r="CG76" s="264">
        <f t="shared" si="128"/>
        <v>0.65781710914454283</v>
      </c>
      <c r="CH76" s="264">
        <f t="shared" si="128"/>
        <v>0.38342268041237126</v>
      </c>
      <c r="CI76" s="264">
        <f t="shared" si="128"/>
        <v>0.32692307692307687</v>
      </c>
      <c r="CJ76" s="264">
        <f t="shared" si="128"/>
        <v>0.17066290550070518</v>
      </c>
      <c r="CK76" s="264">
        <f t="shared" si="128"/>
        <v>0.7508896797153024</v>
      </c>
      <c r="CL76" s="264">
        <f t="shared" si="128"/>
        <v>1.1353881006319306</v>
      </c>
      <c r="CM76" s="264">
        <f t="shared" si="128"/>
        <v>1.2130434782608694</v>
      </c>
      <c r="CN76" s="264">
        <f t="shared" si="128"/>
        <v>0.94371084337349398</v>
      </c>
      <c r="CO76" s="264">
        <f t="shared" ref="CO76:CX77" si="129">AH76/AD76-1</f>
        <v>0.69207317073170715</v>
      </c>
      <c r="CP76" s="264">
        <f t="shared" si="129"/>
        <v>0.21583517127781326</v>
      </c>
      <c r="CQ76" s="264">
        <f t="shared" si="129"/>
        <v>0.41744597249508852</v>
      </c>
      <c r="CR76" s="264">
        <f t="shared" si="129"/>
        <v>0.30034463949221468</v>
      </c>
      <c r="CS76" s="264">
        <f t="shared" si="129"/>
        <v>0.54834834834834845</v>
      </c>
      <c r="CT76" s="264">
        <f t="shared" si="129"/>
        <v>0.48105625717566025</v>
      </c>
      <c r="CU76" s="264">
        <f t="shared" si="129"/>
        <v>0.63367891925856124</v>
      </c>
      <c r="CV76" s="264">
        <f t="shared" si="129"/>
        <v>1.1197338189167803</v>
      </c>
      <c r="CW76" s="264">
        <f t="shared" si="129"/>
        <v>0.40263770364623741</v>
      </c>
      <c r="CX76" s="264">
        <f t="shared" si="129"/>
        <v>0.50387596899224807</v>
      </c>
      <c r="CY76" s="264">
        <f t="shared" ref="CY76:DH77" si="130">AR76/AN76-1</f>
        <v>0.24406108597285048</v>
      </c>
      <c r="CZ76" s="264">
        <f t="shared" si="130"/>
        <v>0.19792795750671255</v>
      </c>
      <c r="DA76" s="264">
        <f t="shared" si="130"/>
        <v>0.28595132743362828</v>
      </c>
      <c r="DB76" s="264">
        <f t="shared" si="130"/>
        <v>3.2644329896907243E-2</v>
      </c>
      <c r="DC76" s="264">
        <f t="shared" si="130"/>
        <v>2.3653102977949647E-2</v>
      </c>
      <c r="DD76" s="264">
        <f t="shared" si="130"/>
        <v>-0.12674935282158528</v>
      </c>
      <c r="DE76" s="264">
        <f t="shared" si="130"/>
        <v>2.7526881720430163E-2</v>
      </c>
      <c r="DF76" s="264">
        <f t="shared" si="130"/>
        <v>0.18833641986093141</v>
      </c>
      <c r="DG76" s="264">
        <f t="shared" si="130"/>
        <v>0.10591710063179405</v>
      </c>
      <c r="DH76" s="264">
        <f t="shared" si="130"/>
        <v>9.8504228488879519E-2</v>
      </c>
      <c r="DI76" s="264">
        <f t="shared" ref="DI76:DR77" si="131">BB76/AX76-1</f>
        <v>9.4851402260359929E-2</v>
      </c>
      <c r="DJ76" s="264">
        <f t="shared" si="131"/>
        <v>0.20045954222201701</v>
      </c>
      <c r="DK76" s="467">
        <f t="shared" si="131"/>
        <v>0.20219277108433742</v>
      </c>
      <c r="DL76" s="467">
        <f t="shared" si="131"/>
        <v>0.18291780821917802</v>
      </c>
      <c r="DM76" s="467">
        <f t="shared" si="131"/>
        <v>0.34244532803180916</v>
      </c>
      <c r="DN76" s="467">
        <f t="shared" si="131"/>
        <v>0.20195251675210368</v>
      </c>
      <c r="DO76" s="467">
        <f t="shared" si="131"/>
        <v>0.16520180660506556</v>
      </c>
      <c r="DP76" s="467">
        <f t="shared" si="131"/>
        <v>0.15272031247156592</v>
      </c>
      <c r="DQ76" s="467">
        <f t="shared" si="131"/>
        <v>2.1063423803149961E-2</v>
      </c>
      <c r="DR76" s="467">
        <f t="shared" si="131"/>
        <v>6.3266375545851572E-2</v>
      </c>
      <c r="DS76" s="467">
        <f t="shared" ref="DS76:EA77" si="132">BL76/BH76-1</f>
        <v>7.3229959417830059E-2</v>
      </c>
      <c r="DT76" s="467">
        <f t="shared" si="132"/>
        <v>9.7619642185692745E-2</v>
      </c>
      <c r="DU76" s="467">
        <f t="shared" si="132"/>
        <v>6.4636874313160009E-2</v>
      </c>
      <c r="DV76" s="467">
        <f t="shared" si="132"/>
        <v>6.5926589126910962E-2</v>
      </c>
      <c r="DW76" s="467">
        <f t="shared" si="132"/>
        <v>-2.0633326298749366E-2</v>
      </c>
      <c r="DX76" s="467">
        <f t="shared" si="132"/>
        <v>-1</v>
      </c>
      <c r="DY76" s="467">
        <f t="shared" si="132"/>
        <v>-1</v>
      </c>
      <c r="DZ76" s="467">
        <f t="shared" si="132"/>
        <v>0.77356891221788282</v>
      </c>
      <c r="EA76" s="467">
        <f t="shared" si="132"/>
        <v>-8.418865350252358E-2</v>
      </c>
      <c r="EB76" s="809"/>
      <c r="EC76" s="809"/>
      <c r="ED76" s="809"/>
      <c r="EF76" s="161"/>
      <c r="EH76" s="264">
        <f>BP76/BL76-1</f>
        <v>-2.0633326298749366E-2</v>
      </c>
      <c r="EM76" s="161"/>
      <c r="EN76" s="161"/>
      <c r="EO76" s="161"/>
      <c r="EP76" s="161"/>
      <c r="FL76" s="289">
        <v>730.40423999999996</v>
      </c>
      <c r="FM76" s="289">
        <v>719.32048999999995</v>
      </c>
      <c r="FN76" s="289">
        <v>821.64419999999996</v>
      </c>
      <c r="FO76" s="438">
        <v>723.56499999999983</v>
      </c>
      <c r="FP76" s="291">
        <v>0.19</v>
      </c>
      <c r="FQ76" s="291">
        <v>0.17</v>
      </c>
      <c r="FR76" s="432">
        <v>5.3224163027656202E-2</v>
      </c>
      <c r="FS76" s="650">
        <v>735</v>
      </c>
      <c r="FT76" s="641">
        <v>5.4843237378477738E-2</v>
      </c>
      <c r="FU76" s="677">
        <v>770</v>
      </c>
      <c r="FV76" s="668">
        <v>7.3841227693389078E-2</v>
      </c>
      <c r="FW76" s="680">
        <v>773.11199999999985</v>
      </c>
      <c r="FX76" s="668">
        <v>5.8384807464844091E-2</v>
      </c>
      <c r="FY76" s="759">
        <v>800.36699999999996</v>
      </c>
      <c r="FZ76" s="749">
        <v>6.9034650225329175E-2</v>
      </c>
      <c r="GA76" s="791">
        <v>758.82331000000033</v>
      </c>
      <c r="GB76" s="791">
        <v>766.1303999999999</v>
      </c>
      <c r="GC76" s="809">
        <v>3.5766308619333831E-3</v>
      </c>
      <c r="GD76" s="791">
        <v>719.30724199999918</v>
      </c>
      <c r="GE76" s="809">
        <v>-7.6177958210735142E-2</v>
      </c>
    </row>
    <row r="77" spans="1:187" hidden="1" outlineLevel="1">
      <c r="A77" s="161"/>
      <c r="B77" s="288" t="s">
        <v>458</v>
      </c>
      <c r="C77" s="161"/>
      <c r="D77" s="161"/>
      <c r="E77" s="161"/>
      <c r="F77" s="161"/>
      <c r="G77" s="161"/>
      <c r="H77" s="161"/>
      <c r="I77" s="161"/>
      <c r="J77" s="161"/>
      <c r="K77" s="161"/>
      <c r="L77" s="263"/>
      <c r="M77" s="263"/>
      <c r="N77" s="263"/>
      <c r="O77" s="263"/>
      <c r="P77" s="263"/>
      <c r="Q77" s="263"/>
      <c r="R77" s="263"/>
      <c r="S77" s="263"/>
      <c r="T77" s="263">
        <v>95.8</v>
      </c>
      <c r="U77" s="263">
        <v>95.8</v>
      </c>
      <c r="V77" s="263">
        <v>107.9</v>
      </c>
      <c r="W77" s="263">
        <v>123.9</v>
      </c>
      <c r="X77" s="263">
        <v>117.7</v>
      </c>
      <c r="Y77" s="263">
        <v>125.395</v>
      </c>
      <c r="Z77" s="263">
        <v>143.4</v>
      </c>
      <c r="AA77" s="263">
        <v>147.69999999999999</v>
      </c>
      <c r="AB77" s="263">
        <v>148.1</v>
      </c>
      <c r="AC77" s="263">
        <v>146</v>
      </c>
      <c r="AD77" s="263">
        <v>160</v>
      </c>
      <c r="AE77" s="263">
        <v>163.46100000000001</v>
      </c>
      <c r="AF77" s="263">
        <v>165.97499999999999</v>
      </c>
      <c r="AG77" s="263">
        <v>176.37200000000001</v>
      </c>
      <c r="AH77" s="263">
        <v>188</v>
      </c>
      <c r="AI77" s="263">
        <v>192.6</v>
      </c>
      <c r="AJ77" s="263">
        <v>195.95699999999999</v>
      </c>
      <c r="AK77" s="263">
        <v>198.982</v>
      </c>
      <c r="AL77" s="263">
        <v>212.3</v>
      </c>
      <c r="AM77" s="263">
        <v>232</v>
      </c>
      <c r="AN77" s="263">
        <v>229</v>
      </c>
      <c r="AO77" s="289">
        <v>237.06299999999999</v>
      </c>
      <c r="AP77" s="289">
        <v>243.5</v>
      </c>
      <c r="AQ77" s="289">
        <v>250</v>
      </c>
      <c r="AR77" s="289">
        <v>266.8</v>
      </c>
      <c r="AS77" s="289">
        <v>259.678</v>
      </c>
      <c r="AT77" s="289">
        <v>259</v>
      </c>
      <c r="AU77" s="289">
        <v>261.01600000000002</v>
      </c>
      <c r="AV77" s="289">
        <v>269.34399999999999</v>
      </c>
      <c r="AW77" s="289">
        <v>284.03500000000003</v>
      </c>
      <c r="AX77" s="289">
        <v>278.2</v>
      </c>
      <c r="AY77" s="289">
        <v>268.35300000000001</v>
      </c>
      <c r="AZ77" s="289">
        <v>256</v>
      </c>
      <c r="BA77" s="289">
        <v>259</v>
      </c>
      <c r="BB77" s="289">
        <v>269.58499999999998</v>
      </c>
      <c r="BC77" s="289">
        <v>277.85199999999998</v>
      </c>
      <c r="BD77" s="290">
        <v>276.29599999999999</v>
      </c>
      <c r="BE77" s="290">
        <v>297.86399999999998</v>
      </c>
      <c r="BF77" s="290">
        <v>313.66800000000001</v>
      </c>
      <c r="BG77" s="290">
        <v>318</v>
      </c>
      <c r="BH77" s="290">
        <v>315.11200000000002</v>
      </c>
      <c r="BI77" s="290">
        <v>324.29399999999998</v>
      </c>
      <c r="BJ77" s="290">
        <v>327.976</v>
      </c>
      <c r="BK77" s="290">
        <v>296</v>
      </c>
      <c r="BL77" s="290">
        <v>283.904</v>
      </c>
      <c r="BM77" s="290">
        <v>289.18799999999999</v>
      </c>
      <c r="BN77" s="290">
        <v>311.09199999999998</v>
      </c>
      <c r="BO77" s="290">
        <v>304.83199999999999</v>
      </c>
      <c r="BP77" s="289">
        <f>BL77*(1+EH77)</f>
        <v>269.7088</v>
      </c>
      <c r="BQ77" s="289"/>
      <c r="BR77" s="289"/>
      <c r="BS77" s="791">
        <v>0</v>
      </c>
      <c r="BT77" s="289">
        <f>BP77*(1+EL77)</f>
        <v>269.7088</v>
      </c>
      <c r="BU77" s="791"/>
      <c r="BV77" s="791"/>
      <c r="BW77" s="791"/>
      <c r="BX77" s="791">
        <f>BP77*(1+EF77)</f>
        <v>269.7088</v>
      </c>
      <c r="BY77" s="263"/>
      <c r="BZ77" s="263"/>
      <c r="CA77" s="161"/>
      <c r="CB77" s="264"/>
      <c r="CC77" s="264"/>
      <c r="CD77" s="264"/>
      <c r="CE77" s="264">
        <f t="shared" si="128"/>
        <v>0.22860125260960351</v>
      </c>
      <c r="CF77" s="264">
        <f t="shared" si="128"/>
        <v>0.30892484342379967</v>
      </c>
      <c r="CG77" s="264">
        <f t="shared" si="128"/>
        <v>0.32900834105653387</v>
      </c>
      <c r="CH77" s="264">
        <f t="shared" si="128"/>
        <v>0.19209039548022577</v>
      </c>
      <c r="CI77" s="264">
        <f t="shared" si="128"/>
        <v>0.2582837723024638</v>
      </c>
      <c r="CJ77" s="264">
        <f t="shared" si="128"/>
        <v>0.16432074644124572</v>
      </c>
      <c r="CK77" s="264">
        <f t="shared" si="128"/>
        <v>0.11576011157601118</v>
      </c>
      <c r="CL77" s="264">
        <f t="shared" si="128"/>
        <v>0.10670954637779295</v>
      </c>
      <c r="CM77" s="264">
        <f t="shared" si="128"/>
        <v>0.12069547602970965</v>
      </c>
      <c r="CN77" s="264">
        <f t="shared" si="128"/>
        <v>0.20802739726027397</v>
      </c>
      <c r="CO77" s="264">
        <f t="shared" si="129"/>
        <v>0.17500000000000004</v>
      </c>
      <c r="CP77" s="264">
        <f t="shared" si="129"/>
        <v>0.17826270486538065</v>
      </c>
      <c r="CQ77" s="264">
        <f t="shared" si="129"/>
        <v>0.18064166290103922</v>
      </c>
      <c r="CR77" s="264">
        <f t="shared" si="129"/>
        <v>0.12819495157961569</v>
      </c>
      <c r="CS77" s="264">
        <f t="shared" si="129"/>
        <v>0.12925531914893629</v>
      </c>
      <c r="CT77" s="264">
        <f t="shared" si="129"/>
        <v>0.20456905503634482</v>
      </c>
      <c r="CU77" s="264">
        <f t="shared" si="129"/>
        <v>0.16862372867516862</v>
      </c>
      <c r="CV77" s="264">
        <f t="shared" si="129"/>
        <v>0.19137911971937149</v>
      </c>
      <c r="CW77" s="264">
        <f t="shared" si="129"/>
        <v>0.14696184644371169</v>
      </c>
      <c r="CX77" s="264">
        <f t="shared" si="129"/>
        <v>7.7586206896551824E-2</v>
      </c>
      <c r="CY77" s="264">
        <f t="shared" si="130"/>
        <v>0.16506550218340621</v>
      </c>
      <c r="CZ77" s="264">
        <f t="shared" si="130"/>
        <v>9.539658234309023E-2</v>
      </c>
      <c r="DA77" s="264">
        <f t="shared" si="130"/>
        <v>6.3655030800821466E-2</v>
      </c>
      <c r="DB77" s="264">
        <f t="shared" si="130"/>
        <v>4.4064000000000103E-2</v>
      </c>
      <c r="DC77" s="264">
        <f t="shared" si="130"/>
        <v>9.5352323838080455E-3</v>
      </c>
      <c r="DD77" s="264">
        <f t="shared" si="130"/>
        <v>9.379693312487003E-2</v>
      </c>
      <c r="DE77" s="264">
        <f t="shared" si="130"/>
        <v>7.4131274131274072E-2</v>
      </c>
      <c r="DF77" s="264">
        <f t="shared" si="130"/>
        <v>2.8109387930241869E-2</v>
      </c>
      <c r="DG77" s="264">
        <f t="shared" si="130"/>
        <v>-4.9542592372579297E-2</v>
      </c>
      <c r="DH77" s="264">
        <f t="shared" si="130"/>
        <v>-8.8140546059464531E-2</v>
      </c>
      <c r="DI77" s="264">
        <f t="shared" si="131"/>
        <v>-3.0966930265995729E-2</v>
      </c>
      <c r="DJ77" s="264">
        <f t="shared" si="131"/>
        <v>3.5397405655982928E-2</v>
      </c>
      <c r="DK77" s="467">
        <f t="shared" si="131"/>
        <v>7.928124999999997E-2</v>
      </c>
      <c r="DL77" s="467">
        <f t="shared" si="131"/>
        <v>0.15005405405405403</v>
      </c>
      <c r="DM77" s="467">
        <f t="shared" si="131"/>
        <v>0.16352170929391474</v>
      </c>
      <c r="DN77" s="467">
        <f t="shared" si="131"/>
        <v>0.14449419115212425</v>
      </c>
      <c r="DO77" s="467">
        <f t="shared" si="131"/>
        <v>0.14048701392709284</v>
      </c>
      <c r="DP77" s="467">
        <f t="shared" si="131"/>
        <v>8.8731770203851479E-2</v>
      </c>
      <c r="DQ77" s="467">
        <f t="shared" si="131"/>
        <v>4.5615108968718454E-2</v>
      </c>
      <c r="DR77" s="467">
        <f t="shared" si="131"/>
        <v>-6.9182389937106903E-2</v>
      </c>
      <c r="DS77" s="467">
        <f t="shared" si="132"/>
        <v>-9.9037802432151212E-2</v>
      </c>
      <c r="DT77" s="467">
        <f t="shared" si="132"/>
        <v>-0.10825362171363018</v>
      </c>
      <c r="DU77" s="467">
        <f t="shared" si="132"/>
        <v>-5.1479376539746879E-2</v>
      </c>
      <c r="DV77" s="467">
        <f t="shared" si="132"/>
        <v>2.9837837837837888E-2</v>
      </c>
      <c r="DW77" s="467">
        <f t="shared" si="132"/>
        <v>-5.0000000000000044E-2</v>
      </c>
      <c r="DX77" s="467">
        <f t="shared" si="132"/>
        <v>-1</v>
      </c>
      <c r="DY77" s="467">
        <f t="shared" si="132"/>
        <v>-1</v>
      </c>
      <c r="DZ77" s="467">
        <f t="shared" si="132"/>
        <v>-1</v>
      </c>
      <c r="EA77" s="467">
        <f t="shared" si="132"/>
        <v>0</v>
      </c>
      <c r="EB77" s="809"/>
      <c r="EC77" s="809"/>
      <c r="ED77" s="809"/>
      <c r="EF77" s="161"/>
      <c r="EH77" s="400">
        <v>-0.05</v>
      </c>
      <c r="EM77" s="161"/>
      <c r="EN77" s="161"/>
      <c r="EO77" s="161"/>
      <c r="EP77" s="161"/>
      <c r="FL77" s="289">
        <v>290.11079999999998</v>
      </c>
      <c r="FM77" s="289">
        <v>333.60768000000002</v>
      </c>
      <c r="FN77" s="289">
        <v>349.73982000000001</v>
      </c>
      <c r="FO77" s="438">
        <v>332.61799999999999</v>
      </c>
      <c r="FP77" s="291">
        <v>0.12</v>
      </c>
      <c r="FQ77" s="291">
        <v>0.115</v>
      </c>
      <c r="FR77" s="432">
        <v>4.5968553459119432E-2</v>
      </c>
      <c r="FS77" s="650">
        <v>330</v>
      </c>
      <c r="FT77" s="641">
        <v>1.7595145146071189E-2</v>
      </c>
      <c r="FU77" s="677">
        <v>295</v>
      </c>
      <c r="FV77" s="668">
        <v>-0.10054394223967611</v>
      </c>
      <c r="FW77" s="680">
        <v>285.81600000000003</v>
      </c>
      <c r="FX77" s="668">
        <v>-3.4405405405405265E-2</v>
      </c>
      <c r="FY77" s="759">
        <v>269.7088</v>
      </c>
      <c r="FZ77" s="749">
        <v>-5.0000000000000044E-2</v>
      </c>
      <c r="GA77" s="791">
        <v>274.72859999999997</v>
      </c>
      <c r="GB77" s="791">
        <v>295.53739999999999</v>
      </c>
      <c r="GC77" s="810">
        <v>-0.05</v>
      </c>
      <c r="GD77" s="791">
        <v>289.59039999999999</v>
      </c>
      <c r="GE77" s="810">
        <v>-0.05</v>
      </c>
    </row>
    <row r="78" spans="1:187" hidden="1" outlineLevel="1">
      <c r="A78" s="161"/>
      <c r="B78" s="288"/>
      <c r="C78" s="161"/>
      <c r="D78" s="161"/>
      <c r="E78" s="161"/>
      <c r="F78" s="161"/>
      <c r="G78" s="161"/>
      <c r="H78" s="161"/>
      <c r="I78" s="161"/>
      <c r="J78" s="161"/>
      <c r="K78" s="161"/>
      <c r="L78" s="263"/>
      <c r="M78" s="263"/>
      <c r="N78" s="263"/>
      <c r="O78" s="263"/>
      <c r="P78" s="263"/>
      <c r="Q78" s="263"/>
      <c r="R78" s="263"/>
      <c r="S78" s="263"/>
      <c r="T78" s="263"/>
      <c r="U78" s="263"/>
      <c r="V78" s="263"/>
      <c r="W78" s="263"/>
      <c r="X78" s="263"/>
      <c r="Y78" s="263"/>
      <c r="Z78" s="263"/>
      <c r="AA78" s="263"/>
      <c r="AB78" s="263"/>
      <c r="AC78" s="263"/>
      <c r="AD78" s="263"/>
      <c r="AE78" s="263"/>
      <c r="AF78" s="263"/>
      <c r="AG78" s="263"/>
      <c r="AH78" s="263"/>
      <c r="AI78" s="263"/>
      <c r="AJ78" s="263"/>
      <c r="AK78" s="263"/>
      <c r="AL78" s="263"/>
      <c r="AM78" s="263"/>
      <c r="AN78" s="263"/>
      <c r="AO78" s="289"/>
      <c r="AP78" s="289"/>
      <c r="AQ78" s="289"/>
      <c r="AR78" s="289"/>
      <c r="AS78" s="289"/>
      <c r="AT78" s="289"/>
      <c r="AU78" s="289"/>
      <c r="AV78" s="289"/>
      <c r="AW78" s="289"/>
      <c r="AX78" s="289"/>
      <c r="AY78" s="289"/>
      <c r="AZ78" s="289"/>
      <c r="BA78" s="289"/>
      <c r="BB78" s="289"/>
      <c r="BC78" s="289"/>
      <c r="BD78" s="290"/>
      <c r="BE78" s="290"/>
      <c r="BF78" s="290"/>
      <c r="BG78" s="290"/>
      <c r="BH78" s="290"/>
      <c r="BI78" s="290"/>
      <c r="BJ78" s="290"/>
      <c r="BK78" s="290"/>
      <c r="BL78" s="290"/>
      <c r="BM78" s="290"/>
      <c r="BN78" s="290"/>
      <c r="BO78" s="290"/>
      <c r="BP78" s="289"/>
      <c r="BQ78" s="289"/>
      <c r="BR78" s="289"/>
      <c r="BS78" s="791"/>
      <c r="BT78" s="289"/>
      <c r="BU78" s="791"/>
      <c r="BV78" s="791"/>
      <c r="BW78" s="791"/>
      <c r="BX78" s="791"/>
      <c r="BY78" s="263"/>
      <c r="BZ78" s="263"/>
      <c r="CA78" s="161"/>
      <c r="CB78" s="264"/>
      <c r="CC78" s="264"/>
      <c r="CD78" s="264"/>
      <c r="CE78" s="264"/>
      <c r="CF78" s="264"/>
      <c r="CG78" s="264"/>
      <c r="CH78" s="264"/>
      <c r="CI78" s="264"/>
      <c r="CJ78" s="264"/>
      <c r="CK78" s="264"/>
      <c r="CL78" s="264"/>
      <c r="CM78" s="264"/>
      <c r="CN78" s="264"/>
      <c r="CO78" s="264"/>
      <c r="CP78" s="264"/>
      <c r="CQ78" s="264"/>
      <c r="CR78" s="264"/>
      <c r="CS78" s="264"/>
      <c r="CT78" s="264"/>
      <c r="CU78" s="264"/>
      <c r="CV78" s="264"/>
      <c r="CW78" s="264"/>
      <c r="CX78" s="264"/>
      <c r="CY78" s="264"/>
      <c r="CZ78" s="264"/>
      <c r="DA78" s="264"/>
      <c r="DB78" s="264"/>
      <c r="DC78" s="264"/>
      <c r="DD78" s="264"/>
      <c r="DE78" s="264"/>
      <c r="DF78" s="264"/>
      <c r="DG78" s="264"/>
      <c r="DH78" s="264"/>
      <c r="DI78" s="264"/>
      <c r="DJ78" s="264"/>
      <c r="DK78" s="467"/>
      <c r="DL78" s="467"/>
      <c r="DM78" s="467"/>
      <c r="DN78" s="467"/>
      <c r="DO78" s="467"/>
      <c r="DP78" s="467"/>
      <c r="DQ78" s="467"/>
      <c r="DR78" s="467"/>
      <c r="DS78" s="467"/>
      <c r="DT78" s="467"/>
      <c r="DU78" s="467"/>
      <c r="DV78" s="467"/>
      <c r="DW78" s="467"/>
      <c r="DX78" s="467"/>
      <c r="DY78" s="467"/>
      <c r="DZ78" s="467"/>
      <c r="EA78" s="467"/>
      <c r="EB78" s="809"/>
      <c r="EC78" s="809"/>
      <c r="ED78" s="809"/>
      <c r="EF78" s="161"/>
      <c r="EH78" s="400"/>
      <c r="EM78" s="161"/>
      <c r="EN78" s="161"/>
      <c r="EO78" s="161"/>
      <c r="EP78" s="161"/>
      <c r="FL78" s="289"/>
      <c r="FM78" s="289"/>
      <c r="FN78" s="289"/>
      <c r="FO78" s="438"/>
      <c r="FP78" s="291"/>
      <c r="FQ78" s="291"/>
      <c r="FR78" s="432"/>
      <c r="FS78" s="650"/>
      <c r="FT78" s="641"/>
      <c r="FU78" s="677"/>
      <c r="FV78" s="668"/>
      <c r="FW78" s="680"/>
      <c r="FX78" s="668"/>
      <c r="FY78" s="759"/>
      <c r="FZ78" s="749"/>
      <c r="GA78" s="791"/>
      <c r="GB78" s="791"/>
      <c r="GC78" s="810"/>
      <c r="GD78" s="791"/>
      <c r="GE78" s="810"/>
    </row>
    <row r="79" spans="1:187" hidden="1" outlineLevel="1">
      <c r="A79" s="161"/>
      <c r="B79" s="288" t="s">
        <v>459</v>
      </c>
      <c r="C79" s="161"/>
      <c r="D79" s="161"/>
      <c r="E79" s="161"/>
      <c r="F79" s="161"/>
      <c r="G79" s="161"/>
      <c r="H79" s="161"/>
      <c r="I79" s="161"/>
      <c r="J79" s="161"/>
      <c r="K79" s="161"/>
      <c r="L79" s="263"/>
      <c r="M79" s="263"/>
      <c r="N79" s="263"/>
      <c r="O79" s="263"/>
      <c r="P79" s="263"/>
      <c r="Q79" s="263"/>
      <c r="R79" s="263"/>
      <c r="S79" s="263"/>
      <c r="T79" s="263">
        <v>0</v>
      </c>
      <c r="U79" s="263">
        <v>0</v>
      </c>
      <c r="V79" s="263">
        <v>0</v>
      </c>
      <c r="W79" s="263">
        <v>130.1</v>
      </c>
      <c r="X79" s="263">
        <v>95.9</v>
      </c>
      <c r="Y79" s="263">
        <v>111.28</v>
      </c>
      <c r="Z79" s="263">
        <v>130.6</v>
      </c>
      <c r="AA79" s="263">
        <v>104</v>
      </c>
      <c r="AB79" s="263">
        <v>145.9</v>
      </c>
      <c r="AC79" s="263">
        <v>497</v>
      </c>
      <c r="AD79" s="263">
        <v>272</v>
      </c>
      <c r="AE79" s="263">
        <v>286.44099999999997</v>
      </c>
      <c r="AF79" s="263">
        <v>302</v>
      </c>
      <c r="AG79" s="263">
        <v>349.40800000000002</v>
      </c>
      <c r="AH79" s="263">
        <v>336.6</v>
      </c>
      <c r="AI79" s="263">
        <v>470.5</v>
      </c>
      <c r="AJ79" s="263">
        <v>274.30099999999999</v>
      </c>
      <c r="AK79" s="263">
        <v>129.858</v>
      </c>
      <c r="AL79" s="263">
        <v>151.4</v>
      </c>
      <c r="AM79" s="263">
        <v>179</v>
      </c>
      <c r="AN79" s="263">
        <v>147.1</v>
      </c>
      <c r="AO79" s="289">
        <v>145.44800000000001</v>
      </c>
      <c r="AP79" s="289">
        <v>143.6</v>
      </c>
      <c r="AQ79" s="289">
        <v>203</v>
      </c>
      <c r="AR79" s="289">
        <v>166</v>
      </c>
      <c r="AS79" s="289">
        <v>195.45</v>
      </c>
      <c r="AT79" s="289">
        <v>266</v>
      </c>
      <c r="AU79" s="289">
        <v>424.37200000000001</v>
      </c>
      <c r="AV79" s="289">
        <v>164.78100000000001</v>
      </c>
      <c r="AW79" s="289">
        <v>148.78</v>
      </c>
      <c r="AX79" s="289">
        <v>147.30000000000001</v>
      </c>
      <c r="AY79" s="289">
        <v>162.821</v>
      </c>
      <c r="AZ79" s="289">
        <v>157</v>
      </c>
      <c r="BA79" s="289">
        <v>181</v>
      </c>
      <c r="BB79" s="289">
        <v>166.93299999999999</v>
      </c>
      <c r="BC79" s="289">
        <v>202.72300000000001</v>
      </c>
      <c r="BD79" s="290">
        <v>185.17699999999999</v>
      </c>
      <c r="BE79" s="290">
        <v>182.10499999999999</v>
      </c>
      <c r="BF79" s="290">
        <v>195.59100000000001</v>
      </c>
      <c r="BG79" s="290">
        <v>453</v>
      </c>
      <c r="BH79" s="290">
        <v>229.30099999999999</v>
      </c>
      <c r="BI79" s="290">
        <v>238.029</v>
      </c>
      <c r="BJ79" s="290">
        <v>161.053</v>
      </c>
      <c r="BK79" s="290">
        <v>301.2</v>
      </c>
      <c r="BL79" s="290">
        <v>282.79000000000002</v>
      </c>
      <c r="BM79" s="290">
        <v>302.42700000000002</v>
      </c>
      <c r="BN79" s="290">
        <v>219.89599999999999</v>
      </c>
      <c r="BO79" s="290">
        <v>234.08500000000001</v>
      </c>
      <c r="BP79" s="289">
        <f>BL79*(1+EH79)</f>
        <v>311.06900000000007</v>
      </c>
      <c r="BQ79" s="289"/>
      <c r="BR79" s="289"/>
      <c r="BS79" s="791">
        <v>0</v>
      </c>
      <c r="BT79" s="289">
        <f>BP79*(1+EL79)</f>
        <v>311.06900000000007</v>
      </c>
      <c r="BU79" s="791"/>
      <c r="BV79" s="791"/>
      <c r="BW79" s="791"/>
      <c r="BX79" s="791">
        <f>BP79*(1+EF79)</f>
        <v>311.06900000000007</v>
      </c>
      <c r="BY79" s="263"/>
      <c r="BZ79" s="263"/>
      <c r="CA79" s="161"/>
      <c r="CB79" s="264"/>
      <c r="CC79" s="264"/>
      <c r="CD79" s="264"/>
      <c r="CE79" s="264"/>
      <c r="CF79" s="264"/>
      <c r="CG79" s="264"/>
      <c r="CH79" s="264">
        <f t="shared" ref="CH79:EA79" si="133">AA79/W79-1</f>
        <v>-0.2006149116064565</v>
      </c>
      <c r="CI79" s="264">
        <f t="shared" si="133"/>
        <v>0.52137643378519294</v>
      </c>
      <c r="CJ79" s="264">
        <f t="shared" si="133"/>
        <v>3.4662113587347232</v>
      </c>
      <c r="CK79" s="264">
        <f t="shared" si="133"/>
        <v>1.0826952526799389</v>
      </c>
      <c r="CL79" s="264">
        <f t="shared" si="133"/>
        <v>1.7542403846153842</v>
      </c>
      <c r="CM79" s="264">
        <f t="shared" si="133"/>
        <v>1.0699108978752569</v>
      </c>
      <c r="CN79" s="264">
        <f t="shared" si="133"/>
        <v>-0.29696579476861162</v>
      </c>
      <c r="CO79" s="264">
        <f t="shared" si="133"/>
        <v>0.23750000000000004</v>
      </c>
      <c r="CP79" s="264">
        <f t="shared" si="133"/>
        <v>0.64257211781832924</v>
      </c>
      <c r="CQ79" s="264">
        <f t="shared" si="133"/>
        <v>-9.1718543046357626E-2</v>
      </c>
      <c r="CR79" s="264">
        <f t="shared" si="133"/>
        <v>-0.62834852092682481</v>
      </c>
      <c r="CS79" s="264">
        <f t="shared" si="133"/>
        <v>-0.55020796197266786</v>
      </c>
      <c r="CT79" s="264">
        <f t="shared" si="133"/>
        <v>-0.61955366631243358</v>
      </c>
      <c r="CU79" s="264">
        <f t="shared" si="133"/>
        <v>-0.46372780266933045</v>
      </c>
      <c r="CV79" s="264">
        <f t="shared" si="133"/>
        <v>0.12005421306350006</v>
      </c>
      <c r="CW79" s="264">
        <f t="shared" si="133"/>
        <v>-5.1519154557463698E-2</v>
      </c>
      <c r="CX79" s="264">
        <f t="shared" si="133"/>
        <v>0.13407821229050287</v>
      </c>
      <c r="CY79" s="264">
        <f t="shared" si="133"/>
        <v>0.12848402447314755</v>
      </c>
      <c r="CZ79" s="264">
        <f t="shared" si="133"/>
        <v>0.3437792200649028</v>
      </c>
      <c r="DA79" s="264">
        <f t="shared" si="133"/>
        <v>0.85236768802228413</v>
      </c>
      <c r="DB79" s="264">
        <f t="shared" si="133"/>
        <v>1.0905024630541873</v>
      </c>
      <c r="DC79" s="264">
        <f t="shared" si="133"/>
        <v>-7.3433734939758466E-3</v>
      </c>
      <c r="DD79" s="264">
        <f t="shared" si="133"/>
        <v>-0.23878229726272704</v>
      </c>
      <c r="DE79" s="264">
        <f t="shared" si="133"/>
        <v>-0.44624060150375933</v>
      </c>
      <c r="DF79" s="264">
        <f t="shared" si="133"/>
        <v>-0.61632482821675327</v>
      </c>
      <c r="DG79" s="264">
        <f t="shared" si="133"/>
        <v>-4.7220249907452994E-2</v>
      </c>
      <c r="DH79" s="264">
        <f t="shared" si="133"/>
        <v>0.21656136577496965</v>
      </c>
      <c r="DI79" s="264">
        <f t="shared" si="133"/>
        <v>0.13328581126951788</v>
      </c>
      <c r="DJ79" s="264">
        <f t="shared" si="133"/>
        <v>0.24506666830445711</v>
      </c>
      <c r="DK79" s="467">
        <f t="shared" si="133"/>
        <v>0.17947133757961775</v>
      </c>
      <c r="DL79" s="467">
        <f t="shared" si="133"/>
        <v>6.1049723756905205E-3</v>
      </c>
      <c r="DM79" s="467">
        <f t="shared" si="133"/>
        <v>0.17167366548255902</v>
      </c>
      <c r="DN79" s="467">
        <f t="shared" si="133"/>
        <v>1.2345762444320574</v>
      </c>
      <c r="DO79" s="467">
        <f t="shared" si="133"/>
        <v>0.23828013198183351</v>
      </c>
      <c r="DP79" s="467">
        <f t="shared" si="133"/>
        <v>0.30709755360918156</v>
      </c>
      <c r="DQ79" s="467">
        <f t="shared" si="133"/>
        <v>-0.17658276710073573</v>
      </c>
      <c r="DR79" s="467">
        <f t="shared" si="133"/>
        <v>-0.33509933774834444</v>
      </c>
      <c r="DS79" s="467">
        <f t="shared" si="133"/>
        <v>0.23326980693498944</v>
      </c>
      <c r="DT79" s="467">
        <f t="shared" si="133"/>
        <v>0.27054686613815981</v>
      </c>
      <c r="DU79" s="467">
        <f t="shared" si="133"/>
        <v>0.36536419687928823</v>
      </c>
      <c r="DV79" s="467">
        <f t="shared" si="133"/>
        <v>-0.22282536520584328</v>
      </c>
      <c r="DW79" s="467">
        <f t="shared" si="133"/>
        <v>0.10000000000000009</v>
      </c>
      <c r="DX79" s="467">
        <f t="shared" si="133"/>
        <v>-1</v>
      </c>
      <c r="DY79" s="467">
        <f t="shared" si="133"/>
        <v>-1</v>
      </c>
      <c r="DZ79" s="467">
        <f t="shared" si="133"/>
        <v>-1</v>
      </c>
      <c r="EA79" s="467">
        <f t="shared" si="133"/>
        <v>0</v>
      </c>
      <c r="EB79" s="809"/>
      <c r="EC79" s="809"/>
      <c r="ED79" s="809"/>
      <c r="EF79" s="161"/>
      <c r="EH79" s="400">
        <v>0.1</v>
      </c>
      <c r="EM79" s="161"/>
      <c r="EN79" s="161"/>
      <c r="EO79" s="161"/>
      <c r="EP79" s="161"/>
      <c r="FL79" s="289">
        <v>203.69470000000001</v>
      </c>
      <c r="FM79" s="289">
        <v>214.88389999999998</v>
      </c>
      <c r="FN79" s="289">
        <v>185.81145000000001</v>
      </c>
      <c r="FO79" s="438">
        <v>171.61700000000002</v>
      </c>
      <c r="FP79" s="291">
        <v>0.18</v>
      </c>
      <c r="FQ79" s="291">
        <v>-0.05</v>
      </c>
      <c r="FR79" s="432">
        <v>-0.62115452538631344</v>
      </c>
      <c r="FS79" s="650">
        <v>250</v>
      </c>
      <c r="FT79" s="641">
        <v>5.0292191287616195E-2</v>
      </c>
      <c r="FU79" s="677">
        <v>280</v>
      </c>
      <c r="FV79" s="668">
        <v>0.73855811440954233</v>
      </c>
      <c r="FW79" s="680">
        <v>344.887</v>
      </c>
      <c r="FX79" s="668">
        <v>0.1450431606905711</v>
      </c>
      <c r="FY79" s="759">
        <v>311.06900000000007</v>
      </c>
      <c r="FZ79" s="749">
        <v>0.10000000000000009</v>
      </c>
      <c r="GA79" s="791">
        <v>332.66970000000003</v>
      </c>
      <c r="GB79" s="791">
        <v>241.88560000000001</v>
      </c>
      <c r="GC79" s="810">
        <v>0.1</v>
      </c>
      <c r="GD79" s="791">
        <v>257.49350000000004</v>
      </c>
      <c r="GE79" s="810">
        <v>0.1</v>
      </c>
    </row>
    <row r="80" spans="1:187" hidden="1" outlineLevel="1">
      <c r="A80" s="161"/>
      <c r="B80" s="869" t="s">
        <v>460</v>
      </c>
      <c r="C80" s="855"/>
      <c r="D80" s="855"/>
      <c r="E80" s="855"/>
      <c r="F80" s="855"/>
      <c r="G80" s="855"/>
      <c r="H80" s="855"/>
      <c r="I80" s="855"/>
      <c r="J80" s="855"/>
      <c r="K80" s="855"/>
      <c r="L80" s="870"/>
      <c r="M80" s="870"/>
      <c r="N80" s="870"/>
      <c r="O80" s="870"/>
      <c r="P80" s="870"/>
      <c r="Q80" s="870"/>
      <c r="R80" s="870"/>
      <c r="S80" s="870"/>
      <c r="T80" s="870"/>
      <c r="U80" s="870"/>
      <c r="V80" s="870"/>
      <c r="W80" s="870"/>
      <c r="X80" s="870"/>
      <c r="Y80" s="870"/>
      <c r="Z80" s="870"/>
      <c r="AA80" s="870">
        <v>111</v>
      </c>
      <c r="AB80" s="870">
        <v>135.4</v>
      </c>
      <c r="AC80" s="870">
        <v>144</v>
      </c>
      <c r="AD80" s="870">
        <v>90</v>
      </c>
      <c r="AE80" s="870">
        <v>87.974999999999994</v>
      </c>
      <c r="AF80" s="870">
        <v>61.5</v>
      </c>
      <c r="AG80" s="870">
        <v>66.319000000000003</v>
      </c>
      <c r="AH80" s="870">
        <v>75.599999999999994</v>
      </c>
      <c r="AI80" s="870">
        <v>84.5</v>
      </c>
      <c r="AJ80" s="870">
        <v>73.658000000000001</v>
      </c>
      <c r="AK80" s="870">
        <v>68.617999999999995</v>
      </c>
      <c r="AL80" s="870">
        <v>76.900000000000006</v>
      </c>
      <c r="AM80" s="870">
        <v>79.7</v>
      </c>
      <c r="AN80" s="870">
        <v>70</v>
      </c>
      <c r="AO80" s="878">
        <v>68.647999999999996</v>
      </c>
      <c r="AP80" s="878">
        <v>76.900000000000006</v>
      </c>
      <c r="AQ80" s="878">
        <v>85.5</v>
      </c>
      <c r="AR80" s="878">
        <v>75.400000000000006</v>
      </c>
      <c r="AS80" s="878">
        <v>81.992999999999995</v>
      </c>
      <c r="AT80" s="878">
        <v>80</v>
      </c>
      <c r="AU80" s="878">
        <v>84.572999999999993</v>
      </c>
      <c r="AV80" s="878">
        <v>75.448999999999998</v>
      </c>
      <c r="AW80" s="878">
        <v>74.697999999999993</v>
      </c>
      <c r="AX80" s="878">
        <v>71.98</v>
      </c>
      <c r="AY80" s="878">
        <v>81.741</v>
      </c>
      <c r="AZ80" s="878">
        <v>80.8</v>
      </c>
      <c r="BA80" s="878">
        <v>79</v>
      </c>
      <c r="BB80" s="878">
        <v>83.915999999999997</v>
      </c>
      <c r="BC80" s="878">
        <v>80</v>
      </c>
      <c r="BD80" s="879">
        <v>78.897999999999996</v>
      </c>
      <c r="BE80" s="879">
        <v>96.989000000000004</v>
      </c>
      <c r="BF80" s="879">
        <v>94.015000000000001</v>
      </c>
      <c r="BG80" s="879">
        <v>96</v>
      </c>
      <c r="BH80" s="879">
        <v>91.322000000000003</v>
      </c>
      <c r="BI80" s="879">
        <v>93.852999999999994</v>
      </c>
      <c r="BJ80" s="879">
        <v>94.156000000000006</v>
      </c>
      <c r="BK80" s="879">
        <v>88.704999999999998</v>
      </c>
      <c r="BL80" s="879">
        <v>87.616</v>
      </c>
      <c r="BM80" s="879">
        <v>94.09</v>
      </c>
      <c r="BN80" s="879">
        <v>94.462000000000003</v>
      </c>
      <c r="BO80" s="290">
        <v>99.414000000000001</v>
      </c>
      <c r="BP80" s="290">
        <v>99.489000000000004</v>
      </c>
      <c r="BQ80" s="290"/>
      <c r="BR80" s="290"/>
      <c r="BS80" s="791">
        <v>0</v>
      </c>
      <c r="BT80" s="290">
        <v>99.489000000000004</v>
      </c>
      <c r="BU80" s="791"/>
      <c r="BV80" s="791"/>
      <c r="BW80" s="791"/>
      <c r="BX80" s="791">
        <f>BP80*(1+EF80)</f>
        <v>99.489000000000004</v>
      </c>
      <c r="BY80" s="263"/>
      <c r="BZ80" s="263"/>
      <c r="CA80" s="161"/>
      <c r="CB80" s="264"/>
      <c r="CC80" s="264"/>
      <c r="CD80" s="264"/>
      <c r="CE80" s="875"/>
      <c r="CF80" s="875"/>
      <c r="CG80" s="875"/>
      <c r="CH80" s="875"/>
      <c r="CI80" s="875"/>
      <c r="CJ80" s="875"/>
      <c r="CK80" s="875"/>
      <c r="CL80" s="875">
        <f t="shared" ref="CL80:CU81" si="134">AE80/AA80-1</f>
        <v>-0.20743243243243248</v>
      </c>
      <c r="CM80" s="875">
        <f t="shared" si="134"/>
        <v>-0.54579025110782875</v>
      </c>
      <c r="CN80" s="875">
        <f t="shared" si="134"/>
        <v>-0.53945138888888888</v>
      </c>
      <c r="CO80" s="875">
        <f t="shared" si="134"/>
        <v>-0.16000000000000003</v>
      </c>
      <c r="CP80" s="875">
        <f t="shared" si="134"/>
        <v>-3.9499857914180092E-2</v>
      </c>
      <c r="CQ80" s="875">
        <f t="shared" si="134"/>
        <v>0.19769105691056921</v>
      </c>
      <c r="CR80" s="875">
        <f t="shared" si="134"/>
        <v>3.4665782053408423E-2</v>
      </c>
      <c r="CS80" s="875">
        <f t="shared" si="134"/>
        <v>1.7195767195767431E-2</v>
      </c>
      <c r="CT80" s="875">
        <f t="shared" si="134"/>
        <v>-5.6804733727810586E-2</v>
      </c>
      <c r="CU80" s="875">
        <f t="shared" si="134"/>
        <v>-4.9661951179776787E-2</v>
      </c>
      <c r="CV80" s="875">
        <f t="shared" ref="CV80:DE81" si="135">AO80/AK80-1</f>
        <v>4.3720306625094629E-4</v>
      </c>
      <c r="CW80" s="875">
        <f t="shared" si="135"/>
        <v>0</v>
      </c>
      <c r="CX80" s="875">
        <f t="shared" si="135"/>
        <v>7.2772898368883343E-2</v>
      </c>
      <c r="CY80" s="875">
        <f t="shared" si="135"/>
        <v>7.714285714285718E-2</v>
      </c>
      <c r="CZ80" s="875">
        <f t="shared" si="135"/>
        <v>0.19439750611816797</v>
      </c>
      <c r="DA80" s="875">
        <f t="shared" si="135"/>
        <v>4.0312093628088297E-2</v>
      </c>
      <c r="DB80" s="875">
        <f t="shared" si="135"/>
        <v>-1.0842105263157986E-2</v>
      </c>
      <c r="DC80" s="875">
        <f t="shared" si="135"/>
        <v>6.4986737400518635E-4</v>
      </c>
      <c r="DD80" s="875">
        <f t="shared" si="135"/>
        <v>-8.8971009720341998E-2</v>
      </c>
      <c r="DE80" s="875">
        <f t="shared" si="135"/>
        <v>-0.10024999999999995</v>
      </c>
      <c r="DF80" s="875">
        <f t="shared" ref="DF80:DO81" si="136">AY80/AU80-1</f>
        <v>-3.3485864282927102E-2</v>
      </c>
      <c r="DG80" s="875">
        <f t="shared" si="136"/>
        <v>7.092207981550458E-2</v>
      </c>
      <c r="DH80" s="875">
        <f t="shared" si="136"/>
        <v>5.7591903397681499E-2</v>
      </c>
      <c r="DI80" s="875">
        <f t="shared" si="136"/>
        <v>0.16582383995554317</v>
      </c>
      <c r="DJ80" s="875">
        <f t="shared" si="136"/>
        <v>-2.1298980927563882E-2</v>
      </c>
      <c r="DK80" s="876">
        <f t="shared" si="136"/>
        <v>-2.3539603960396005E-2</v>
      </c>
      <c r="DL80" s="876">
        <f t="shared" si="136"/>
        <v>0.2277088607594937</v>
      </c>
      <c r="DM80" s="876">
        <f t="shared" si="136"/>
        <v>0.12034653701320375</v>
      </c>
      <c r="DN80" s="876">
        <f t="shared" si="136"/>
        <v>0.19999999999999996</v>
      </c>
      <c r="DO80" s="876">
        <f t="shared" si="136"/>
        <v>0.15746913736723367</v>
      </c>
      <c r="DP80" s="876">
        <f t="shared" ref="DP80:DY81" si="137">BI80/BE80-1</f>
        <v>-3.2333563599995951E-2</v>
      </c>
      <c r="DQ80" s="876">
        <f t="shared" si="137"/>
        <v>1.4997606764879379E-3</v>
      </c>
      <c r="DR80" s="876">
        <f t="shared" si="137"/>
        <v>-7.5989583333333388E-2</v>
      </c>
      <c r="DS80" s="876">
        <f t="shared" si="137"/>
        <v>-4.0581678018440259E-2</v>
      </c>
      <c r="DT80" s="876">
        <f t="shared" si="137"/>
        <v>2.5252256187868749E-3</v>
      </c>
      <c r="DU80" s="876">
        <f t="shared" si="137"/>
        <v>3.2499256552953604E-3</v>
      </c>
      <c r="DV80" s="876">
        <f t="shared" si="137"/>
        <v>0.12072600191646465</v>
      </c>
      <c r="DW80" s="876">
        <f t="shared" si="137"/>
        <v>0.13551177867056241</v>
      </c>
      <c r="DX80" s="876">
        <f t="shared" si="137"/>
        <v>-1</v>
      </c>
      <c r="DY80" s="876">
        <f t="shared" si="137"/>
        <v>-1</v>
      </c>
      <c r="DZ80" s="876">
        <f>BS80/BO80-1</f>
        <v>-1</v>
      </c>
      <c r="EA80" s="876">
        <f>BT80/BP80-1</f>
        <v>0</v>
      </c>
      <c r="EB80" s="809"/>
      <c r="EC80" s="809"/>
      <c r="ED80" s="809"/>
      <c r="EF80" s="161"/>
      <c r="EH80" s="400">
        <v>0.05</v>
      </c>
      <c r="EM80" s="161"/>
      <c r="EN80" s="161"/>
      <c r="EO80" s="161"/>
      <c r="EP80" s="161"/>
      <c r="FL80" s="878">
        <v>80.475960000000001</v>
      </c>
      <c r="FM80" s="878">
        <v>111.53734999999999</v>
      </c>
      <c r="FN80" s="878">
        <v>108.11725</v>
      </c>
      <c r="FO80" s="880">
        <v>95.668999999999983</v>
      </c>
      <c r="FP80" s="881">
        <v>0.15</v>
      </c>
      <c r="FQ80" s="881">
        <v>0.15</v>
      </c>
      <c r="FR80" s="877">
        <v>-3.4479166666668837E-3</v>
      </c>
      <c r="FS80" s="882">
        <v>90</v>
      </c>
      <c r="FT80" s="662">
        <v>-4.1053562486015327E-2</v>
      </c>
      <c r="FU80" s="679">
        <v>94</v>
      </c>
      <c r="FV80" s="692">
        <v>-1.6568248438761923E-3</v>
      </c>
      <c r="FW80" s="680">
        <v>91.868000000000009</v>
      </c>
      <c r="FX80" s="668">
        <v>3.5657516487233032E-2</v>
      </c>
      <c r="FY80" s="759">
        <v>91.996800000000007</v>
      </c>
      <c r="FZ80" s="749">
        <v>5.0000000000000044E-2</v>
      </c>
      <c r="GA80" s="791">
        <v>98.794500000000014</v>
      </c>
      <c r="GB80" s="791">
        <v>99.185100000000006</v>
      </c>
      <c r="GC80" s="810">
        <v>0.05</v>
      </c>
      <c r="GD80" s="791">
        <v>104.38470000000001</v>
      </c>
      <c r="GE80" s="810">
        <v>0.05</v>
      </c>
    </row>
    <row r="81" spans="1:187" collapsed="1">
      <c r="A81" s="161"/>
      <c r="B81" s="326" t="s">
        <v>461</v>
      </c>
      <c r="C81" s="163"/>
      <c r="D81" s="163"/>
      <c r="E81" s="163"/>
      <c r="F81" s="163"/>
      <c r="G81" s="163"/>
      <c r="H81" s="163"/>
      <c r="I81" s="308"/>
      <c r="J81" s="308"/>
      <c r="K81" s="308"/>
      <c r="L81" s="308"/>
      <c r="M81" s="308"/>
      <c r="N81" s="308"/>
      <c r="O81" s="308"/>
      <c r="P81" s="308"/>
      <c r="Q81" s="308"/>
      <c r="R81" s="308"/>
      <c r="S81" s="308"/>
      <c r="T81" s="308">
        <f>SUM(T76:T79)</f>
        <v>123.69999999999999</v>
      </c>
      <c r="U81" s="308">
        <f>SUM(U76:U79)</f>
        <v>123.69999999999999</v>
      </c>
      <c r="V81" s="308">
        <f>SUM(V76:V79)</f>
        <v>141.80000000000001</v>
      </c>
      <c r="W81" s="308">
        <f>SUM(W76:W79)</f>
        <v>302.5</v>
      </c>
      <c r="X81" s="308">
        <f>SUM(X76:X80)</f>
        <v>265.60000000000002</v>
      </c>
      <c r="Y81" s="308">
        <f>SUM(Y76:Y80)</f>
        <v>307.57500000000005</v>
      </c>
      <c r="Z81" s="308">
        <f>SUM(Z76:Z80)</f>
        <v>330.20000000000005</v>
      </c>
      <c r="AA81" s="308">
        <f>SUM(AA76:AA80)</f>
        <v>429.79599999999999</v>
      </c>
      <c r="AB81" s="308">
        <f t="shared" ref="AB81:AN81" si="138">AB76+AB77+AB79+AB80</f>
        <v>498.4</v>
      </c>
      <c r="AC81" s="308">
        <f t="shared" si="138"/>
        <v>870</v>
      </c>
      <c r="AD81" s="308">
        <f t="shared" si="138"/>
        <v>620.4</v>
      </c>
      <c r="AE81" s="308">
        <f t="shared" si="138"/>
        <v>681.15300000000002</v>
      </c>
      <c r="AF81" s="308">
        <f t="shared" si="138"/>
        <v>682.17499999999995</v>
      </c>
      <c r="AG81" s="308">
        <f t="shared" si="138"/>
        <v>753.42700000000002</v>
      </c>
      <c r="AH81" s="308">
        <f t="shared" si="138"/>
        <v>766.7</v>
      </c>
      <c r="AI81" s="308">
        <f t="shared" si="138"/>
        <v>921.8</v>
      </c>
      <c r="AJ81" s="308">
        <f t="shared" si="138"/>
        <v>760.36</v>
      </c>
      <c r="AK81" s="308">
        <f t="shared" si="138"/>
        <v>607.24</v>
      </c>
      <c r="AL81" s="308">
        <f t="shared" si="138"/>
        <v>698.4</v>
      </c>
      <c r="AM81" s="308">
        <f t="shared" si="138"/>
        <v>748.7</v>
      </c>
      <c r="AN81" s="308">
        <f t="shared" si="138"/>
        <v>799.7</v>
      </c>
      <c r="AO81" s="308">
        <f t="shared" ref="AO81:AZ81" si="139">SUM(AO76:AO80)</f>
        <v>895.84100000000001</v>
      </c>
      <c r="AP81" s="308">
        <f t="shared" si="139"/>
        <v>825.6</v>
      </c>
      <c r="AQ81" s="308">
        <f t="shared" si="139"/>
        <v>926.5</v>
      </c>
      <c r="AR81" s="308">
        <f t="shared" si="139"/>
        <v>948.1</v>
      </c>
      <c r="AS81" s="308">
        <f t="shared" si="139"/>
        <v>1069.818</v>
      </c>
      <c r="AT81" s="308">
        <f t="shared" si="139"/>
        <v>1070</v>
      </c>
      <c r="AU81" s="308">
        <f t="shared" si="139"/>
        <v>1170.6270000000002</v>
      </c>
      <c r="AV81" s="308">
        <f t="shared" si="139"/>
        <v>959.87900000000002</v>
      </c>
      <c r="AW81" s="308">
        <f t="shared" si="139"/>
        <v>972.69099999999992</v>
      </c>
      <c r="AX81" s="308">
        <f t="shared" si="139"/>
        <v>975.28</v>
      </c>
      <c r="AY81" s="308">
        <f t="shared" si="139"/>
        <v>989.04100000000005</v>
      </c>
      <c r="AZ81" s="308">
        <f t="shared" si="139"/>
        <v>991.8</v>
      </c>
      <c r="BA81" s="308">
        <v>1031</v>
      </c>
      <c r="BB81" s="308">
        <v>1043.5540000000001</v>
      </c>
      <c r="BC81" s="1048">
        <v>1132.1600000000001</v>
      </c>
      <c r="BD81" s="1049">
        <v>1139.0630000000001</v>
      </c>
      <c r="BE81" s="1049">
        <v>1181.338</v>
      </c>
      <c r="BF81" s="1049">
        <v>1305.5350000000001</v>
      </c>
      <c r="BG81" s="1048">
        <f>SUM(BG76:BG80)</f>
        <v>1554</v>
      </c>
      <c r="BH81" s="1049">
        <v>1333.3309999999999</v>
      </c>
      <c r="BI81" s="1049">
        <v>1352.962</v>
      </c>
      <c r="BJ81" s="1049">
        <v>1300.2370000000001</v>
      </c>
      <c r="BK81" s="1048">
        <f>SUM(BK76:BK80)</f>
        <v>1416.3689999999999</v>
      </c>
      <c r="BL81" s="1048">
        <f>SUM(BL76:BL80)</f>
        <v>1402.992</v>
      </c>
      <c r="BM81" s="1048">
        <f>SUM(BM76:BM80)</f>
        <v>1450.5110000000002</v>
      </c>
      <c r="BN81" s="1048">
        <f>SUM(BN76:BN80)</f>
        <v>1388.85</v>
      </c>
      <c r="BO81" s="1048">
        <f>SUM(BO76:BO80)</f>
        <v>1416.952</v>
      </c>
      <c r="BP81" s="813">
        <v>1413.501</v>
      </c>
      <c r="BQ81" s="813">
        <v>1305.386</v>
      </c>
      <c r="BR81" s="813">
        <v>1326.2929999999999</v>
      </c>
      <c r="BS81" s="813">
        <v>1380.9380000000001</v>
      </c>
      <c r="BT81" s="813">
        <v>1351.771</v>
      </c>
      <c r="BU81" s="1037">
        <f>BU72-BU87</f>
        <v>1311.9587450000008</v>
      </c>
      <c r="BV81" s="1037">
        <f>BV72-BV87</f>
        <v>1350.7242050000004</v>
      </c>
      <c r="BW81" s="1037">
        <f>BX81-BT81-BU81-BV81</f>
        <v>1465.9252299999998</v>
      </c>
      <c r="BX81" s="1037">
        <f>Fixed!U79</f>
        <v>5480.3791800000008</v>
      </c>
      <c r="BY81" s="975"/>
      <c r="BZ81" s="294"/>
      <c r="CA81" s="163"/>
      <c r="CB81" s="285"/>
      <c r="CC81" s="285"/>
      <c r="CD81" s="285"/>
      <c r="CE81" s="285">
        <f t="shared" ref="CE81:CK81" si="140">X81/T81-1</f>
        <v>1.1471301535974137</v>
      </c>
      <c r="CF81" s="285">
        <f t="shared" si="140"/>
        <v>1.4864591754244145</v>
      </c>
      <c r="CG81" s="285">
        <f t="shared" si="140"/>
        <v>1.3286318758815234</v>
      </c>
      <c r="CH81" s="285">
        <f t="shared" si="140"/>
        <v>0.42081322314049574</v>
      </c>
      <c r="CI81" s="285">
        <f t="shared" si="140"/>
        <v>0.87650602409638534</v>
      </c>
      <c r="CJ81" s="285">
        <f t="shared" si="140"/>
        <v>1.828578395513289</v>
      </c>
      <c r="CK81" s="285">
        <f t="shared" si="140"/>
        <v>0.87886129618413045</v>
      </c>
      <c r="CL81" s="285">
        <f t="shared" si="134"/>
        <v>0.58482861636683459</v>
      </c>
      <c r="CM81" s="285">
        <f t="shared" si="134"/>
        <v>0.36872993579454261</v>
      </c>
      <c r="CN81" s="285">
        <f t="shared" si="134"/>
        <v>-0.13399195402298847</v>
      </c>
      <c r="CO81" s="285">
        <f t="shared" si="134"/>
        <v>0.23581560283687963</v>
      </c>
      <c r="CP81" s="285">
        <f t="shared" si="134"/>
        <v>0.35329360657590869</v>
      </c>
      <c r="CQ81" s="285">
        <f t="shared" si="134"/>
        <v>0.11461135339172501</v>
      </c>
      <c r="CR81" s="285">
        <f t="shared" si="134"/>
        <v>-0.19402941492672809</v>
      </c>
      <c r="CS81" s="285">
        <f t="shared" si="134"/>
        <v>-8.9083083344202563E-2</v>
      </c>
      <c r="CT81" s="285">
        <f t="shared" si="134"/>
        <v>-0.18778476893035356</v>
      </c>
      <c r="CU81" s="285">
        <f t="shared" si="134"/>
        <v>5.1738650113104301E-2</v>
      </c>
      <c r="CV81" s="285">
        <f t="shared" si="135"/>
        <v>0.4752667808444766</v>
      </c>
      <c r="CW81" s="285">
        <f t="shared" si="135"/>
        <v>0.18213058419243988</v>
      </c>
      <c r="CX81" s="285">
        <f t="shared" si="135"/>
        <v>0.23747829571256829</v>
      </c>
      <c r="CY81" s="285">
        <f t="shared" si="135"/>
        <v>0.18556958859572337</v>
      </c>
      <c r="CZ81" s="285">
        <f t="shared" si="135"/>
        <v>0.19420522168554455</v>
      </c>
      <c r="DA81" s="285">
        <f t="shared" si="135"/>
        <v>0.29602713178294571</v>
      </c>
      <c r="DB81" s="285">
        <f t="shared" si="135"/>
        <v>0.26349379384781457</v>
      </c>
      <c r="DC81" s="285">
        <f t="shared" si="135"/>
        <v>1.2423794958337675E-2</v>
      </c>
      <c r="DD81" s="285">
        <f t="shared" si="135"/>
        <v>-9.0788339698902099E-2</v>
      </c>
      <c r="DE81" s="285">
        <f t="shared" si="135"/>
        <v>-8.8523364485981304E-2</v>
      </c>
      <c r="DF81" s="285">
        <f t="shared" si="136"/>
        <v>-0.15511858175148885</v>
      </c>
      <c r="DG81" s="285">
        <f t="shared" si="136"/>
        <v>3.3255233211685997E-2</v>
      </c>
      <c r="DH81" s="285">
        <f t="shared" si="136"/>
        <v>5.9946067147737647E-2</v>
      </c>
      <c r="DI81" s="285">
        <f t="shared" si="136"/>
        <v>7.0004511524895507E-2</v>
      </c>
      <c r="DJ81" s="285">
        <f t="shared" si="136"/>
        <v>0.14470482012373598</v>
      </c>
      <c r="DK81" s="486">
        <f t="shared" si="136"/>
        <v>0.1484805404315388</v>
      </c>
      <c r="DL81" s="486">
        <f t="shared" si="136"/>
        <v>0.14581765276430647</v>
      </c>
      <c r="DM81" s="486">
        <f t="shared" si="136"/>
        <v>0.25104690317894418</v>
      </c>
      <c r="DN81" s="486">
        <f t="shared" si="136"/>
        <v>0.37259751271905017</v>
      </c>
      <c r="DO81" s="486">
        <f t="shared" si="136"/>
        <v>0.17055070702849595</v>
      </c>
      <c r="DP81" s="486">
        <f t="shared" si="137"/>
        <v>0.14527933580397812</v>
      </c>
      <c r="DQ81" s="486">
        <f t="shared" si="137"/>
        <v>-4.0581064467823946E-3</v>
      </c>
      <c r="DR81" s="486">
        <f t="shared" si="137"/>
        <v>-8.8565637065637137E-2</v>
      </c>
      <c r="DS81" s="486">
        <f t="shared" si="137"/>
        <v>5.2245841430222484E-2</v>
      </c>
      <c r="DT81" s="804">
        <f t="shared" si="137"/>
        <v>7.210032506456221E-2</v>
      </c>
      <c r="DU81" s="804">
        <f t="shared" si="137"/>
        <v>6.8151421625441966E-2</v>
      </c>
      <c r="DV81" s="486">
        <f t="shared" si="137"/>
        <v>4.1161589952909416E-4</v>
      </c>
      <c r="DW81" s="486">
        <f t="shared" si="137"/>
        <v>7.4904204728181156E-3</v>
      </c>
      <c r="DX81" s="486">
        <f t="shared" si="137"/>
        <v>-0.10005094756261768</v>
      </c>
      <c r="DY81" s="804">
        <f t="shared" si="137"/>
        <v>-4.5042301184433198E-2</v>
      </c>
      <c r="DZ81" s="804">
        <f>BS81/BO81-1</f>
        <v>-2.5416527871092276E-2</v>
      </c>
      <c r="EA81" s="804">
        <f>BT81/BP81-1</f>
        <v>-4.3671705927339266E-2</v>
      </c>
      <c r="EB81" s="1036">
        <f t="shared" ref="EB81:ED81" si="141">BU81/BQ81-1</f>
        <v>5.0350968985426459E-3</v>
      </c>
      <c r="EC81" s="1036">
        <f t="shared" si="141"/>
        <v>1.8420669490075481E-2</v>
      </c>
      <c r="ED81" s="1036">
        <f t="shared" si="141"/>
        <v>6.1543117793847246E-2</v>
      </c>
      <c r="EF81" s="161"/>
      <c r="EH81" s="400">
        <v>0.05</v>
      </c>
      <c r="EM81" s="161"/>
      <c r="EN81" s="161"/>
      <c r="EO81" s="161"/>
      <c r="EP81" s="161"/>
      <c r="FL81" s="289">
        <v>1304.6857</v>
      </c>
      <c r="FM81" s="289">
        <v>1379.34942</v>
      </c>
      <c r="FN81" s="289">
        <v>1465.3127199999999</v>
      </c>
      <c r="FO81" s="438">
        <v>1323.4689999999996</v>
      </c>
      <c r="FP81" s="264">
        <v>0.16761622837833046</v>
      </c>
      <c r="FQ81" s="264">
        <v>0.12238486137866844</v>
      </c>
      <c r="FR81" s="432">
        <v>-0.14834684684684707</v>
      </c>
      <c r="FS81" s="651">
        <v>1405</v>
      </c>
      <c r="FT81" s="641">
        <v>3.8462277580597171E-2</v>
      </c>
      <c r="FU81" s="680">
        <v>1439</v>
      </c>
      <c r="FV81" s="668">
        <v>0.10672131311445532</v>
      </c>
      <c r="FW81" s="680">
        <v>1495.6829999999998</v>
      </c>
      <c r="FX81" s="668">
        <v>5.5998119134208491E-2</v>
      </c>
      <c r="FY81" s="752">
        <v>1473.1415999999999</v>
      </c>
      <c r="FZ81" s="749">
        <v>5.0000000000000044E-2</v>
      </c>
      <c r="GA81" s="785">
        <v>1465.0161100000003</v>
      </c>
      <c r="GB81" s="785">
        <v>1402.7384999999999</v>
      </c>
      <c r="GC81" s="815">
        <v>0.01</v>
      </c>
      <c r="GD81" s="784">
        <v>1370.7758419999993</v>
      </c>
      <c r="GE81" s="809">
        <v>-3.2588371377435976E-2</v>
      </c>
    </row>
    <row r="82" spans="1:187">
      <c r="A82" s="161"/>
      <c r="B82" s="288" t="s">
        <v>462</v>
      </c>
      <c r="C82" s="161"/>
      <c r="D82" s="161"/>
      <c r="E82" s="161"/>
      <c r="F82" s="161"/>
      <c r="G82" s="161"/>
      <c r="H82" s="161"/>
      <c r="I82" s="161"/>
      <c r="J82" s="161"/>
      <c r="K82" s="161"/>
      <c r="L82" s="263"/>
      <c r="M82" s="263"/>
      <c r="N82" s="263"/>
      <c r="O82" s="263"/>
      <c r="P82" s="263"/>
      <c r="Q82" s="263"/>
      <c r="R82" s="263"/>
      <c r="S82" s="263"/>
      <c r="T82" s="263">
        <f t="shared" ref="T82:BD82" si="142">T71-T81</f>
        <v>4.5474735088646412E-13</v>
      </c>
      <c r="U82" s="263">
        <f t="shared" si="142"/>
        <v>3.979039320256561E-13</v>
      </c>
      <c r="V82" s="263">
        <f t="shared" si="142"/>
        <v>0</v>
      </c>
      <c r="W82" s="263">
        <f t="shared" si="142"/>
        <v>0.5</v>
      </c>
      <c r="X82" s="263">
        <f t="shared" si="142"/>
        <v>0</v>
      </c>
      <c r="Y82" s="263">
        <f t="shared" si="142"/>
        <v>0</v>
      </c>
      <c r="Z82" s="263">
        <f t="shared" si="142"/>
        <v>0</v>
      </c>
      <c r="AA82" s="263">
        <f t="shared" si="142"/>
        <v>0</v>
      </c>
      <c r="AB82" s="263">
        <f t="shared" si="142"/>
        <v>0</v>
      </c>
      <c r="AC82" s="263">
        <f t="shared" si="142"/>
        <v>0</v>
      </c>
      <c r="AD82" s="263">
        <f t="shared" si="142"/>
        <v>0</v>
      </c>
      <c r="AE82" s="263">
        <f t="shared" si="142"/>
        <v>0</v>
      </c>
      <c r="AF82" s="263">
        <f t="shared" si="142"/>
        <v>0</v>
      </c>
      <c r="AG82" s="263">
        <f t="shared" si="142"/>
        <v>0</v>
      </c>
      <c r="AH82" s="263">
        <f t="shared" si="142"/>
        <v>0</v>
      </c>
      <c r="AI82" s="263">
        <f t="shared" si="142"/>
        <v>0</v>
      </c>
      <c r="AJ82" s="263">
        <f t="shared" si="142"/>
        <v>0</v>
      </c>
      <c r="AK82" s="263">
        <f t="shared" si="142"/>
        <v>0</v>
      </c>
      <c r="AL82" s="263">
        <f t="shared" si="142"/>
        <v>0</v>
      </c>
      <c r="AM82" s="263">
        <f t="shared" si="142"/>
        <v>0</v>
      </c>
      <c r="AN82" s="263">
        <f t="shared" si="142"/>
        <v>0</v>
      </c>
      <c r="AO82" s="263">
        <f t="shared" si="142"/>
        <v>0</v>
      </c>
      <c r="AP82" s="263">
        <f t="shared" si="142"/>
        <v>0</v>
      </c>
      <c r="AQ82" s="263">
        <f t="shared" si="142"/>
        <v>0</v>
      </c>
      <c r="AR82" s="263">
        <f t="shared" si="142"/>
        <v>0</v>
      </c>
      <c r="AS82" s="263">
        <f t="shared" si="142"/>
        <v>-79.025000000000546</v>
      </c>
      <c r="AT82" s="263">
        <f t="shared" si="142"/>
        <v>0.3999999999996362</v>
      </c>
      <c r="AU82" s="263">
        <f t="shared" si="142"/>
        <v>6.0000000000854925E-3</v>
      </c>
      <c r="AV82" s="263">
        <f t="shared" si="142"/>
        <v>0</v>
      </c>
      <c r="AW82" s="263">
        <f t="shared" si="142"/>
        <v>1.0000000005447873E-3</v>
      </c>
      <c r="AX82" s="263">
        <f t="shared" si="142"/>
        <v>4.4000000000664841E-2</v>
      </c>
      <c r="AY82" s="263">
        <f t="shared" si="142"/>
        <v>0</v>
      </c>
      <c r="AZ82" s="263">
        <f t="shared" si="142"/>
        <v>-0.72099999999909414</v>
      </c>
      <c r="BA82" s="263">
        <f t="shared" si="142"/>
        <v>-0.20000000000027285</v>
      </c>
      <c r="BB82" s="263">
        <f t="shared" si="142"/>
        <v>0</v>
      </c>
      <c r="BC82" s="263">
        <f t="shared" si="142"/>
        <v>4.7999999999547072E-2</v>
      </c>
      <c r="BD82" s="263">
        <f t="shared" si="142"/>
        <v>0</v>
      </c>
      <c r="BE82" s="263">
        <f t="shared" ref="BE82:BK82" si="143">BE71-BE81</f>
        <v>0</v>
      </c>
      <c r="BF82" s="263">
        <f t="shared" si="143"/>
        <v>0</v>
      </c>
      <c r="BG82" s="263">
        <f t="shared" si="143"/>
        <v>5.7999999999537977E-2</v>
      </c>
      <c r="BH82" s="263">
        <f t="shared" si="143"/>
        <v>9.9999999952160579E-4</v>
      </c>
      <c r="BI82" s="263">
        <f t="shared" si="143"/>
        <v>0</v>
      </c>
      <c r="BJ82" s="263">
        <f t="shared" si="143"/>
        <v>0</v>
      </c>
      <c r="BK82" s="263">
        <f t="shared" si="143"/>
        <v>8.3999999999150532E-2</v>
      </c>
      <c r="BL82" s="271">
        <v>0</v>
      </c>
      <c r="BM82" s="263">
        <f>BM71-BM81</f>
        <v>2.0463630789890885E-12</v>
      </c>
      <c r="BN82" s="263">
        <f>BN71-BN81</f>
        <v>0</v>
      </c>
      <c r="BO82" s="271">
        <v>0</v>
      </c>
      <c r="BP82" s="271"/>
      <c r="BQ82" s="263"/>
      <c r="BR82" s="263"/>
      <c r="BS82" s="263"/>
      <c r="BT82" s="271"/>
      <c r="BU82" s="783"/>
      <c r="BV82" s="783"/>
      <c r="BW82" s="783"/>
      <c r="BX82" s="783"/>
      <c r="BY82" s="263"/>
      <c r="BZ82" s="263"/>
      <c r="CA82" s="264"/>
      <c r="CB82" s="264"/>
      <c r="CC82" s="264"/>
      <c r="CD82" s="264"/>
      <c r="CE82" s="264"/>
      <c r="CF82" s="264"/>
      <c r="CG82" s="264"/>
      <c r="CH82" s="264"/>
      <c r="CI82" s="264"/>
      <c r="CJ82" s="264"/>
      <c r="CK82" s="264"/>
      <c r="CL82" s="264"/>
      <c r="CM82" s="264"/>
      <c r="CN82" s="264"/>
      <c r="CO82" s="264"/>
      <c r="CP82" s="264"/>
      <c r="CQ82" s="264"/>
      <c r="CR82" s="264"/>
      <c r="CS82" s="264"/>
      <c r="CT82" s="264"/>
      <c r="CU82" s="264"/>
      <c r="CV82" s="161"/>
      <c r="CW82" s="161"/>
      <c r="CX82" s="161"/>
      <c r="CY82" s="161"/>
      <c r="CZ82" s="161"/>
      <c r="DA82" s="161"/>
      <c r="DB82" s="161"/>
      <c r="DC82" s="161"/>
      <c r="DD82" s="161"/>
      <c r="DE82" s="161"/>
      <c r="DF82" s="161"/>
      <c r="DG82" s="161"/>
      <c r="DH82" s="161"/>
      <c r="DI82" s="161"/>
      <c r="DJ82" s="161"/>
      <c r="DK82" s="177"/>
      <c r="DL82" s="177"/>
      <c r="DM82" s="177"/>
      <c r="DN82" s="177"/>
      <c r="DO82" s="177"/>
      <c r="DP82" s="177"/>
      <c r="DQ82" s="177"/>
      <c r="DR82" s="177"/>
      <c r="DS82" s="177"/>
      <c r="DT82" s="177"/>
      <c r="DU82" s="177"/>
      <c r="DV82" s="177"/>
      <c r="DW82" s="177"/>
      <c r="DX82" s="177"/>
      <c r="DY82" s="177"/>
      <c r="DZ82" s="177"/>
      <c r="EA82" s="177"/>
      <c r="EB82" s="808"/>
      <c r="EC82" s="808"/>
      <c r="ED82" s="808"/>
      <c r="EF82" s="161"/>
      <c r="EH82" s="161"/>
      <c r="EM82" s="161"/>
      <c r="EN82" s="161"/>
      <c r="EO82" s="161"/>
      <c r="EP82" s="161"/>
      <c r="FL82" s="271">
        <v>0</v>
      </c>
      <c r="FM82" s="271">
        <v>0</v>
      </c>
      <c r="FN82" s="271">
        <v>0</v>
      </c>
      <c r="FO82" s="439">
        <v>0</v>
      </c>
      <c r="FP82" s="161"/>
      <c r="FQ82" s="161"/>
      <c r="FR82" s="430"/>
      <c r="FS82" s="644">
        <v>0</v>
      </c>
      <c r="FT82" s="639"/>
      <c r="FU82" s="671">
        <v>0</v>
      </c>
      <c r="FV82" s="667"/>
      <c r="FW82" s="671">
        <v>0</v>
      </c>
      <c r="FX82" s="667"/>
      <c r="FY82" s="750"/>
      <c r="FZ82" s="747"/>
      <c r="GA82" s="783"/>
      <c r="GB82" s="783"/>
      <c r="GC82" s="808"/>
      <c r="GD82" s="783"/>
      <c r="GE82" s="808"/>
    </row>
    <row r="83" spans="1:187">
      <c r="A83" s="161"/>
      <c r="B83" s="288" t="s">
        <v>463</v>
      </c>
      <c r="C83" s="161"/>
      <c r="D83" s="161"/>
      <c r="E83" s="161"/>
      <c r="F83" s="161"/>
      <c r="G83" s="161"/>
      <c r="H83" s="161"/>
      <c r="I83" s="161"/>
      <c r="J83" s="161"/>
      <c r="K83" s="161"/>
      <c r="L83" s="263"/>
      <c r="M83" s="263"/>
      <c r="N83" s="263"/>
      <c r="O83" s="263"/>
      <c r="P83" s="263"/>
      <c r="Q83" s="263"/>
      <c r="R83" s="263"/>
      <c r="S83" s="263"/>
      <c r="T83" s="263"/>
      <c r="U83" s="263"/>
      <c r="V83" s="263"/>
      <c r="W83" s="263"/>
      <c r="X83" s="263"/>
      <c r="Y83" s="263"/>
      <c r="Z83" s="263"/>
      <c r="AA83" s="263"/>
      <c r="AB83" s="271">
        <v>0</v>
      </c>
      <c r="AC83" s="271">
        <v>386</v>
      </c>
      <c r="AD83" s="271">
        <v>142</v>
      </c>
      <c r="AE83" s="271">
        <v>182</v>
      </c>
      <c r="AF83" s="271">
        <f>472.63-AG83</f>
        <v>224.053</v>
      </c>
      <c r="AG83" s="271">
        <v>248.577</v>
      </c>
      <c r="AH83" s="271">
        <v>228.267</v>
      </c>
      <c r="AI83" s="271">
        <v>293.5</v>
      </c>
      <c r="AJ83" s="271">
        <f>161.999-AK83</f>
        <v>161.999</v>
      </c>
      <c r="AK83" s="271">
        <v>0</v>
      </c>
      <c r="AL83" s="271">
        <v>0</v>
      </c>
      <c r="AM83" s="271">
        <v>0</v>
      </c>
      <c r="AN83" s="271">
        <v>0</v>
      </c>
      <c r="AO83" s="271">
        <v>0</v>
      </c>
      <c r="AP83" s="271">
        <v>0</v>
      </c>
      <c r="AQ83" s="271">
        <v>0</v>
      </c>
      <c r="AR83" s="271">
        <v>0</v>
      </c>
      <c r="AS83" s="271">
        <v>0</v>
      </c>
      <c r="AT83" s="271">
        <v>0</v>
      </c>
      <c r="AU83" s="271">
        <v>0</v>
      </c>
      <c r="AV83" s="271">
        <v>0</v>
      </c>
      <c r="AW83" s="271">
        <v>0</v>
      </c>
      <c r="AX83" s="271">
        <v>0</v>
      </c>
      <c r="AY83" s="271">
        <v>0</v>
      </c>
      <c r="AZ83" s="271">
        <v>0</v>
      </c>
      <c r="BA83" s="271">
        <v>0</v>
      </c>
      <c r="BB83" s="271">
        <v>0</v>
      </c>
      <c r="BC83" s="271">
        <v>0</v>
      </c>
      <c r="BD83" s="271">
        <v>0</v>
      </c>
      <c r="BE83" s="271">
        <v>0</v>
      </c>
      <c r="BF83" s="271">
        <v>0</v>
      </c>
      <c r="BG83" s="271">
        <v>0</v>
      </c>
      <c r="BH83" s="271">
        <v>0</v>
      </c>
      <c r="BI83" s="271">
        <v>0</v>
      </c>
      <c r="BJ83" s="271">
        <v>0</v>
      </c>
      <c r="BK83" s="271">
        <v>0</v>
      </c>
      <c r="BL83" s="271">
        <v>0</v>
      </c>
      <c r="BM83" s="271">
        <v>0</v>
      </c>
      <c r="BN83" s="271">
        <v>0</v>
      </c>
      <c r="BO83" s="271">
        <v>0</v>
      </c>
      <c r="BP83" s="271"/>
      <c r="BQ83" s="271"/>
      <c r="BR83" s="271"/>
      <c r="BS83" s="271"/>
      <c r="BT83" s="271"/>
      <c r="BU83" s="783"/>
      <c r="BV83" s="783"/>
      <c r="BW83" s="783"/>
      <c r="BX83" s="783"/>
      <c r="BY83" s="271"/>
      <c r="BZ83" s="271"/>
      <c r="CA83" s="264"/>
      <c r="CB83" s="264"/>
      <c r="CC83" s="264"/>
      <c r="CD83" s="264"/>
      <c r="CE83" s="264"/>
      <c r="CF83" s="264"/>
      <c r="CG83" s="264"/>
      <c r="CH83" s="264"/>
      <c r="CI83" s="264"/>
      <c r="CJ83" s="264"/>
      <c r="CK83" s="264"/>
      <c r="CL83" s="264"/>
      <c r="CM83" s="264"/>
      <c r="CN83" s="264"/>
      <c r="CO83" s="264"/>
      <c r="CP83" s="264"/>
      <c r="CQ83" s="264"/>
      <c r="CR83" s="264"/>
      <c r="CS83" s="264"/>
      <c r="CT83" s="264"/>
      <c r="CU83" s="264"/>
      <c r="CV83" s="161"/>
      <c r="CW83" s="161"/>
      <c r="CX83" s="161"/>
      <c r="CY83" s="161"/>
      <c r="CZ83" s="161"/>
      <c r="DA83" s="161"/>
      <c r="DB83" s="161"/>
      <c r="DC83" s="161"/>
      <c r="DD83" s="161"/>
      <c r="DE83" s="161"/>
      <c r="DF83" s="161"/>
      <c r="DG83" s="161"/>
      <c r="DH83" s="161"/>
      <c r="DI83" s="161"/>
      <c r="DJ83" s="161"/>
      <c r="DK83" s="177"/>
      <c r="DL83" s="177"/>
      <c r="DM83" s="177"/>
      <c r="DN83" s="177"/>
      <c r="DO83" s="177"/>
      <c r="DP83" s="177"/>
      <c r="DQ83" s="177"/>
      <c r="DR83" s="177"/>
      <c r="DS83" s="177"/>
      <c r="DT83" s="177"/>
      <c r="DU83" s="177"/>
      <c r="DV83" s="177"/>
      <c r="DW83" s="177"/>
      <c r="DX83" s="177"/>
      <c r="DY83" s="177"/>
      <c r="DZ83" s="177"/>
      <c r="EA83" s="177"/>
      <c r="EB83" s="808"/>
      <c r="EC83" s="808"/>
      <c r="ED83" s="808"/>
      <c r="EF83" s="161"/>
      <c r="EH83" s="161"/>
      <c r="EM83" s="161"/>
      <c r="EN83" s="161"/>
      <c r="EO83" s="161"/>
      <c r="EP83" s="161"/>
      <c r="FL83" s="271">
        <v>0</v>
      </c>
      <c r="FM83" s="271">
        <v>0</v>
      </c>
      <c r="FN83" s="271">
        <v>0</v>
      </c>
      <c r="FO83" s="439">
        <v>0</v>
      </c>
      <c r="FP83" s="161"/>
      <c r="FQ83" s="161"/>
      <c r="FR83" s="430"/>
      <c r="FS83" s="644">
        <v>0</v>
      </c>
      <c r="FT83" s="639"/>
      <c r="FU83" s="671">
        <v>0</v>
      </c>
      <c r="FV83" s="667"/>
      <c r="FW83" s="671">
        <v>0</v>
      </c>
      <c r="FX83" s="667"/>
      <c r="FY83" s="750"/>
      <c r="FZ83" s="747"/>
      <c r="GA83" s="783"/>
      <c r="GB83" s="783"/>
      <c r="GC83" s="808"/>
      <c r="GD83" s="783"/>
      <c r="GE83" s="808"/>
    </row>
    <row r="84" spans="1:187">
      <c r="A84" s="161"/>
      <c r="B84" s="288" t="s">
        <v>464</v>
      </c>
      <c r="C84" s="161"/>
      <c r="D84" s="161"/>
      <c r="E84" s="161"/>
      <c r="F84" s="161"/>
      <c r="G84" s="161"/>
      <c r="H84" s="161"/>
      <c r="I84" s="161"/>
      <c r="J84" s="161"/>
      <c r="K84" s="161"/>
      <c r="L84" s="263"/>
      <c r="M84" s="263"/>
      <c r="N84" s="263"/>
      <c r="O84" s="263"/>
      <c r="P84" s="263"/>
      <c r="Q84" s="263"/>
      <c r="R84" s="263"/>
      <c r="S84" s="263"/>
      <c r="T84" s="263"/>
      <c r="U84" s="263"/>
      <c r="V84" s="263"/>
      <c r="W84" s="263"/>
      <c r="X84" s="263"/>
      <c r="Y84" s="263"/>
      <c r="Z84" s="263"/>
      <c r="AA84" s="263"/>
      <c r="AB84" s="263">
        <f t="shared" ref="AB84:BD84" si="144">AB79-AB83</f>
        <v>145.9</v>
      </c>
      <c r="AC84" s="263">
        <f t="shared" si="144"/>
        <v>111</v>
      </c>
      <c r="AD84" s="263">
        <f t="shared" si="144"/>
        <v>130</v>
      </c>
      <c r="AE84" s="263">
        <f t="shared" si="144"/>
        <v>104.44099999999997</v>
      </c>
      <c r="AF84" s="263">
        <f t="shared" si="144"/>
        <v>77.947000000000003</v>
      </c>
      <c r="AG84" s="263">
        <f t="shared" si="144"/>
        <v>100.83100000000002</v>
      </c>
      <c r="AH84" s="263">
        <f t="shared" si="144"/>
        <v>108.33300000000003</v>
      </c>
      <c r="AI84" s="263">
        <f t="shared" si="144"/>
        <v>177</v>
      </c>
      <c r="AJ84" s="263">
        <f t="shared" si="144"/>
        <v>112.30199999999999</v>
      </c>
      <c r="AK84" s="263">
        <f t="shared" si="144"/>
        <v>129.858</v>
      </c>
      <c r="AL84" s="263">
        <f t="shared" si="144"/>
        <v>151.4</v>
      </c>
      <c r="AM84" s="263">
        <f t="shared" si="144"/>
        <v>179</v>
      </c>
      <c r="AN84" s="263">
        <f t="shared" si="144"/>
        <v>147.1</v>
      </c>
      <c r="AO84" s="263">
        <f t="shared" si="144"/>
        <v>145.44800000000001</v>
      </c>
      <c r="AP84" s="263">
        <f t="shared" si="144"/>
        <v>143.6</v>
      </c>
      <c r="AQ84" s="263">
        <f t="shared" si="144"/>
        <v>203</v>
      </c>
      <c r="AR84" s="263">
        <f t="shared" si="144"/>
        <v>166</v>
      </c>
      <c r="AS84" s="263">
        <f t="shared" si="144"/>
        <v>195.45</v>
      </c>
      <c r="AT84" s="263">
        <f t="shared" si="144"/>
        <v>266</v>
      </c>
      <c r="AU84" s="263">
        <f t="shared" si="144"/>
        <v>424.37200000000001</v>
      </c>
      <c r="AV84" s="263">
        <f t="shared" si="144"/>
        <v>164.78100000000001</v>
      </c>
      <c r="AW84" s="263">
        <f t="shared" si="144"/>
        <v>148.78</v>
      </c>
      <c r="AX84" s="263">
        <f t="shared" si="144"/>
        <v>147.30000000000001</v>
      </c>
      <c r="AY84" s="263">
        <f t="shared" si="144"/>
        <v>162.821</v>
      </c>
      <c r="AZ84" s="263">
        <f t="shared" si="144"/>
        <v>157</v>
      </c>
      <c r="BA84" s="263">
        <f t="shared" si="144"/>
        <v>181</v>
      </c>
      <c r="BB84" s="263">
        <f t="shared" si="144"/>
        <v>166.93299999999999</v>
      </c>
      <c r="BC84" s="263">
        <f t="shared" si="144"/>
        <v>202.72300000000001</v>
      </c>
      <c r="BD84" s="263">
        <f t="shared" si="144"/>
        <v>185.17699999999999</v>
      </c>
      <c r="BE84" s="263">
        <f t="shared" ref="BE84:BO84" si="145">BE79-BE83</f>
        <v>182.10499999999999</v>
      </c>
      <c r="BF84" s="263">
        <f t="shared" si="145"/>
        <v>195.59100000000001</v>
      </c>
      <c r="BG84" s="263">
        <f t="shared" si="145"/>
        <v>453</v>
      </c>
      <c r="BH84" s="263">
        <f t="shared" si="145"/>
        <v>229.30099999999999</v>
      </c>
      <c r="BI84" s="263">
        <f t="shared" si="145"/>
        <v>238.029</v>
      </c>
      <c r="BJ84" s="263">
        <f t="shared" si="145"/>
        <v>161.053</v>
      </c>
      <c r="BK84" s="263">
        <f t="shared" si="145"/>
        <v>301.2</v>
      </c>
      <c r="BL84" s="263">
        <f t="shared" si="145"/>
        <v>282.79000000000002</v>
      </c>
      <c r="BM84" s="263">
        <f t="shared" si="145"/>
        <v>302.42700000000002</v>
      </c>
      <c r="BN84" s="263">
        <f t="shared" si="145"/>
        <v>219.89599999999999</v>
      </c>
      <c r="BO84" s="263">
        <f t="shared" si="145"/>
        <v>234.08500000000001</v>
      </c>
      <c r="BP84" s="263"/>
      <c r="BQ84" s="263"/>
      <c r="BR84" s="263"/>
      <c r="BS84" s="263"/>
      <c r="BT84" s="263"/>
      <c r="BU84" s="784"/>
      <c r="BV84" s="784"/>
      <c r="BW84" s="784"/>
      <c r="BX84" s="784"/>
      <c r="BY84" s="263"/>
      <c r="BZ84" s="263"/>
      <c r="CA84" s="264"/>
      <c r="CB84" s="264"/>
      <c r="CC84" s="264"/>
      <c r="CD84" s="264"/>
      <c r="CE84" s="264"/>
      <c r="CF84" s="264"/>
      <c r="CG84" s="264"/>
      <c r="CH84" s="264"/>
      <c r="CI84" s="264"/>
      <c r="CJ84" s="264"/>
      <c r="CK84" s="264"/>
      <c r="CL84" s="264"/>
      <c r="CM84" s="264"/>
      <c r="CN84" s="264"/>
      <c r="CO84" s="264"/>
      <c r="CP84" s="264"/>
      <c r="CQ84" s="264"/>
      <c r="CR84" s="264"/>
      <c r="CS84" s="264"/>
      <c r="CT84" s="264"/>
      <c r="CU84" s="264"/>
      <c r="CV84" s="161"/>
      <c r="CW84" s="161"/>
      <c r="CX84" s="161"/>
      <c r="CY84" s="161"/>
      <c r="CZ84" s="161"/>
      <c r="DA84" s="161"/>
      <c r="DB84" s="161"/>
      <c r="DC84" s="161"/>
      <c r="DD84" s="161"/>
      <c r="DE84" s="161"/>
      <c r="DF84" s="161"/>
      <c r="DG84" s="161"/>
      <c r="DH84" s="161"/>
      <c r="DI84" s="161"/>
      <c r="DJ84" s="161"/>
      <c r="DK84" s="177"/>
      <c r="DL84" s="177"/>
      <c r="DM84" s="177"/>
      <c r="DN84" s="177"/>
      <c r="DO84" s="177"/>
      <c r="DP84" s="177"/>
      <c r="DQ84" s="177"/>
      <c r="DR84" s="177"/>
      <c r="DS84" s="177"/>
      <c r="DT84" s="177"/>
      <c r="DU84" s="177"/>
      <c r="DV84" s="177"/>
      <c r="DW84" s="177"/>
      <c r="DX84" s="177"/>
      <c r="DY84" s="177"/>
      <c r="DZ84" s="177"/>
      <c r="EA84" s="177"/>
      <c r="EB84" s="808"/>
      <c r="EC84" s="808"/>
      <c r="ED84" s="808"/>
      <c r="EF84" s="161"/>
      <c r="EH84" s="161"/>
      <c r="EM84" s="161"/>
      <c r="EN84" s="161"/>
      <c r="EO84" s="161"/>
      <c r="EP84" s="161"/>
      <c r="FL84" s="263">
        <v>203.69470000000001</v>
      </c>
      <c r="FM84" s="263">
        <v>214.88389999999998</v>
      </c>
      <c r="FN84" s="263">
        <v>185.81145000000001</v>
      </c>
      <c r="FO84" s="433">
        <v>171.61700000000002</v>
      </c>
      <c r="FP84" s="161"/>
      <c r="FQ84" s="161"/>
      <c r="FR84" s="430"/>
      <c r="FS84" s="643">
        <v>250</v>
      </c>
      <c r="FT84" s="639"/>
      <c r="FU84" s="670">
        <v>280</v>
      </c>
      <c r="FV84" s="667"/>
      <c r="FW84" s="670">
        <v>344.887</v>
      </c>
      <c r="FX84" s="667"/>
      <c r="FY84" s="751"/>
      <c r="FZ84" s="747"/>
      <c r="GA84" s="784"/>
      <c r="GB84" s="784"/>
      <c r="GC84" s="808"/>
      <c r="GD84" s="784"/>
      <c r="GE84" s="808"/>
    </row>
    <row r="85" spans="1:187">
      <c r="A85" s="161"/>
      <c r="B85" s="288" t="s">
        <v>465</v>
      </c>
      <c r="C85" s="161"/>
      <c r="D85" s="161"/>
      <c r="E85" s="161"/>
      <c r="F85" s="161"/>
      <c r="G85" s="161"/>
      <c r="H85" s="161"/>
      <c r="I85" s="161"/>
      <c r="J85" s="161"/>
      <c r="K85" s="161"/>
      <c r="L85" s="263"/>
      <c r="M85" s="263"/>
      <c r="N85" s="263"/>
      <c r="O85" s="263"/>
      <c r="P85" s="263"/>
      <c r="Q85" s="263"/>
      <c r="R85" s="263"/>
      <c r="S85" s="263"/>
      <c r="T85" s="263"/>
      <c r="U85" s="263"/>
      <c r="V85" s="263"/>
      <c r="W85" s="263"/>
      <c r="X85" s="263"/>
      <c r="Y85" s="263"/>
      <c r="Z85" s="263"/>
      <c r="AA85" s="263"/>
      <c r="AB85" s="263">
        <f t="shared" ref="AB85:BD85" si="146">AB81-AB83</f>
        <v>498.4</v>
      </c>
      <c r="AC85" s="263">
        <f t="shared" si="146"/>
        <v>484</v>
      </c>
      <c r="AD85" s="263">
        <f t="shared" si="146"/>
        <v>478.4</v>
      </c>
      <c r="AE85" s="263">
        <f t="shared" si="146"/>
        <v>499.15300000000002</v>
      </c>
      <c r="AF85" s="263">
        <f t="shared" si="146"/>
        <v>458.12199999999996</v>
      </c>
      <c r="AG85" s="263">
        <f t="shared" si="146"/>
        <v>504.85</v>
      </c>
      <c r="AH85" s="263">
        <f t="shared" si="146"/>
        <v>538.43299999999999</v>
      </c>
      <c r="AI85" s="263">
        <f t="shared" si="146"/>
        <v>628.29999999999995</v>
      </c>
      <c r="AJ85" s="263">
        <f t="shared" si="146"/>
        <v>598.36099999999999</v>
      </c>
      <c r="AK85" s="263">
        <f t="shared" si="146"/>
        <v>607.24</v>
      </c>
      <c r="AL85" s="263">
        <f t="shared" si="146"/>
        <v>698.4</v>
      </c>
      <c r="AM85" s="263">
        <f t="shared" si="146"/>
        <v>748.7</v>
      </c>
      <c r="AN85" s="263">
        <f t="shared" si="146"/>
        <v>799.7</v>
      </c>
      <c r="AO85" s="263">
        <f t="shared" si="146"/>
        <v>895.84100000000001</v>
      </c>
      <c r="AP85" s="263">
        <f t="shared" si="146"/>
        <v>825.6</v>
      </c>
      <c r="AQ85" s="263">
        <f t="shared" si="146"/>
        <v>926.5</v>
      </c>
      <c r="AR85" s="263">
        <f t="shared" si="146"/>
        <v>948.1</v>
      </c>
      <c r="AS85" s="263">
        <f t="shared" si="146"/>
        <v>1069.818</v>
      </c>
      <c r="AT85" s="263">
        <f t="shared" si="146"/>
        <v>1070</v>
      </c>
      <c r="AU85" s="263">
        <f t="shared" si="146"/>
        <v>1170.6270000000002</v>
      </c>
      <c r="AV85" s="263">
        <f t="shared" si="146"/>
        <v>959.87900000000002</v>
      </c>
      <c r="AW85" s="263">
        <f t="shared" si="146"/>
        <v>972.69099999999992</v>
      </c>
      <c r="AX85" s="263">
        <f t="shared" si="146"/>
        <v>975.28</v>
      </c>
      <c r="AY85" s="263">
        <f t="shared" si="146"/>
        <v>989.04100000000005</v>
      </c>
      <c r="AZ85" s="263">
        <f t="shared" si="146"/>
        <v>991.8</v>
      </c>
      <c r="BA85" s="263">
        <f t="shared" si="146"/>
        <v>1031</v>
      </c>
      <c r="BB85" s="263">
        <f t="shared" si="146"/>
        <v>1043.5540000000001</v>
      </c>
      <c r="BC85" s="263">
        <f t="shared" si="146"/>
        <v>1132.1600000000001</v>
      </c>
      <c r="BD85" s="263">
        <f t="shared" si="146"/>
        <v>1139.0630000000001</v>
      </c>
      <c r="BE85" s="263">
        <f t="shared" ref="BE85:BK85" si="147">BE81-BE83</f>
        <v>1181.338</v>
      </c>
      <c r="BF85" s="263">
        <f t="shared" si="147"/>
        <v>1305.5350000000001</v>
      </c>
      <c r="BG85" s="263">
        <f t="shared" si="147"/>
        <v>1554</v>
      </c>
      <c r="BH85" s="263">
        <f t="shared" si="147"/>
        <v>1333.3309999999999</v>
      </c>
      <c r="BI85" s="263">
        <f t="shared" si="147"/>
        <v>1352.962</v>
      </c>
      <c r="BJ85" s="263">
        <f t="shared" si="147"/>
        <v>1300.2370000000001</v>
      </c>
      <c r="BK85" s="263">
        <f t="shared" si="147"/>
        <v>1416.3689999999999</v>
      </c>
      <c r="BL85" s="263">
        <f t="shared" ref="BL85:BS85" si="148">BL81-BL83</f>
        <v>1402.992</v>
      </c>
      <c r="BM85" s="263">
        <f t="shared" si="148"/>
        <v>1450.5110000000002</v>
      </c>
      <c r="BN85" s="263">
        <f>BN81-BN83</f>
        <v>1388.85</v>
      </c>
      <c r="BO85" s="263">
        <f t="shared" si="148"/>
        <v>1416.952</v>
      </c>
      <c r="BP85" s="263">
        <f t="shared" si="148"/>
        <v>1413.501</v>
      </c>
      <c r="BQ85" s="263">
        <f t="shared" si="148"/>
        <v>1305.386</v>
      </c>
      <c r="BR85" s="263">
        <f t="shared" si="148"/>
        <v>1326.2929999999999</v>
      </c>
      <c r="BS85" s="263">
        <f t="shared" si="148"/>
        <v>1380.9380000000001</v>
      </c>
      <c r="BT85" s="263">
        <f>BT81-BT83</f>
        <v>1351.771</v>
      </c>
      <c r="BU85" s="784"/>
      <c r="BV85" s="784"/>
      <c r="BW85" s="784"/>
      <c r="BX85" s="784"/>
      <c r="BY85" s="263"/>
      <c r="BZ85" s="263"/>
      <c r="CA85" s="264"/>
      <c r="CB85" s="264"/>
      <c r="CC85" s="264"/>
      <c r="CD85" s="264"/>
      <c r="CE85" s="264"/>
      <c r="CF85" s="264"/>
      <c r="CG85" s="264"/>
      <c r="CH85" s="264"/>
      <c r="CI85" s="264"/>
      <c r="CJ85" s="264"/>
      <c r="CK85" s="264"/>
      <c r="CL85" s="264"/>
      <c r="CM85" s="264">
        <f t="shared" ref="CM85:CU85" si="149">AF85/AB85-1</f>
        <v>-8.0814606741573036E-2</v>
      </c>
      <c r="CN85" s="264">
        <f t="shared" si="149"/>
        <v>4.3078512396694357E-2</v>
      </c>
      <c r="CO85" s="264">
        <f t="shared" si="149"/>
        <v>0.12548704013377932</v>
      </c>
      <c r="CP85" s="264">
        <f t="shared" si="149"/>
        <v>0.25873229250350072</v>
      </c>
      <c r="CQ85" s="264">
        <f t="shared" si="149"/>
        <v>0.30611714783398325</v>
      </c>
      <c r="CR85" s="264">
        <f t="shared" si="149"/>
        <v>0.20281271664850942</v>
      </c>
      <c r="CS85" s="264">
        <f t="shared" si="149"/>
        <v>0.29709731758640356</v>
      </c>
      <c r="CT85" s="264">
        <f t="shared" si="149"/>
        <v>0.19162820308769701</v>
      </c>
      <c r="CU85" s="264">
        <f t="shared" si="149"/>
        <v>0.33648416257075597</v>
      </c>
      <c r="CV85" s="161"/>
      <c r="CW85" s="161"/>
      <c r="CX85" s="161"/>
      <c r="CY85" s="161"/>
      <c r="CZ85" s="161"/>
      <c r="DA85" s="161"/>
      <c r="DB85" s="161"/>
      <c r="DC85" s="161"/>
      <c r="DD85" s="161"/>
      <c r="DE85" s="161"/>
      <c r="DF85" s="161"/>
      <c r="DG85" s="161"/>
      <c r="DH85" s="161"/>
      <c r="DI85" s="161"/>
      <c r="DJ85" s="161"/>
      <c r="DK85" s="177"/>
      <c r="DL85" s="177"/>
      <c r="DM85" s="177"/>
      <c r="DN85" s="177"/>
      <c r="DO85" s="177"/>
      <c r="DP85" s="177"/>
      <c r="DQ85" s="177"/>
      <c r="DR85" s="177"/>
      <c r="DS85" s="177"/>
      <c r="DT85" s="177"/>
      <c r="DU85" s="177"/>
      <c r="DV85" s="177"/>
      <c r="DW85" s="177"/>
      <c r="DX85" s="177"/>
      <c r="DY85" s="177"/>
      <c r="DZ85" s="177"/>
      <c r="EA85" s="177"/>
      <c r="EB85" s="808"/>
      <c r="EC85" s="808"/>
      <c r="ED85" s="808"/>
      <c r="EF85" s="161"/>
      <c r="EH85" s="161"/>
      <c r="EM85" s="161"/>
      <c r="EN85" s="161"/>
      <c r="EO85" s="161"/>
      <c r="EP85" s="161"/>
      <c r="FL85" s="263">
        <v>1304.6857</v>
      </c>
      <c r="FM85" s="263">
        <v>1379.34942</v>
      </c>
      <c r="FN85" s="263">
        <v>1465.3127199999999</v>
      </c>
      <c r="FO85" s="433">
        <v>1323.4689999999996</v>
      </c>
      <c r="FP85" s="161"/>
      <c r="FQ85" s="161"/>
      <c r="FR85" s="430"/>
      <c r="FS85" s="643">
        <v>1405</v>
      </c>
      <c r="FT85" s="639"/>
      <c r="FU85" s="670">
        <v>1439</v>
      </c>
      <c r="FV85" s="667"/>
      <c r="FW85" s="670">
        <v>1495.6829999999998</v>
      </c>
      <c r="FX85" s="667"/>
      <c r="FY85" s="751"/>
      <c r="FZ85" s="747"/>
      <c r="GA85" s="784"/>
      <c r="GB85" s="784"/>
      <c r="GC85" s="808"/>
      <c r="GD85" s="784"/>
      <c r="GE85" s="808"/>
    </row>
    <row r="86" spans="1:187">
      <c r="A86" s="161"/>
      <c r="B86" s="288"/>
      <c r="C86" s="161"/>
      <c r="D86" s="161"/>
      <c r="E86" s="161"/>
      <c r="F86" s="161"/>
      <c r="G86" s="161"/>
      <c r="H86" s="161"/>
      <c r="I86" s="161"/>
      <c r="J86" s="161"/>
      <c r="K86" s="161"/>
      <c r="L86" s="263"/>
      <c r="M86" s="263"/>
      <c r="N86" s="263"/>
      <c r="O86" s="263"/>
      <c r="P86" s="263"/>
      <c r="Q86" s="263"/>
      <c r="R86" s="263"/>
      <c r="S86" s="263"/>
      <c r="T86" s="263"/>
      <c r="U86" s="263"/>
      <c r="V86" s="263"/>
      <c r="W86" s="263"/>
      <c r="X86" s="263"/>
      <c r="Y86" s="263"/>
      <c r="Z86" s="263"/>
      <c r="AA86" s="263"/>
      <c r="AB86" s="264"/>
      <c r="AC86" s="264"/>
      <c r="AD86" s="264"/>
      <c r="AE86" s="264"/>
      <c r="AF86" s="264"/>
      <c r="AG86" s="264"/>
      <c r="AH86" s="264"/>
      <c r="AI86" s="264"/>
      <c r="AJ86" s="264"/>
      <c r="AK86" s="264"/>
      <c r="AL86" s="264"/>
      <c r="AM86" s="264"/>
      <c r="AN86" s="264"/>
      <c r="AO86" s="264"/>
      <c r="AP86" s="264"/>
      <c r="AQ86" s="264"/>
      <c r="AR86" s="264"/>
      <c r="AS86" s="264"/>
      <c r="AT86" s="264"/>
      <c r="AU86" s="264"/>
      <c r="AV86" s="264"/>
      <c r="AW86" s="264"/>
      <c r="AX86" s="264"/>
      <c r="AY86" s="264"/>
      <c r="AZ86" s="264"/>
      <c r="BA86" s="264"/>
      <c r="BB86" s="264"/>
      <c r="BC86" s="264"/>
      <c r="BD86" s="264"/>
      <c r="BE86" s="264"/>
      <c r="BF86" s="264"/>
      <c r="BG86" s="264"/>
      <c r="BH86" s="264"/>
      <c r="BI86" s="264"/>
      <c r="BJ86" s="264"/>
      <c r="BK86" s="264"/>
      <c r="BL86" s="264"/>
      <c r="BM86" s="264"/>
      <c r="BN86" s="264"/>
      <c r="BO86" s="264"/>
      <c r="BP86" s="264"/>
      <c r="BQ86" s="264"/>
      <c r="BR86" s="264"/>
      <c r="BS86" s="264"/>
      <c r="BT86" s="264"/>
      <c r="BU86" s="782"/>
      <c r="BV86" s="782"/>
      <c r="BW86" s="782"/>
      <c r="BX86" s="782"/>
      <c r="BY86" s="263"/>
      <c r="BZ86" s="263"/>
      <c r="CA86" s="264"/>
      <c r="CB86" s="264"/>
      <c r="CC86" s="264"/>
      <c r="CD86" s="264"/>
      <c r="CE86" s="264"/>
      <c r="CF86" s="264"/>
      <c r="CG86" s="264"/>
      <c r="CH86" s="264"/>
      <c r="CI86" s="264"/>
      <c r="CJ86" s="264"/>
      <c r="CK86" s="264"/>
      <c r="CL86" s="264"/>
      <c r="CM86" s="264"/>
      <c r="CN86" s="264"/>
      <c r="CO86" s="264"/>
      <c r="CP86" s="264"/>
      <c r="CQ86" s="264"/>
      <c r="CR86" s="264"/>
      <c r="CS86" s="264"/>
      <c r="CT86" s="264"/>
      <c r="CU86" s="264"/>
      <c r="CV86" s="161"/>
      <c r="CW86" s="161"/>
      <c r="CX86" s="161"/>
      <c r="CY86" s="161"/>
      <c r="CZ86" s="161"/>
      <c r="DA86" s="161"/>
      <c r="DB86" s="161"/>
      <c r="DC86" s="161"/>
      <c r="DD86" s="161"/>
      <c r="DE86" s="161"/>
      <c r="DF86" s="161"/>
      <c r="DG86" s="161"/>
      <c r="DH86" s="161"/>
      <c r="DI86" s="161"/>
      <c r="DJ86" s="161"/>
      <c r="DK86" s="177"/>
      <c r="DL86" s="177"/>
      <c r="DM86" s="177"/>
      <c r="DN86" s="177"/>
      <c r="DO86" s="177"/>
      <c r="DP86" s="177"/>
      <c r="DQ86" s="177"/>
      <c r="DR86" s="177"/>
      <c r="DS86" s="177"/>
      <c r="DT86" s="177"/>
      <c r="DU86" s="177"/>
      <c r="DV86" s="177"/>
      <c r="DW86" s="177"/>
      <c r="DX86" s="177"/>
      <c r="DY86" s="177"/>
      <c r="DZ86" s="177"/>
      <c r="EA86" s="177"/>
      <c r="EB86" s="808"/>
      <c r="EC86" s="808"/>
      <c r="ED86" s="808"/>
      <c r="EF86" s="161"/>
      <c r="EH86" s="161"/>
      <c r="EM86" s="161"/>
      <c r="EN86" s="161"/>
      <c r="EO86" s="161"/>
      <c r="EP86" s="161"/>
      <c r="FL86" s="264"/>
      <c r="FM86" s="264"/>
      <c r="FN86" s="264"/>
      <c r="FO86" s="432"/>
      <c r="FP86" s="161"/>
      <c r="FQ86" s="161"/>
      <c r="FR86" s="430"/>
      <c r="FS86" s="641"/>
      <c r="FT86" s="639"/>
      <c r="FU86" s="668"/>
      <c r="FV86" s="667"/>
      <c r="FW86" s="668"/>
      <c r="FX86" s="667"/>
      <c r="FY86" s="749"/>
      <c r="FZ86" s="747"/>
      <c r="GA86" s="782"/>
      <c r="GB86" s="782"/>
      <c r="GC86" s="808"/>
      <c r="GD86" s="782"/>
      <c r="GE86" s="808"/>
    </row>
    <row r="87" spans="1:187">
      <c r="A87" s="161"/>
      <c r="B87" s="163" t="s">
        <v>466</v>
      </c>
      <c r="C87" s="163"/>
      <c r="D87" s="163"/>
      <c r="E87" s="163"/>
      <c r="F87" s="163"/>
      <c r="G87" s="163"/>
      <c r="H87" s="163"/>
      <c r="I87" s="163"/>
      <c r="J87" s="163"/>
      <c r="K87" s="163"/>
      <c r="L87" s="294">
        <f t="shared" ref="L87:BD87" si="150">L72-L71</f>
        <v>1928.5733459999999</v>
      </c>
      <c r="M87" s="294">
        <f t="shared" si="150"/>
        <v>1880.2923045</v>
      </c>
      <c r="N87" s="294">
        <f t="shared" si="150"/>
        <v>1923.7311175500001</v>
      </c>
      <c r="O87" s="294">
        <f t="shared" si="150"/>
        <v>2027.4448500000001</v>
      </c>
      <c r="P87" s="294">
        <f t="shared" si="150"/>
        <v>2100.9471000000003</v>
      </c>
      <c r="Q87" s="294">
        <f t="shared" si="150"/>
        <v>2063.2047000000002</v>
      </c>
      <c r="R87" s="294">
        <f t="shared" si="150"/>
        <v>2122.6022999999996</v>
      </c>
      <c r="S87" s="294">
        <f t="shared" si="150"/>
        <v>2143.2875999999997</v>
      </c>
      <c r="T87" s="294">
        <f t="shared" si="150"/>
        <v>2277.2999999999997</v>
      </c>
      <c r="U87" s="294">
        <f t="shared" si="150"/>
        <v>2320.2999999999997</v>
      </c>
      <c r="V87" s="294">
        <f t="shared" si="150"/>
        <v>2333.1999999999998</v>
      </c>
      <c r="W87" s="294">
        <f t="shared" si="150"/>
        <v>2454.6379999999999</v>
      </c>
      <c r="X87" s="294">
        <f t="shared" si="150"/>
        <v>2430.4</v>
      </c>
      <c r="Y87" s="294">
        <f t="shared" si="150"/>
        <v>2483.4249999999997</v>
      </c>
      <c r="Z87" s="294">
        <f t="shared" si="150"/>
        <v>2549.8000000000002</v>
      </c>
      <c r="AA87" s="294">
        <f t="shared" si="150"/>
        <v>2678.6570000000002</v>
      </c>
      <c r="AB87" s="294">
        <f t="shared" si="150"/>
        <v>2840.4</v>
      </c>
      <c r="AC87" s="294">
        <f t="shared" si="150"/>
        <v>2838</v>
      </c>
      <c r="AD87" s="294">
        <f t="shared" si="150"/>
        <v>2962.6</v>
      </c>
      <c r="AE87" s="294">
        <f t="shared" si="150"/>
        <v>3246.3500000000008</v>
      </c>
      <c r="AF87" s="294">
        <f t="shared" si="150"/>
        <v>3377.0889999999999</v>
      </c>
      <c r="AG87" s="294">
        <f t="shared" si="150"/>
        <v>3469.239</v>
      </c>
      <c r="AH87" s="294">
        <f t="shared" si="150"/>
        <v>3452.8</v>
      </c>
      <c r="AI87" s="294">
        <f t="shared" si="150"/>
        <v>3533.951</v>
      </c>
      <c r="AJ87" s="294">
        <f t="shared" si="150"/>
        <v>3529.5880000000006</v>
      </c>
      <c r="AK87" s="294">
        <f t="shared" si="150"/>
        <v>3522.6</v>
      </c>
      <c r="AL87" s="294">
        <f t="shared" si="150"/>
        <v>3579.1519999999991</v>
      </c>
      <c r="AM87" s="294">
        <f t="shared" si="150"/>
        <v>3766.799</v>
      </c>
      <c r="AN87" s="294">
        <f t="shared" si="150"/>
        <v>3895.3</v>
      </c>
      <c r="AO87" s="294">
        <f t="shared" si="150"/>
        <v>3937.3020000000001</v>
      </c>
      <c r="AP87" s="294">
        <f t="shared" si="150"/>
        <v>4025.3660000000009</v>
      </c>
      <c r="AQ87" s="294">
        <f t="shared" si="150"/>
        <v>4130.5969999999998</v>
      </c>
      <c r="AR87" s="294">
        <f t="shared" si="150"/>
        <v>4202.1000000000004</v>
      </c>
      <c r="AS87" s="294">
        <f t="shared" si="150"/>
        <v>4354.26</v>
      </c>
      <c r="AT87" s="294">
        <f t="shared" si="150"/>
        <v>4335</v>
      </c>
      <c r="AU87" s="294">
        <f t="shared" si="150"/>
        <v>4454.3169999999991</v>
      </c>
      <c r="AV87" s="308">
        <f t="shared" si="150"/>
        <v>4560.21</v>
      </c>
      <c r="AW87" s="308">
        <f t="shared" si="150"/>
        <v>4487.7829999999994</v>
      </c>
      <c r="AX87" s="308">
        <f t="shared" si="150"/>
        <v>4646.1129999999994</v>
      </c>
      <c r="AY87" s="308">
        <f t="shared" si="150"/>
        <v>4791.8230000000003</v>
      </c>
      <c r="AZ87" s="308">
        <f t="shared" si="150"/>
        <v>4960.8999999999996</v>
      </c>
      <c r="BA87" s="308">
        <f t="shared" si="150"/>
        <v>5033</v>
      </c>
      <c r="BB87" s="308">
        <f t="shared" si="150"/>
        <v>5101.3719999999994</v>
      </c>
      <c r="BC87" s="308">
        <f t="shared" si="150"/>
        <v>5341.2420000000002</v>
      </c>
      <c r="BD87" s="308">
        <f t="shared" si="150"/>
        <v>5423.3630000000003</v>
      </c>
      <c r="BE87" s="308">
        <f t="shared" ref="BE87:BO87" si="151">BE72-BE71</f>
        <v>5499.848</v>
      </c>
      <c r="BF87" s="308">
        <f t="shared" si="151"/>
        <v>5431.3499999999985</v>
      </c>
      <c r="BG87" s="308">
        <f t="shared" si="151"/>
        <v>5621</v>
      </c>
      <c r="BH87" s="308">
        <f t="shared" si="151"/>
        <v>5818.8560000000007</v>
      </c>
      <c r="BI87" s="308">
        <f t="shared" si="151"/>
        <v>6020.732</v>
      </c>
      <c r="BJ87" s="308">
        <f t="shared" si="151"/>
        <v>6190.4940000000006</v>
      </c>
      <c r="BK87" s="308">
        <f t="shared" si="151"/>
        <v>6437.4740000000002</v>
      </c>
      <c r="BL87" s="308">
        <f t="shared" si="151"/>
        <v>6581.6110000000008</v>
      </c>
      <c r="BM87" s="308">
        <f t="shared" si="151"/>
        <v>6685.2009999999982</v>
      </c>
      <c r="BN87" s="308">
        <f t="shared" si="151"/>
        <v>6827.027</v>
      </c>
      <c r="BO87" s="308">
        <f t="shared" si="151"/>
        <v>7087.7040000000006</v>
      </c>
      <c r="BP87" s="813">
        <v>7193.5940000000001</v>
      </c>
      <c r="BQ87" s="813">
        <v>7394.1329999999998</v>
      </c>
      <c r="BR87" s="813">
        <v>7594.7259999999997</v>
      </c>
      <c r="BS87" s="813">
        <v>7821.14</v>
      </c>
      <c r="BT87" s="813">
        <v>8005.0209999999997</v>
      </c>
      <c r="BU87" s="1037">
        <f>1.105*BQ87</f>
        <v>8170.5169649999998</v>
      </c>
      <c r="BV87" s="1037">
        <f>1.1025*BR87</f>
        <v>8373.1854149999999</v>
      </c>
      <c r="BW87" s="1037">
        <f>BX87-BT87-BU87-BV87</f>
        <v>8455.228920000005</v>
      </c>
      <c r="BX87" s="1037">
        <f>Fixed!U63</f>
        <v>33003.952300000004</v>
      </c>
      <c r="BY87" s="975"/>
      <c r="BZ87" s="294"/>
      <c r="CA87" s="285">
        <f t="shared" ref="CA87:DF87" si="152">T87/P87-1</f>
        <v>8.3939714617278671E-2</v>
      </c>
      <c r="CB87" s="285">
        <f t="shared" si="152"/>
        <v>0.12460969093372043</v>
      </c>
      <c r="CC87" s="285">
        <f t="shared" si="152"/>
        <v>9.9216749176235464E-2</v>
      </c>
      <c r="CD87" s="285">
        <f t="shared" si="152"/>
        <v>0.14526767196338941</v>
      </c>
      <c r="CE87" s="285">
        <f t="shared" si="152"/>
        <v>6.7228735783603666E-2</v>
      </c>
      <c r="CF87" s="285">
        <f t="shared" si="152"/>
        <v>7.0303409041934328E-2</v>
      </c>
      <c r="CG87" s="285">
        <f t="shared" si="152"/>
        <v>9.2833876221498635E-2</v>
      </c>
      <c r="CH87" s="285">
        <f t="shared" si="152"/>
        <v>9.1263559025811736E-2</v>
      </c>
      <c r="CI87" s="285">
        <f t="shared" si="152"/>
        <v>0.16869651086240944</v>
      </c>
      <c r="CJ87" s="285">
        <f t="shared" si="152"/>
        <v>0.14277660891712074</v>
      </c>
      <c r="CK87" s="285">
        <f t="shared" si="152"/>
        <v>0.16189505059220322</v>
      </c>
      <c r="CL87" s="285">
        <f t="shared" si="152"/>
        <v>0.21193194948065419</v>
      </c>
      <c r="CM87" s="285">
        <f t="shared" si="152"/>
        <v>0.18894838755104915</v>
      </c>
      <c r="CN87" s="285">
        <f t="shared" si="152"/>
        <v>0.222423890063425</v>
      </c>
      <c r="CO87" s="285">
        <f t="shared" si="152"/>
        <v>0.16546276918922587</v>
      </c>
      <c r="CP87" s="285">
        <f t="shared" si="152"/>
        <v>8.8592111140203267E-2</v>
      </c>
      <c r="CQ87" s="285">
        <f t="shared" si="152"/>
        <v>4.515693841648849E-2</v>
      </c>
      <c r="CR87" s="285">
        <f t="shared" si="152"/>
        <v>1.5381183020253042E-2</v>
      </c>
      <c r="CS87" s="285">
        <f t="shared" si="152"/>
        <v>3.6594068582020078E-2</v>
      </c>
      <c r="CT87" s="285">
        <f t="shared" si="152"/>
        <v>6.5888859239983777E-2</v>
      </c>
      <c r="CU87" s="285">
        <f t="shared" si="152"/>
        <v>0.10361322624623592</v>
      </c>
      <c r="CV87" s="285">
        <f t="shared" si="152"/>
        <v>0.11772611139499234</v>
      </c>
      <c r="CW87" s="285">
        <f t="shared" si="152"/>
        <v>0.12467031296798847</v>
      </c>
      <c r="CX87" s="285">
        <f t="shared" si="152"/>
        <v>9.6580146697500924E-2</v>
      </c>
      <c r="CY87" s="285">
        <f t="shared" si="152"/>
        <v>7.8761584473596491E-2</v>
      </c>
      <c r="CZ87" s="285">
        <f t="shared" si="152"/>
        <v>0.10589942046609591</v>
      </c>
      <c r="DA87" s="285">
        <f t="shared" si="152"/>
        <v>7.6920707334438454E-2</v>
      </c>
      <c r="DB87" s="285">
        <f t="shared" si="152"/>
        <v>7.837123786222655E-2</v>
      </c>
      <c r="DC87" s="285">
        <f t="shared" si="152"/>
        <v>8.5221674876847286E-2</v>
      </c>
      <c r="DD87" s="285">
        <f t="shared" si="152"/>
        <v>3.0664912063128824E-2</v>
      </c>
      <c r="DE87" s="285">
        <f t="shared" si="152"/>
        <v>7.1767704728950221E-2</v>
      </c>
      <c r="DF87" s="285">
        <f t="shared" si="152"/>
        <v>7.5770539007439686E-2</v>
      </c>
      <c r="DG87" s="285">
        <f t="shared" ref="DG87:EA87" si="153">AZ87/AV87-1</f>
        <v>8.7866567548424257E-2</v>
      </c>
      <c r="DH87" s="285">
        <f t="shared" si="153"/>
        <v>0.12148916291184331</v>
      </c>
      <c r="DI87" s="285">
        <f t="shared" si="153"/>
        <v>9.7987070051890779E-2</v>
      </c>
      <c r="DJ87" s="285">
        <f t="shared" si="153"/>
        <v>0.1146576156923993</v>
      </c>
      <c r="DK87" s="804">
        <f t="shared" si="153"/>
        <v>9.3221592856135072E-2</v>
      </c>
      <c r="DL87" s="804">
        <f t="shared" si="153"/>
        <v>9.275740115239417E-2</v>
      </c>
      <c r="DM87" s="804">
        <f t="shared" si="153"/>
        <v>6.4684167318125319E-2</v>
      </c>
      <c r="DN87" s="804">
        <f t="shared" si="153"/>
        <v>5.2376956520599371E-2</v>
      </c>
      <c r="DO87" s="804">
        <f t="shared" si="153"/>
        <v>7.2923940366890427E-2</v>
      </c>
      <c r="DP87" s="804">
        <f t="shared" si="153"/>
        <v>9.4708799224996865E-2</v>
      </c>
      <c r="DQ87" s="804">
        <f t="shared" si="153"/>
        <v>0.13977077522163039</v>
      </c>
      <c r="DR87" s="804">
        <f t="shared" si="153"/>
        <v>0.14525422522682807</v>
      </c>
      <c r="DS87" s="804">
        <f t="shared" si="153"/>
        <v>0.13108332634455988</v>
      </c>
      <c r="DT87" s="804">
        <f t="shared" si="153"/>
        <v>0.11036349068518558</v>
      </c>
      <c r="DU87" s="804">
        <f t="shared" si="153"/>
        <v>0.1028242657209586</v>
      </c>
      <c r="DV87" s="804">
        <f t="shared" si="153"/>
        <v>0.10100700989238964</v>
      </c>
      <c r="DW87" s="804">
        <f t="shared" si="153"/>
        <v>9.2983769475284861E-2</v>
      </c>
      <c r="DX87" s="804">
        <f t="shared" si="153"/>
        <v>0.10604497905149035</v>
      </c>
      <c r="DY87" s="804">
        <f t="shared" si="153"/>
        <v>0.11244997273337276</v>
      </c>
      <c r="DZ87" s="804">
        <f t="shared" si="153"/>
        <v>0.10348005503615831</v>
      </c>
      <c r="EA87" s="804">
        <f t="shared" si="153"/>
        <v>0.1127985538244165</v>
      </c>
      <c r="EB87" s="811">
        <f t="shared" ref="EB87" si="154">BU87/BQ87-1</f>
        <v>0.10499999999999998</v>
      </c>
      <c r="EC87" s="811">
        <f t="shared" ref="EC87" si="155">BV87/BR87-1</f>
        <v>0.10250000000000004</v>
      </c>
      <c r="ED87" s="811">
        <f t="shared" ref="ED87" si="156">BW87/BS87-1</f>
        <v>8.1073720710792108E-2</v>
      </c>
      <c r="EF87" s="161"/>
      <c r="EH87" s="284">
        <f>BP87/BL87-1</f>
        <v>9.2983769475284861E-2</v>
      </c>
      <c r="EM87" s="161"/>
      <c r="EN87" s="161"/>
      <c r="EO87" s="161"/>
      <c r="EP87" s="161"/>
      <c r="FL87" s="263">
        <v>5735.8006749999995</v>
      </c>
      <c r="FM87" s="263">
        <v>5942.0081789999986</v>
      </c>
      <c r="FN87" s="263">
        <v>6070.4928120000004</v>
      </c>
      <c r="FO87" s="433">
        <v>6315.2387108040748</v>
      </c>
      <c r="FP87" s="264">
        <v>8.039498164312886E-2</v>
      </c>
      <c r="FQ87" s="264">
        <v>0.1176766019497919</v>
      </c>
      <c r="FR87" s="432">
        <v>0.12350804319588593</v>
      </c>
      <c r="FS87" s="643">
        <v>6770</v>
      </c>
      <c r="FT87" s="641">
        <v>0.12444799070943535</v>
      </c>
      <c r="FU87" s="682">
        <v>6855</v>
      </c>
      <c r="FV87" s="690">
        <v>0.10734296810561483</v>
      </c>
      <c r="FW87" s="682">
        <v>7143.9207205285393</v>
      </c>
      <c r="FX87" s="684">
        <v>0.10973973961347872</v>
      </c>
      <c r="FY87" s="760">
        <v>7309.9217000000017</v>
      </c>
      <c r="FZ87" s="771">
        <v>0.11065842390259784</v>
      </c>
      <c r="GA87" s="792">
        <v>7286.8690899999983</v>
      </c>
      <c r="GB87" s="792">
        <v>7441.4594300000008</v>
      </c>
      <c r="GC87" s="816">
        <v>0.09</v>
      </c>
      <c r="GD87" s="792">
        <v>7880.3313460000036</v>
      </c>
      <c r="GE87" s="811">
        <v>0.11183132732405343</v>
      </c>
    </row>
    <row r="88" spans="1:187" hidden="1">
      <c r="A88" s="161"/>
      <c r="B88" s="267" t="s">
        <v>467</v>
      </c>
      <c r="C88" s="161"/>
      <c r="D88" s="161"/>
      <c r="E88" s="161"/>
      <c r="F88" s="161"/>
      <c r="G88" s="263"/>
      <c r="H88" s="263"/>
      <c r="I88" s="263"/>
      <c r="J88" s="263"/>
      <c r="K88" s="263"/>
      <c r="L88" s="263"/>
      <c r="M88" s="263"/>
      <c r="N88" s="263"/>
      <c r="O88" s="263"/>
      <c r="P88" s="263"/>
      <c r="Q88" s="263"/>
      <c r="R88" s="263"/>
      <c r="S88" s="263"/>
      <c r="T88" s="263">
        <f t="shared" ref="T88:BO88" si="157">T104-T76</f>
        <v>2277.2999999999997</v>
      </c>
      <c r="U88" s="263">
        <f t="shared" si="157"/>
        <v>2320.2999999999997</v>
      </c>
      <c r="V88" s="263">
        <f t="shared" si="157"/>
        <v>2333.1999999999998</v>
      </c>
      <c r="W88" s="263">
        <f t="shared" si="157"/>
        <v>2455.1379999999999</v>
      </c>
      <c r="X88" s="263">
        <f t="shared" si="157"/>
        <v>2430.4</v>
      </c>
      <c r="Y88" s="263">
        <f t="shared" si="157"/>
        <v>2483.4249999999997</v>
      </c>
      <c r="Z88" s="263">
        <f t="shared" si="157"/>
        <v>2549.8000000000002</v>
      </c>
      <c r="AA88" s="263">
        <f t="shared" si="157"/>
        <v>2678.6570000000002</v>
      </c>
      <c r="AB88" s="263">
        <f t="shared" si="157"/>
        <v>2840.4</v>
      </c>
      <c r="AC88" s="263">
        <f t="shared" si="157"/>
        <v>2838</v>
      </c>
      <c r="AD88" s="263">
        <f t="shared" si="157"/>
        <v>2962.6</v>
      </c>
      <c r="AE88" s="263">
        <f t="shared" si="157"/>
        <v>3246.3500000000008</v>
      </c>
      <c r="AF88" s="263">
        <f t="shared" si="157"/>
        <v>3377.0890000000004</v>
      </c>
      <c r="AG88" s="263">
        <f t="shared" si="157"/>
        <v>3469.2390000000005</v>
      </c>
      <c r="AH88" s="263">
        <f t="shared" si="157"/>
        <v>3452.8</v>
      </c>
      <c r="AI88" s="263">
        <f t="shared" si="157"/>
        <v>3533.951</v>
      </c>
      <c r="AJ88" s="263">
        <f t="shared" si="157"/>
        <v>3529.5880000000006</v>
      </c>
      <c r="AK88" s="263">
        <f t="shared" si="157"/>
        <v>3522.6</v>
      </c>
      <c r="AL88" s="263">
        <f t="shared" si="157"/>
        <v>3579.1519999999991</v>
      </c>
      <c r="AM88" s="263">
        <f t="shared" si="157"/>
        <v>3766.799</v>
      </c>
      <c r="AN88" s="263">
        <f t="shared" si="157"/>
        <v>3895.2999999999997</v>
      </c>
      <c r="AO88" s="263">
        <f t="shared" si="157"/>
        <v>3937.3019999999997</v>
      </c>
      <c r="AP88" s="263">
        <f t="shared" si="157"/>
        <v>4025.3660000000004</v>
      </c>
      <c r="AQ88" s="263">
        <f t="shared" si="157"/>
        <v>4130.5969999999998</v>
      </c>
      <c r="AR88" s="263">
        <f t="shared" si="157"/>
        <v>4202.1000000000004</v>
      </c>
      <c r="AS88" s="263">
        <f t="shared" si="157"/>
        <v>4354.26</v>
      </c>
      <c r="AT88" s="263">
        <f t="shared" si="157"/>
        <v>4335</v>
      </c>
      <c r="AU88" s="263">
        <f t="shared" si="157"/>
        <v>4454.317</v>
      </c>
      <c r="AV88" s="263">
        <f t="shared" si="157"/>
        <v>4560.21</v>
      </c>
      <c r="AW88" s="263">
        <f t="shared" si="157"/>
        <v>4487.7830000000004</v>
      </c>
      <c r="AX88" s="263">
        <f t="shared" si="157"/>
        <v>4646.1129999999994</v>
      </c>
      <c r="AY88" s="263">
        <f t="shared" si="157"/>
        <v>4791.8229999999994</v>
      </c>
      <c r="AZ88" s="263">
        <f t="shared" si="157"/>
        <v>4960.8999999999996</v>
      </c>
      <c r="BA88" s="263">
        <f t="shared" si="157"/>
        <v>5033</v>
      </c>
      <c r="BB88" s="263">
        <f t="shared" si="157"/>
        <v>5101.3720000000003</v>
      </c>
      <c r="BC88" s="263">
        <f t="shared" si="157"/>
        <v>5341.2420000000002</v>
      </c>
      <c r="BD88" s="263">
        <f t="shared" si="157"/>
        <v>5423.3630000000003</v>
      </c>
      <c r="BE88" s="263">
        <f t="shared" si="157"/>
        <v>5499.848</v>
      </c>
      <c r="BF88" s="263">
        <f t="shared" si="157"/>
        <v>5431.3499999999995</v>
      </c>
      <c r="BG88" s="263">
        <f t="shared" si="157"/>
        <v>5621</v>
      </c>
      <c r="BH88" s="263">
        <f t="shared" si="157"/>
        <v>5818.8560000000007</v>
      </c>
      <c r="BI88" s="263">
        <f t="shared" si="157"/>
        <v>6020.732</v>
      </c>
      <c r="BJ88" s="263">
        <f t="shared" si="157"/>
        <v>6190.4940000000006</v>
      </c>
      <c r="BK88" s="263">
        <f t="shared" si="157"/>
        <v>6437.4740000000002</v>
      </c>
      <c r="BL88" s="263">
        <f t="shared" si="157"/>
        <v>6581.6109999999999</v>
      </c>
      <c r="BM88" s="263">
        <f t="shared" si="157"/>
        <v>6685.2009999999991</v>
      </c>
      <c r="BN88" s="263">
        <f t="shared" si="157"/>
        <v>6827.0260000000007</v>
      </c>
      <c r="BO88" s="263">
        <f t="shared" si="157"/>
        <v>7177.5450000000001</v>
      </c>
      <c r="BP88" s="263">
        <f>BP104-BP76</f>
        <v>7193.5939999999991</v>
      </c>
      <c r="BQ88" s="263">
        <f>BQ104-BQ76</f>
        <v>0</v>
      </c>
      <c r="BR88" s="784">
        <f>BR104-BR76</f>
        <v>0</v>
      </c>
      <c r="BS88" s="784">
        <f>BS104-BS76</f>
        <v>-1380.9380000000001</v>
      </c>
      <c r="BT88" s="263">
        <f>BT104-BT76</f>
        <v>-671.50419999999974</v>
      </c>
      <c r="BU88" s="784"/>
      <c r="BV88" s="784"/>
      <c r="BW88" s="784"/>
      <c r="BX88" s="784">
        <f>BX104-BX76</f>
        <v>33003.952300000004</v>
      </c>
      <c r="BY88" s="263"/>
      <c r="BZ88" s="263"/>
      <c r="CA88" s="161"/>
      <c r="CB88" s="161"/>
      <c r="CC88" s="161"/>
      <c r="CD88" s="161"/>
      <c r="CE88" s="161"/>
      <c r="CF88" s="161"/>
      <c r="CG88" s="161"/>
      <c r="CH88" s="161"/>
      <c r="CI88" s="161"/>
      <c r="CJ88" s="161"/>
      <c r="CK88" s="161"/>
      <c r="CL88" s="161"/>
      <c r="CM88" s="161"/>
      <c r="CN88" s="161"/>
      <c r="CO88" s="161"/>
      <c r="CP88" s="161"/>
      <c r="CQ88" s="161"/>
      <c r="CR88" s="161"/>
      <c r="CS88" s="161"/>
      <c r="CT88" s="161"/>
      <c r="CU88" s="161"/>
      <c r="CV88" s="161"/>
      <c r="CW88" s="161"/>
      <c r="CX88" s="161"/>
      <c r="CY88" s="265">
        <f t="shared" ref="CY88:DH89" si="158">AR88/AN88-1</f>
        <v>7.8761584473596491E-2</v>
      </c>
      <c r="CZ88" s="265">
        <f t="shared" si="158"/>
        <v>0.10589942046609591</v>
      </c>
      <c r="DA88" s="265">
        <f t="shared" si="158"/>
        <v>7.6920707334438454E-2</v>
      </c>
      <c r="DB88" s="265">
        <f t="shared" si="158"/>
        <v>7.8371237862226772E-2</v>
      </c>
      <c r="DC88" s="265">
        <f t="shared" si="158"/>
        <v>8.5221674876847286E-2</v>
      </c>
      <c r="DD88" s="265">
        <f t="shared" si="158"/>
        <v>3.0664912063129046E-2</v>
      </c>
      <c r="DE88" s="265">
        <f t="shared" si="158"/>
        <v>7.1767704728950221E-2</v>
      </c>
      <c r="DF88" s="265">
        <f t="shared" si="158"/>
        <v>7.5770539007439242E-2</v>
      </c>
      <c r="DG88" s="265">
        <f t="shared" si="158"/>
        <v>8.7866567548424257E-2</v>
      </c>
      <c r="DH88" s="265">
        <f t="shared" si="158"/>
        <v>0.12148916291184308</v>
      </c>
      <c r="DI88" s="265">
        <f t="shared" ref="DI88:DR89" si="159">BB88/AX88-1</f>
        <v>9.7987070051891001E-2</v>
      </c>
      <c r="DJ88" s="265">
        <f t="shared" si="159"/>
        <v>0.11465761569239952</v>
      </c>
      <c r="DK88" s="491">
        <f t="shared" si="159"/>
        <v>9.3221592856135072E-2</v>
      </c>
      <c r="DL88" s="491">
        <f t="shared" si="159"/>
        <v>9.275740115239417E-2</v>
      </c>
      <c r="DM88" s="491">
        <f t="shared" si="159"/>
        <v>6.4684167318125319E-2</v>
      </c>
      <c r="DN88" s="491">
        <f t="shared" si="159"/>
        <v>5.2376956520599371E-2</v>
      </c>
      <c r="DO88" s="491">
        <f t="shared" si="159"/>
        <v>7.2923940366890427E-2</v>
      </c>
      <c r="DP88" s="491">
        <f t="shared" si="159"/>
        <v>9.4708799224996865E-2</v>
      </c>
      <c r="DQ88" s="491">
        <f t="shared" si="159"/>
        <v>0.13977077522163017</v>
      </c>
      <c r="DR88" s="491">
        <f t="shared" si="159"/>
        <v>0.14525422522682807</v>
      </c>
      <c r="DS88" s="491">
        <f t="shared" ref="DS88:EA89" si="160">BL88/BH88-1</f>
        <v>0.13108332634455966</v>
      </c>
      <c r="DT88" s="491">
        <f t="shared" si="160"/>
        <v>0.11036349068518558</v>
      </c>
      <c r="DU88" s="491">
        <f t="shared" si="160"/>
        <v>0.10282410418296184</v>
      </c>
      <c r="DV88" s="491">
        <f t="shared" si="160"/>
        <v>0.1149629497532727</v>
      </c>
      <c r="DW88" s="491">
        <f t="shared" si="160"/>
        <v>9.2983769475284861E-2</v>
      </c>
      <c r="DX88" s="491">
        <f t="shared" si="160"/>
        <v>-1</v>
      </c>
      <c r="DY88" s="491">
        <f t="shared" si="160"/>
        <v>-1</v>
      </c>
      <c r="DZ88" s="491">
        <f t="shared" si="160"/>
        <v>-1.1923969825337215</v>
      </c>
      <c r="EA88" s="491">
        <f t="shared" si="160"/>
        <v>-1.0933475255901293</v>
      </c>
      <c r="EB88" s="812"/>
      <c r="EC88" s="812"/>
      <c r="ED88" s="812"/>
      <c r="EF88" s="161"/>
      <c r="EH88" s="265">
        <f>BP88/BL88-1</f>
        <v>9.2983769475284861E-2</v>
      </c>
      <c r="EM88" s="161"/>
      <c r="EN88" s="161"/>
      <c r="EO88" s="161"/>
      <c r="EP88" s="161"/>
      <c r="FL88" s="263">
        <v>5735.8006749999995</v>
      </c>
      <c r="FM88" s="263">
        <v>5942.0081789999995</v>
      </c>
      <c r="FN88" s="263">
        <v>6070.4928120000004</v>
      </c>
      <c r="FO88" s="433">
        <v>6315.2387108040739</v>
      </c>
      <c r="FP88" s="265">
        <v>8.039498164312886E-2</v>
      </c>
      <c r="FQ88" s="265">
        <v>0.11767660194979168</v>
      </c>
      <c r="FR88" s="434">
        <v>0.12350804319588571</v>
      </c>
      <c r="FS88" s="643">
        <v>6770</v>
      </c>
      <c r="FT88" s="646">
        <v>0.12444799070943535</v>
      </c>
      <c r="FU88" s="670">
        <v>6855</v>
      </c>
      <c r="FV88" s="673">
        <v>0.10734296810561483</v>
      </c>
      <c r="FW88" s="670">
        <v>7143.9207205285384</v>
      </c>
      <c r="FX88" s="673">
        <v>0.10973973961347849</v>
      </c>
      <c r="FY88" s="751">
        <v>7309.9217000000017</v>
      </c>
      <c r="FZ88" s="753">
        <v>0.11065842390259806</v>
      </c>
      <c r="GA88" s="784">
        <v>7362.2314099999994</v>
      </c>
      <c r="GB88" s="784">
        <v>7511.4880450000001</v>
      </c>
      <c r="GC88" s="812">
        <v>0.10025771763576108</v>
      </c>
      <c r="GD88" s="784">
        <v>7880.3323460000029</v>
      </c>
      <c r="GE88" s="812">
        <v>9.791472516020483E-2</v>
      </c>
    </row>
    <row r="89" spans="1:187" hidden="1">
      <c r="A89" s="161"/>
      <c r="B89" s="161" t="s">
        <v>468</v>
      </c>
      <c r="C89" s="161"/>
      <c r="D89" s="161"/>
      <c r="E89" s="161"/>
      <c r="F89" s="161"/>
      <c r="G89" s="161"/>
      <c r="H89" s="161"/>
      <c r="I89" s="161"/>
      <c r="J89" s="161"/>
      <c r="K89" s="161"/>
      <c r="L89" s="263"/>
      <c r="M89" s="263"/>
      <c r="N89" s="263"/>
      <c r="O89" s="263"/>
      <c r="P89" s="263"/>
      <c r="Q89" s="263"/>
      <c r="R89" s="263"/>
      <c r="S89" s="263"/>
      <c r="T89" s="263">
        <f t="shared" ref="T89:BD89" si="161">T72-T81</f>
        <v>2277.3000000000002</v>
      </c>
      <c r="U89" s="263">
        <f t="shared" si="161"/>
        <v>2320.3000000000002</v>
      </c>
      <c r="V89" s="263">
        <f t="shared" si="161"/>
        <v>2333.1999999999998</v>
      </c>
      <c r="W89" s="263">
        <f t="shared" si="161"/>
        <v>2455.1379999999999</v>
      </c>
      <c r="X89" s="263">
        <f t="shared" si="161"/>
        <v>2430.4</v>
      </c>
      <c r="Y89" s="263">
        <f t="shared" si="161"/>
        <v>2483.4250000000002</v>
      </c>
      <c r="Z89" s="263">
        <f t="shared" si="161"/>
        <v>2549.8000000000002</v>
      </c>
      <c r="AA89" s="263">
        <f t="shared" si="161"/>
        <v>2678.6570000000002</v>
      </c>
      <c r="AB89" s="263">
        <f t="shared" si="161"/>
        <v>2840.4</v>
      </c>
      <c r="AC89" s="263">
        <f t="shared" si="161"/>
        <v>2838</v>
      </c>
      <c r="AD89" s="263">
        <f t="shared" si="161"/>
        <v>2962.6</v>
      </c>
      <c r="AE89" s="263">
        <f t="shared" si="161"/>
        <v>3246.3500000000004</v>
      </c>
      <c r="AF89" s="263">
        <f t="shared" si="161"/>
        <v>3377.0889999999999</v>
      </c>
      <c r="AG89" s="263">
        <f t="shared" si="161"/>
        <v>3469.239</v>
      </c>
      <c r="AH89" s="263">
        <f t="shared" si="161"/>
        <v>3452.8</v>
      </c>
      <c r="AI89" s="263">
        <f t="shared" si="161"/>
        <v>3533.951</v>
      </c>
      <c r="AJ89" s="263">
        <f t="shared" si="161"/>
        <v>3529.5880000000002</v>
      </c>
      <c r="AK89" s="263">
        <f t="shared" si="161"/>
        <v>3522.6000000000004</v>
      </c>
      <c r="AL89" s="263">
        <f t="shared" si="161"/>
        <v>3579.1519999999996</v>
      </c>
      <c r="AM89" s="263">
        <f t="shared" si="161"/>
        <v>3766.799</v>
      </c>
      <c r="AN89" s="263">
        <f t="shared" si="161"/>
        <v>3895.3</v>
      </c>
      <c r="AO89" s="263">
        <f t="shared" si="161"/>
        <v>3937.3020000000001</v>
      </c>
      <c r="AP89" s="263">
        <f t="shared" si="161"/>
        <v>4025.3660000000004</v>
      </c>
      <c r="AQ89" s="263">
        <f t="shared" si="161"/>
        <v>4130.5969999999998</v>
      </c>
      <c r="AR89" s="263">
        <f t="shared" si="161"/>
        <v>4202.0999999999995</v>
      </c>
      <c r="AS89" s="263">
        <f t="shared" si="161"/>
        <v>4275.2349999999997</v>
      </c>
      <c r="AT89" s="263">
        <f t="shared" si="161"/>
        <v>4335.3999999999996</v>
      </c>
      <c r="AU89" s="263">
        <f t="shared" si="161"/>
        <v>4454.3229999999994</v>
      </c>
      <c r="AV89" s="263">
        <f t="shared" si="161"/>
        <v>4560.21</v>
      </c>
      <c r="AW89" s="263">
        <f t="shared" si="161"/>
        <v>4487.7840000000006</v>
      </c>
      <c r="AX89" s="263">
        <f t="shared" si="161"/>
        <v>4646.1570000000002</v>
      </c>
      <c r="AY89" s="263">
        <f t="shared" si="161"/>
        <v>4791.8229999999994</v>
      </c>
      <c r="AZ89" s="263">
        <f t="shared" si="161"/>
        <v>4960.1790000000001</v>
      </c>
      <c r="BA89" s="263">
        <f t="shared" si="161"/>
        <v>5032.8</v>
      </c>
      <c r="BB89" s="263">
        <f t="shared" si="161"/>
        <v>5101.3720000000003</v>
      </c>
      <c r="BC89" s="263">
        <f t="shared" si="161"/>
        <v>5341.29</v>
      </c>
      <c r="BD89" s="263">
        <f t="shared" si="161"/>
        <v>5423.3630000000003</v>
      </c>
      <c r="BE89" s="263">
        <f t="shared" ref="BE89:BT89" si="162">BE72-BE81</f>
        <v>5499.848</v>
      </c>
      <c r="BF89" s="263">
        <f t="shared" si="162"/>
        <v>5431.35</v>
      </c>
      <c r="BG89" s="263">
        <f t="shared" si="162"/>
        <v>5621.058</v>
      </c>
      <c r="BH89" s="263">
        <f t="shared" si="162"/>
        <v>5818.857</v>
      </c>
      <c r="BI89" s="263">
        <f t="shared" si="162"/>
        <v>6020.732</v>
      </c>
      <c r="BJ89" s="263">
        <f t="shared" si="162"/>
        <v>6190.4939999999997</v>
      </c>
      <c r="BK89" s="263">
        <f t="shared" si="162"/>
        <v>6437.558</v>
      </c>
      <c r="BL89" s="263">
        <f t="shared" si="162"/>
        <v>6581.6109999999999</v>
      </c>
      <c r="BM89" s="263">
        <f t="shared" si="162"/>
        <v>6685.201</v>
      </c>
      <c r="BN89" s="263">
        <f t="shared" si="162"/>
        <v>6827.027</v>
      </c>
      <c r="BO89" s="263">
        <f t="shared" si="162"/>
        <v>7087.7040000000006</v>
      </c>
      <c r="BP89" s="263">
        <f t="shared" si="162"/>
        <v>7193.5939999999991</v>
      </c>
      <c r="BQ89" s="263">
        <f t="shared" si="162"/>
        <v>7394.1329999999998</v>
      </c>
      <c r="BR89" s="784">
        <f t="shared" si="162"/>
        <v>7594.7250000000004</v>
      </c>
      <c r="BS89" s="784">
        <f t="shared" si="162"/>
        <v>7821.1409999999996</v>
      </c>
      <c r="BT89" s="263">
        <f t="shared" si="162"/>
        <v>8005.0209999999997</v>
      </c>
      <c r="BU89" s="784"/>
      <c r="BV89" s="784"/>
      <c r="BW89" s="784"/>
      <c r="BX89" s="784">
        <f>BX72-BX81</f>
        <v>33003.952300000004</v>
      </c>
      <c r="BY89" s="263"/>
      <c r="BZ89" s="263"/>
      <c r="CA89" s="264"/>
      <c r="CB89" s="264"/>
      <c r="CC89" s="264"/>
      <c r="CD89" s="264"/>
      <c r="CE89" s="264">
        <f t="shared" ref="CE89:CX89" si="163">X89/T89-1</f>
        <v>6.7228735783603444E-2</v>
      </c>
      <c r="CF89" s="264">
        <f t="shared" si="163"/>
        <v>7.0303409041934328E-2</v>
      </c>
      <c r="CG89" s="264">
        <f t="shared" si="163"/>
        <v>9.2833876221498635E-2</v>
      </c>
      <c r="CH89" s="264">
        <f t="shared" si="163"/>
        <v>9.1041318247691239E-2</v>
      </c>
      <c r="CI89" s="264">
        <f t="shared" si="163"/>
        <v>0.16869651086240944</v>
      </c>
      <c r="CJ89" s="264">
        <f t="shared" si="163"/>
        <v>0.14277660891712052</v>
      </c>
      <c r="CK89" s="264">
        <f t="shared" si="163"/>
        <v>0.16189505059220322</v>
      </c>
      <c r="CL89" s="264">
        <f t="shared" si="163"/>
        <v>0.21193194948065397</v>
      </c>
      <c r="CM89" s="264">
        <f t="shared" si="163"/>
        <v>0.18894838755104915</v>
      </c>
      <c r="CN89" s="264">
        <f t="shared" si="163"/>
        <v>0.222423890063425</v>
      </c>
      <c r="CO89" s="264">
        <f t="shared" si="163"/>
        <v>0.16546276918922587</v>
      </c>
      <c r="CP89" s="264">
        <f t="shared" si="163"/>
        <v>8.8592111140203489E-2</v>
      </c>
      <c r="CQ89" s="264">
        <f t="shared" si="163"/>
        <v>4.5156938416488268E-2</v>
      </c>
      <c r="CR89" s="264">
        <f t="shared" si="163"/>
        <v>1.5381183020253264E-2</v>
      </c>
      <c r="CS89" s="264">
        <f t="shared" si="163"/>
        <v>3.65940685820203E-2</v>
      </c>
      <c r="CT89" s="264">
        <f t="shared" si="163"/>
        <v>6.5888859239983777E-2</v>
      </c>
      <c r="CU89" s="264">
        <f t="shared" si="163"/>
        <v>0.10361322624623615</v>
      </c>
      <c r="CV89" s="264">
        <f t="shared" si="163"/>
        <v>0.11772611139499234</v>
      </c>
      <c r="CW89" s="264">
        <f t="shared" si="163"/>
        <v>0.12467031296798825</v>
      </c>
      <c r="CX89" s="264">
        <f t="shared" si="163"/>
        <v>9.6580146697500924E-2</v>
      </c>
      <c r="CY89" s="264">
        <f t="shared" si="158"/>
        <v>7.8761584473596269E-2</v>
      </c>
      <c r="CZ89" s="264">
        <f t="shared" si="158"/>
        <v>8.5828569919198294E-2</v>
      </c>
      <c r="DA89" s="264">
        <f t="shared" si="158"/>
        <v>7.7020077180559365E-2</v>
      </c>
      <c r="DB89" s="264">
        <f t="shared" si="158"/>
        <v>7.8372690436757653E-2</v>
      </c>
      <c r="DC89" s="264">
        <f t="shared" si="158"/>
        <v>8.5221674876847509E-2</v>
      </c>
      <c r="DD89" s="264">
        <f t="shared" si="158"/>
        <v>4.9716331382953394E-2</v>
      </c>
      <c r="DE89" s="264">
        <f t="shared" si="158"/>
        <v>7.1678968491950101E-2</v>
      </c>
      <c r="DF89" s="264">
        <f t="shared" si="158"/>
        <v>7.5769089938022116E-2</v>
      </c>
      <c r="DG89" s="264">
        <f t="shared" si="158"/>
        <v>8.7708460794568621E-2</v>
      </c>
      <c r="DH89" s="264">
        <f t="shared" si="158"/>
        <v>0.12144434758892131</v>
      </c>
      <c r="DI89" s="264">
        <f t="shared" si="159"/>
        <v>9.7976671903252655E-2</v>
      </c>
      <c r="DJ89" s="264">
        <f t="shared" si="159"/>
        <v>0.11466763275688607</v>
      </c>
      <c r="DK89" s="467">
        <f t="shared" si="159"/>
        <v>9.3380500985952297E-2</v>
      </c>
      <c r="DL89" s="467">
        <f t="shared" si="159"/>
        <v>9.2800826577650541E-2</v>
      </c>
      <c r="DM89" s="467">
        <f t="shared" si="159"/>
        <v>6.4684167318125319E-2</v>
      </c>
      <c r="DN89" s="467">
        <f t="shared" si="159"/>
        <v>5.2378358037103334E-2</v>
      </c>
      <c r="DO89" s="467">
        <f t="shared" si="159"/>
        <v>7.2924124754326636E-2</v>
      </c>
      <c r="DP89" s="467">
        <f t="shared" si="159"/>
        <v>9.4708799224996865E-2</v>
      </c>
      <c r="DQ89" s="467">
        <f t="shared" si="159"/>
        <v>0.13977077522162995</v>
      </c>
      <c r="DR89" s="467">
        <f t="shared" si="159"/>
        <v>0.14525735190777245</v>
      </c>
      <c r="DS89" s="467">
        <f t="shared" si="160"/>
        <v>0.13108313196217058</v>
      </c>
      <c r="DT89" s="467">
        <f t="shared" si="160"/>
        <v>0.11036349068518581</v>
      </c>
      <c r="DU89" s="467">
        <f t="shared" si="160"/>
        <v>0.1028242657209586</v>
      </c>
      <c r="DV89" s="467">
        <f t="shared" si="160"/>
        <v>0.10099264348375581</v>
      </c>
      <c r="DW89" s="467">
        <f t="shared" si="160"/>
        <v>9.2983769475284861E-2</v>
      </c>
      <c r="DX89" s="467">
        <f t="shared" si="160"/>
        <v>0.10604497905148991</v>
      </c>
      <c r="DY89" s="467">
        <f t="shared" si="160"/>
        <v>0.11244982625672928</v>
      </c>
      <c r="DZ89" s="467">
        <f t="shared" si="160"/>
        <v>0.10348019612557158</v>
      </c>
      <c r="EA89" s="467">
        <f t="shared" si="160"/>
        <v>0.11279855382441673</v>
      </c>
      <c r="EB89" s="809"/>
      <c r="EC89" s="809"/>
      <c r="ED89" s="809"/>
      <c r="EF89" s="161"/>
      <c r="EH89" s="264">
        <f>BP89/BL89-1</f>
        <v>9.2983769475284861E-2</v>
      </c>
      <c r="EM89" s="161"/>
      <c r="EN89" s="161"/>
      <c r="EO89" s="161"/>
      <c r="EP89" s="161"/>
      <c r="FL89" s="263">
        <v>5735.8006749999995</v>
      </c>
      <c r="FM89" s="263">
        <v>5942.0081789999986</v>
      </c>
      <c r="FN89" s="263">
        <v>6070.4928120000004</v>
      </c>
      <c r="FO89" s="433">
        <v>6315.2387108040748</v>
      </c>
      <c r="FP89" s="264">
        <v>8.039498164312886E-2</v>
      </c>
      <c r="FQ89" s="264">
        <v>0.11767660194979146</v>
      </c>
      <c r="FR89" s="432">
        <v>0.1234964504554259</v>
      </c>
      <c r="FS89" s="643">
        <v>6770</v>
      </c>
      <c r="FT89" s="641">
        <v>0.12444799070943535</v>
      </c>
      <c r="FU89" s="670">
        <v>6855</v>
      </c>
      <c r="FV89" s="668">
        <v>0.10734296810561483</v>
      </c>
      <c r="FW89" s="670">
        <v>7143.9207205285393</v>
      </c>
      <c r="FX89" s="668">
        <v>0.10972525925646637</v>
      </c>
      <c r="FY89" s="751">
        <v>7309.9217000000017</v>
      </c>
      <c r="FZ89" s="749">
        <v>0.11065842390259806</v>
      </c>
      <c r="GA89" s="784">
        <v>7362.2314100000003</v>
      </c>
      <c r="GB89" s="784">
        <v>7511.4880450000001</v>
      </c>
      <c r="GC89" s="809">
        <v>0.1002575564737036</v>
      </c>
      <c r="GD89" s="784">
        <v>7880.3323460000029</v>
      </c>
      <c r="GE89" s="809">
        <v>0.11183146841346669</v>
      </c>
    </row>
    <row r="90" spans="1:187" hidden="1">
      <c r="A90" s="161"/>
      <c r="B90" s="161" t="s">
        <v>469</v>
      </c>
      <c r="U90" s="265">
        <f t="shared" ref="U90:BA90" si="164">U89/T89-1</f>
        <v>1.8882009397092947E-2</v>
      </c>
      <c r="V90" s="265">
        <f t="shared" si="164"/>
        <v>5.5596259104424561E-3</v>
      </c>
      <c r="W90" s="265">
        <f t="shared" si="164"/>
        <v>5.2262129264529555E-2</v>
      </c>
      <c r="X90" s="265">
        <f t="shared" si="164"/>
        <v>-1.0076012020505454E-2</v>
      </c>
      <c r="Y90" s="265">
        <f t="shared" si="164"/>
        <v>2.1817396313364101E-2</v>
      </c>
      <c r="Z90" s="265">
        <f t="shared" si="164"/>
        <v>2.6727201344916907E-2</v>
      </c>
      <c r="AA90" s="265">
        <f t="shared" si="164"/>
        <v>5.0536120480037638E-2</v>
      </c>
      <c r="AB90" s="265">
        <f t="shared" si="164"/>
        <v>6.0382124325734754E-2</v>
      </c>
      <c r="AC90" s="265">
        <f t="shared" si="164"/>
        <v>-8.449514152936155E-4</v>
      </c>
      <c r="AD90" s="265">
        <f t="shared" si="164"/>
        <v>4.3904157857646231E-2</v>
      </c>
      <c r="AE90" s="265">
        <f t="shared" si="164"/>
        <v>9.5777357726321677E-2</v>
      </c>
      <c r="AF90" s="265">
        <f t="shared" si="164"/>
        <v>4.0272613858641115E-2</v>
      </c>
      <c r="AG90" s="265">
        <f t="shared" si="164"/>
        <v>2.7286814176351371E-2</v>
      </c>
      <c r="AH90" s="265">
        <f t="shared" si="164"/>
        <v>-4.7385031702917857E-3</v>
      </c>
      <c r="AI90" s="265">
        <f t="shared" si="164"/>
        <v>2.3502954124189124E-2</v>
      </c>
      <c r="AJ90" s="265">
        <f t="shared" si="164"/>
        <v>-1.2345954994847919E-3</v>
      </c>
      <c r="AK90" s="265">
        <f t="shared" si="164"/>
        <v>-1.9798344735986184E-3</v>
      </c>
      <c r="AL90" s="265">
        <f t="shared" si="164"/>
        <v>1.6054050985067736E-2</v>
      </c>
      <c r="AM90" s="265">
        <f t="shared" si="164"/>
        <v>5.2427781776242188E-2</v>
      </c>
      <c r="AN90" s="265">
        <f t="shared" si="164"/>
        <v>3.4114111212198983E-2</v>
      </c>
      <c r="AO90" s="265">
        <f t="shared" si="164"/>
        <v>1.0782738171642769E-2</v>
      </c>
      <c r="AP90" s="265">
        <f t="shared" si="164"/>
        <v>2.2366585037165043E-2</v>
      </c>
      <c r="AQ90" s="265">
        <f t="shared" si="164"/>
        <v>2.614197069285118E-2</v>
      </c>
      <c r="AR90" s="265">
        <f t="shared" si="164"/>
        <v>1.7310572781609856E-2</v>
      </c>
      <c r="AS90" s="265">
        <f t="shared" si="164"/>
        <v>1.7404393041574595E-2</v>
      </c>
      <c r="AT90" s="265">
        <f t="shared" si="164"/>
        <v>1.4072910611931277E-2</v>
      </c>
      <c r="AU90" s="265">
        <f t="shared" si="164"/>
        <v>2.7430686903169299E-2</v>
      </c>
      <c r="AV90" s="265">
        <f t="shared" si="164"/>
        <v>2.3771738151903365E-2</v>
      </c>
      <c r="AW90" s="265">
        <f t="shared" si="164"/>
        <v>-1.5882163321425891E-2</v>
      </c>
      <c r="AX90" s="265">
        <f t="shared" si="164"/>
        <v>3.5289800043852182E-2</v>
      </c>
      <c r="AY90" s="265">
        <f t="shared" si="164"/>
        <v>3.1351932360443202E-2</v>
      </c>
      <c r="AZ90" s="265">
        <f t="shared" si="164"/>
        <v>3.5134018931834543E-2</v>
      </c>
      <c r="BA90" s="265">
        <f t="shared" si="164"/>
        <v>1.4640802277498421E-2</v>
      </c>
      <c r="BB90" s="265">
        <f t="shared" ref="BB90:BN90" si="165">BB89/BA89-1</f>
        <v>1.3625019869655031E-2</v>
      </c>
      <c r="BC90" s="265">
        <f t="shared" si="165"/>
        <v>4.7030093080841606E-2</v>
      </c>
      <c r="BD90" s="265">
        <f t="shared" si="165"/>
        <v>1.536576370127829E-2</v>
      </c>
      <c r="BE90" s="265">
        <f t="shared" si="165"/>
        <v>1.4102873069717026E-2</v>
      </c>
      <c r="BF90" s="265">
        <f t="shared" si="165"/>
        <v>-1.2454526015991618E-2</v>
      </c>
      <c r="BG90" s="265">
        <f t="shared" si="165"/>
        <v>3.4928332734955436E-2</v>
      </c>
      <c r="BH90" s="265">
        <f t="shared" si="165"/>
        <v>3.5188927066755138E-2</v>
      </c>
      <c r="BI90" s="265">
        <f t="shared" si="165"/>
        <v>3.4693239582962665E-2</v>
      </c>
      <c r="BJ90" s="265">
        <f t="shared" si="165"/>
        <v>2.819623926127246E-2</v>
      </c>
      <c r="BK90" s="265">
        <f t="shared" si="165"/>
        <v>3.9910223642895204E-2</v>
      </c>
      <c r="BL90" s="265">
        <f>BL89/BK89-1</f>
        <v>2.2376963438620612E-2</v>
      </c>
      <c r="BM90" s="265">
        <f t="shared" si="165"/>
        <v>1.5739307595055374E-2</v>
      </c>
      <c r="BN90" s="265">
        <f t="shared" si="165"/>
        <v>2.1214919341991267E-2</v>
      </c>
      <c r="BO90" s="265">
        <f t="shared" ref="BO90:BT90" si="166">BO89/BN89-1</f>
        <v>3.818309199597425E-2</v>
      </c>
      <c r="BP90" s="265">
        <f t="shared" si="166"/>
        <v>1.4939957989215991E-2</v>
      </c>
      <c r="BQ90" s="265">
        <f t="shared" si="166"/>
        <v>2.7877442068596103E-2</v>
      </c>
      <c r="BR90" s="786">
        <f t="shared" si="166"/>
        <v>2.712853555650141E-2</v>
      </c>
      <c r="BS90" s="786">
        <f t="shared" si="166"/>
        <v>2.9812271017054526E-2</v>
      </c>
      <c r="BT90" s="265">
        <f t="shared" si="166"/>
        <v>2.3510636107954008E-2</v>
      </c>
      <c r="BU90" s="786"/>
      <c r="BV90" s="786"/>
      <c r="BW90" s="786"/>
      <c r="BX90" s="786">
        <f>BX89/BS89-1</f>
        <v>3.2198385504109961</v>
      </c>
      <c r="BY90" s="265"/>
      <c r="BZ90" s="265"/>
      <c r="CA90" s="264"/>
      <c r="CB90" s="264"/>
      <c r="CC90" s="264"/>
      <c r="CD90" s="264"/>
      <c r="CE90" s="264"/>
      <c r="CF90" s="264"/>
      <c r="CG90" s="264"/>
      <c r="CH90" s="264"/>
      <c r="CI90" s="264"/>
      <c r="CJ90" s="264"/>
      <c r="CK90" s="264"/>
      <c r="CL90" s="264"/>
      <c r="CM90" s="264"/>
      <c r="CN90" s="264"/>
      <c r="CO90" s="264"/>
      <c r="CP90" s="264"/>
      <c r="CQ90" s="264"/>
      <c r="CR90" s="264"/>
      <c r="CS90" s="264"/>
      <c r="CT90" s="264"/>
      <c r="CU90" s="264"/>
      <c r="CV90" s="161"/>
      <c r="CW90" s="161"/>
      <c r="CX90" s="161"/>
      <c r="CY90" s="161"/>
      <c r="CZ90" s="161"/>
      <c r="DA90" s="161"/>
      <c r="DB90" s="161"/>
      <c r="DC90" s="161"/>
      <c r="DD90" s="161"/>
      <c r="DE90" s="161"/>
      <c r="DF90" s="161"/>
      <c r="DG90" s="161"/>
      <c r="DH90" s="161"/>
      <c r="DI90" s="161"/>
      <c r="DJ90" s="161"/>
      <c r="DK90" s="177"/>
      <c r="DL90" s="177"/>
      <c r="DM90" s="177"/>
      <c r="DN90" s="177"/>
      <c r="DO90" s="177"/>
      <c r="DP90" s="177"/>
      <c r="DQ90" s="177"/>
      <c r="DR90" s="177"/>
      <c r="DS90" s="177"/>
      <c r="DT90" s="177"/>
      <c r="DU90" s="177"/>
      <c r="DV90" s="177"/>
      <c r="DW90" s="177"/>
      <c r="DX90" s="177"/>
      <c r="DY90" s="177"/>
      <c r="DZ90" s="177"/>
      <c r="EA90" s="177"/>
      <c r="EB90" s="808"/>
      <c r="EC90" s="808"/>
      <c r="ED90" s="808"/>
      <c r="EF90" s="161"/>
      <c r="EH90" s="161"/>
      <c r="EM90" s="161"/>
      <c r="EN90" s="161"/>
      <c r="EO90" s="161"/>
      <c r="EP90" s="161"/>
      <c r="FL90" s="264"/>
      <c r="FM90" s="264"/>
      <c r="FN90" s="264"/>
      <c r="FO90" s="434">
        <v>2.0151010695443006E-2</v>
      </c>
      <c r="FP90" s="161"/>
      <c r="FQ90" s="161"/>
      <c r="FR90" s="430"/>
      <c r="FS90" s="646">
        <v>2.8623539130465225E-2</v>
      </c>
      <c r="FT90" s="639"/>
      <c r="FU90" s="673">
        <v>2.5399236313163875E-2</v>
      </c>
      <c r="FV90" s="667"/>
      <c r="FW90" s="673">
        <v>4.6417528527210816E-2</v>
      </c>
      <c r="FX90" s="667"/>
      <c r="FY90" s="753">
        <v>3.1352564949100659E-2</v>
      </c>
      <c r="FZ90" s="747"/>
      <c r="GA90" s="786">
        <v>2.3442720008941542E-2</v>
      </c>
      <c r="GB90" s="786">
        <v>1.5871373290147872E-2</v>
      </c>
      <c r="GC90" s="808"/>
      <c r="GD90" s="786">
        <v>3.7606015491015388E-2</v>
      </c>
      <c r="GE90" s="808"/>
    </row>
    <row r="91" spans="1:187" hidden="1">
      <c r="A91" s="161"/>
      <c r="B91" t="s">
        <v>442</v>
      </c>
      <c r="V91" s="265"/>
      <c r="W91" s="265"/>
      <c r="X91" s="265">
        <f t="shared" ref="X91:BB91" si="167">X89/T89-1</f>
        <v>6.7228735783603444E-2</v>
      </c>
      <c r="Y91" s="265">
        <f t="shared" si="167"/>
        <v>7.0303409041934328E-2</v>
      </c>
      <c r="Z91" s="265">
        <f t="shared" si="167"/>
        <v>9.2833876221498635E-2</v>
      </c>
      <c r="AA91" s="265">
        <f t="shared" si="167"/>
        <v>9.1041318247691239E-2</v>
      </c>
      <c r="AB91" s="265">
        <f t="shared" si="167"/>
        <v>0.16869651086240944</v>
      </c>
      <c r="AC91" s="265">
        <f t="shared" si="167"/>
        <v>0.14277660891712052</v>
      </c>
      <c r="AD91" s="265">
        <f t="shared" si="167"/>
        <v>0.16189505059220322</v>
      </c>
      <c r="AE91" s="265">
        <f t="shared" si="167"/>
        <v>0.21193194948065397</v>
      </c>
      <c r="AF91" s="265">
        <f t="shared" si="167"/>
        <v>0.18894838755104915</v>
      </c>
      <c r="AG91" s="265">
        <f t="shared" si="167"/>
        <v>0.222423890063425</v>
      </c>
      <c r="AH91" s="265">
        <f t="shared" si="167"/>
        <v>0.16546276918922587</v>
      </c>
      <c r="AI91" s="265">
        <f t="shared" si="167"/>
        <v>8.8592111140203489E-2</v>
      </c>
      <c r="AJ91" s="265">
        <f t="shared" si="167"/>
        <v>4.5156938416488268E-2</v>
      </c>
      <c r="AK91" s="265">
        <f t="shared" si="167"/>
        <v>1.5381183020253264E-2</v>
      </c>
      <c r="AL91" s="265">
        <f t="shared" si="167"/>
        <v>3.65940685820203E-2</v>
      </c>
      <c r="AM91" s="265">
        <f t="shared" si="167"/>
        <v>6.5888859239983777E-2</v>
      </c>
      <c r="AN91" s="265">
        <f t="shared" si="167"/>
        <v>0.10361322624623615</v>
      </c>
      <c r="AO91" s="265">
        <f t="shared" si="167"/>
        <v>0.11772611139499234</v>
      </c>
      <c r="AP91" s="265">
        <f t="shared" si="167"/>
        <v>0.12467031296798825</v>
      </c>
      <c r="AQ91" s="265">
        <f t="shared" si="167"/>
        <v>9.6580146697500924E-2</v>
      </c>
      <c r="AR91" s="265">
        <f t="shared" si="167"/>
        <v>7.8761584473596269E-2</v>
      </c>
      <c r="AS91" s="265">
        <f t="shared" si="167"/>
        <v>8.5828569919198294E-2</v>
      </c>
      <c r="AT91" s="265">
        <f t="shared" si="167"/>
        <v>7.7020077180559365E-2</v>
      </c>
      <c r="AU91" s="265">
        <f t="shared" si="167"/>
        <v>7.8372690436757653E-2</v>
      </c>
      <c r="AV91" s="265">
        <f t="shared" si="167"/>
        <v>8.5221674876847509E-2</v>
      </c>
      <c r="AW91" s="265">
        <f t="shared" si="167"/>
        <v>4.9716331382953394E-2</v>
      </c>
      <c r="AX91" s="265">
        <f t="shared" si="167"/>
        <v>7.1678968491950101E-2</v>
      </c>
      <c r="AY91" s="265">
        <f t="shared" si="167"/>
        <v>7.5769089938022116E-2</v>
      </c>
      <c r="AZ91" s="265">
        <f t="shared" si="167"/>
        <v>8.7708460794568621E-2</v>
      </c>
      <c r="BA91" s="265">
        <f t="shared" si="167"/>
        <v>0.12144434758892131</v>
      </c>
      <c r="BB91" s="265">
        <f t="shared" si="167"/>
        <v>9.7976671903252655E-2</v>
      </c>
      <c r="BC91" s="265">
        <f t="shared" ref="BC91:BN91" si="168">BC89/AY89-1</f>
        <v>0.11466763275688607</v>
      </c>
      <c r="BD91" s="265">
        <f t="shared" si="168"/>
        <v>9.3380500985952297E-2</v>
      </c>
      <c r="BE91" s="265">
        <f t="shared" si="168"/>
        <v>9.2800826577650541E-2</v>
      </c>
      <c r="BF91" s="265">
        <f t="shared" si="168"/>
        <v>6.4684167318125319E-2</v>
      </c>
      <c r="BG91" s="265">
        <f t="shared" si="168"/>
        <v>5.2378358037103334E-2</v>
      </c>
      <c r="BH91" s="265">
        <f t="shared" si="168"/>
        <v>7.2924124754326636E-2</v>
      </c>
      <c r="BI91" s="265">
        <f t="shared" si="168"/>
        <v>9.4708799224996865E-2</v>
      </c>
      <c r="BJ91" s="265">
        <f t="shared" si="168"/>
        <v>0.13977077522162995</v>
      </c>
      <c r="BK91" s="265">
        <f t="shared" si="168"/>
        <v>0.14525735190777245</v>
      </c>
      <c r="BL91" s="265">
        <f>BL89/BH89-1</f>
        <v>0.13108313196217058</v>
      </c>
      <c r="BM91" s="265">
        <f t="shared" si="168"/>
        <v>0.11036349068518581</v>
      </c>
      <c r="BN91" s="265">
        <f t="shared" si="168"/>
        <v>0.1028242657209586</v>
      </c>
      <c r="BO91" s="265">
        <f t="shared" ref="BO91:BT91" si="169">BO89/BK89-1</f>
        <v>0.10099264348375581</v>
      </c>
      <c r="BP91" s="265">
        <f t="shared" si="169"/>
        <v>9.2983769475284861E-2</v>
      </c>
      <c r="BQ91" s="265">
        <f t="shared" si="169"/>
        <v>0.10604497905148991</v>
      </c>
      <c r="BR91" s="786">
        <f t="shared" si="169"/>
        <v>0.11244982625672928</v>
      </c>
      <c r="BS91" s="786">
        <f t="shared" si="169"/>
        <v>0.10348019612557158</v>
      </c>
      <c r="BT91" s="265">
        <f t="shared" si="169"/>
        <v>0.11279855382441673</v>
      </c>
      <c r="BU91" s="786"/>
      <c r="BV91" s="786"/>
      <c r="BW91" s="786"/>
      <c r="BX91" s="786">
        <f>BX89/BP89-1</f>
        <v>3.5879642776614871</v>
      </c>
      <c r="BY91" s="265"/>
      <c r="BZ91" s="265"/>
      <c r="CA91" s="264"/>
      <c r="CB91" s="264"/>
      <c r="CC91" s="264"/>
      <c r="CD91" s="264"/>
      <c r="CE91" s="264"/>
      <c r="CF91" s="264"/>
      <c r="CG91" s="264"/>
      <c r="CH91" s="264"/>
      <c r="CI91" s="264"/>
      <c r="CJ91" s="264"/>
      <c r="CK91" s="264"/>
      <c r="CL91" s="264"/>
      <c r="CM91" s="264"/>
      <c r="CN91" s="264"/>
      <c r="CO91" s="264"/>
      <c r="CP91" s="264"/>
      <c r="CQ91" s="264"/>
      <c r="CR91" s="264"/>
      <c r="CS91" s="264"/>
      <c r="CT91" s="264"/>
      <c r="CU91" s="264"/>
      <c r="CV91" s="161"/>
      <c r="CW91" s="161"/>
      <c r="CX91" s="161"/>
      <c r="CY91" s="161"/>
      <c r="CZ91" s="161"/>
      <c r="DA91" s="161"/>
      <c r="DB91" s="161"/>
      <c r="DC91" s="161"/>
      <c r="DD91" s="161"/>
      <c r="DE91" s="161"/>
      <c r="DF91" s="161"/>
      <c r="DG91" s="161"/>
      <c r="DH91" s="161"/>
      <c r="DI91" s="161"/>
      <c r="DJ91" s="161"/>
      <c r="DK91" s="177"/>
      <c r="DL91" s="177"/>
      <c r="DM91" s="177"/>
      <c r="DN91" s="177"/>
      <c r="DO91" s="177"/>
      <c r="DP91" s="177"/>
      <c r="DQ91" s="177"/>
      <c r="DR91" s="177"/>
      <c r="DS91" s="177"/>
      <c r="DT91" s="177"/>
      <c r="DU91" s="177"/>
      <c r="DV91" s="177"/>
      <c r="DW91" s="177"/>
      <c r="DX91" s="177"/>
      <c r="DY91" s="177"/>
      <c r="DZ91" s="177"/>
      <c r="EA91" s="177"/>
      <c r="EB91" s="808"/>
      <c r="EC91" s="808"/>
      <c r="ED91" s="808"/>
      <c r="EF91" s="161"/>
      <c r="EH91" s="161"/>
      <c r="EM91" s="161"/>
      <c r="EN91" s="161"/>
      <c r="EO91" s="161"/>
      <c r="EP91" s="161"/>
      <c r="FL91" s="264"/>
      <c r="FM91" s="264"/>
      <c r="FN91" s="264"/>
      <c r="FO91" s="432">
        <v>0.1234964504554259</v>
      </c>
      <c r="FP91" s="161"/>
      <c r="FQ91" s="161"/>
      <c r="FR91" s="430"/>
      <c r="FS91" s="641">
        <v>0.12444799070943535</v>
      </c>
      <c r="FT91" s="639"/>
      <c r="FU91" s="673">
        <v>0.10734296810561483</v>
      </c>
      <c r="FV91" s="667"/>
      <c r="FW91" s="673">
        <v>0.10972525925646637</v>
      </c>
      <c r="FX91" s="667"/>
      <c r="FY91" s="753">
        <v>0.11065842390259806</v>
      </c>
      <c r="FZ91" s="747"/>
      <c r="GA91" s="786">
        <v>0.10127300734861988</v>
      </c>
      <c r="GB91" s="786">
        <v>0.1002575564737036</v>
      </c>
      <c r="GC91" s="808"/>
      <c r="GD91" s="786">
        <v>0.11183146841346669</v>
      </c>
      <c r="GE91" s="808"/>
    </row>
    <row r="92" spans="1:187" hidden="1">
      <c r="A92" s="161"/>
      <c r="B92" s="161"/>
      <c r="C92" s="161"/>
      <c r="D92" s="161"/>
      <c r="E92" s="161"/>
      <c r="F92" s="161"/>
      <c r="G92" s="161"/>
      <c r="H92" s="161"/>
      <c r="I92" s="161"/>
      <c r="J92" s="161"/>
      <c r="K92" s="161"/>
      <c r="L92" s="263"/>
      <c r="M92" s="263"/>
      <c r="N92" s="263"/>
      <c r="O92" s="263"/>
      <c r="P92" s="263"/>
      <c r="Q92" s="263"/>
      <c r="R92" s="263"/>
      <c r="S92" s="263"/>
      <c r="T92" s="263"/>
      <c r="U92" s="263"/>
      <c r="V92" s="263"/>
      <c r="W92" s="263"/>
      <c r="X92" s="263"/>
      <c r="Y92" s="263"/>
      <c r="Z92" s="263"/>
      <c r="AA92" s="264"/>
      <c r="AB92" s="263"/>
      <c r="AC92" s="263"/>
      <c r="AD92" s="263"/>
      <c r="AE92" s="263"/>
      <c r="AF92" s="263"/>
      <c r="AG92" s="263"/>
      <c r="AH92" s="263"/>
      <c r="AI92" s="263"/>
      <c r="AJ92" s="263"/>
      <c r="AK92" s="263"/>
      <c r="AL92" s="263"/>
      <c r="AM92" s="263"/>
      <c r="AN92" s="263"/>
      <c r="AO92" s="263"/>
      <c r="AP92" s="263"/>
      <c r="AQ92" s="263"/>
      <c r="AR92" s="263"/>
      <c r="AS92" s="263"/>
      <c r="AT92" s="263"/>
      <c r="AU92" s="263"/>
      <c r="AV92" s="263"/>
      <c r="AW92" s="263"/>
      <c r="AX92" s="263"/>
      <c r="AY92" s="263"/>
      <c r="AZ92" s="263"/>
      <c r="BA92" s="263"/>
      <c r="BB92" s="263"/>
      <c r="BC92" s="263"/>
      <c r="BD92" s="263"/>
      <c r="BE92" s="263"/>
      <c r="BF92" s="263"/>
      <c r="BG92" s="263"/>
      <c r="BH92" s="263"/>
      <c r="BI92" s="263"/>
      <c r="BJ92" s="263"/>
      <c r="BK92" s="263"/>
      <c r="BL92" s="263"/>
      <c r="BM92" s="263"/>
      <c r="BN92" s="263"/>
      <c r="BO92" s="263"/>
      <c r="BP92" s="263"/>
      <c r="BQ92" s="263"/>
      <c r="BR92" s="784"/>
      <c r="BS92" s="784"/>
      <c r="BT92" s="263"/>
      <c r="BU92" s="784"/>
      <c r="BV92" s="784"/>
      <c r="BW92" s="784"/>
      <c r="BX92" s="784"/>
      <c r="BY92" s="263"/>
      <c r="BZ92" s="263"/>
      <c r="CA92" s="264"/>
      <c r="CB92" s="264"/>
      <c r="CC92" s="264"/>
      <c r="CD92" s="264"/>
      <c r="CE92" s="264"/>
      <c r="CF92" s="264"/>
      <c r="CG92" s="264"/>
      <c r="CH92" s="264"/>
      <c r="CI92" s="264"/>
      <c r="CJ92" s="264"/>
      <c r="CK92" s="264"/>
      <c r="CL92" s="264"/>
      <c r="CM92" s="264"/>
      <c r="CN92" s="264"/>
      <c r="CO92" s="264"/>
      <c r="CP92" s="264"/>
      <c r="CQ92" s="264"/>
      <c r="CR92" s="264"/>
      <c r="CS92" s="264"/>
      <c r="CT92" s="264"/>
      <c r="CU92" s="264"/>
      <c r="CV92" s="161"/>
      <c r="CW92" s="161"/>
      <c r="CX92" s="161"/>
      <c r="CY92" s="161"/>
      <c r="CZ92" s="161"/>
      <c r="DA92" s="161"/>
      <c r="DB92" s="161"/>
      <c r="DC92" s="161"/>
      <c r="DD92" s="161"/>
      <c r="DE92" s="161"/>
      <c r="DF92" s="161"/>
      <c r="DG92" s="161"/>
      <c r="DH92" s="161"/>
      <c r="DI92" s="161"/>
      <c r="DJ92" s="161"/>
      <c r="DK92" s="177"/>
      <c r="DL92" s="177"/>
      <c r="DM92" s="177"/>
      <c r="DN92" s="177"/>
      <c r="DO92" s="177"/>
      <c r="DP92" s="177"/>
      <c r="DQ92" s="177"/>
      <c r="DR92" s="177"/>
      <c r="DS92" s="177"/>
      <c r="DT92" s="177"/>
      <c r="DU92" s="177"/>
      <c r="DV92" s="177"/>
      <c r="DW92" s="177"/>
      <c r="DX92" s="177"/>
      <c r="DY92" s="177"/>
      <c r="DZ92" s="177"/>
      <c r="EA92" s="177"/>
      <c r="EB92" s="808"/>
      <c r="EC92" s="808"/>
      <c r="ED92" s="808"/>
      <c r="EF92" s="161"/>
      <c r="EH92" s="161"/>
      <c r="EM92" s="161"/>
      <c r="EN92" s="161"/>
      <c r="EO92" s="161"/>
      <c r="EP92" s="161"/>
      <c r="FL92" s="263"/>
      <c r="FM92" s="263"/>
      <c r="FN92" s="263"/>
      <c r="FO92" s="433"/>
      <c r="FP92" s="161"/>
      <c r="FQ92" s="161"/>
      <c r="FR92" s="430"/>
      <c r="FS92" s="643"/>
      <c r="FT92" s="639"/>
      <c r="FU92" s="670"/>
      <c r="FV92" s="667"/>
      <c r="FW92" s="670"/>
      <c r="FX92" s="667"/>
      <c r="FY92" s="751"/>
      <c r="FZ92" s="747"/>
      <c r="GA92" s="784"/>
      <c r="GB92" s="784"/>
      <c r="GC92" s="808"/>
      <c r="GD92" s="784"/>
      <c r="GE92" s="808"/>
    </row>
    <row r="93" spans="1:187" hidden="1">
      <c r="A93" s="161"/>
      <c r="B93" s="161" t="str">
        <f>B67</f>
        <v>Video</v>
      </c>
      <c r="C93" s="161"/>
      <c r="D93" s="161"/>
      <c r="E93" s="161"/>
      <c r="F93" s="161"/>
      <c r="G93" s="161"/>
      <c r="H93" s="161"/>
      <c r="I93" s="161"/>
      <c r="J93" s="161"/>
      <c r="K93" s="161"/>
      <c r="L93" s="263"/>
      <c r="M93" s="263"/>
      <c r="N93" s="263"/>
      <c r="O93" s="263"/>
      <c r="P93" s="263"/>
      <c r="Q93" s="263"/>
      <c r="R93" s="263"/>
      <c r="S93" s="263"/>
      <c r="T93" s="263">
        <v>33.5</v>
      </c>
      <c r="U93" s="263">
        <v>34.4</v>
      </c>
      <c r="V93" s="263">
        <v>35.4</v>
      </c>
      <c r="W93" s="263">
        <v>35.4</v>
      </c>
      <c r="X93" s="263">
        <v>38</v>
      </c>
      <c r="Y93" s="263">
        <v>39.299999999999997</v>
      </c>
      <c r="Z93" s="263">
        <v>42.3</v>
      </c>
      <c r="AA93" s="263">
        <v>43.6</v>
      </c>
      <c r="AB93" s="263"/>
      <c r="AC93" s="263"/>
      <c r="AD93" s="263"/>
      <c r="AE93" s="263"/>
      <c r="AF93" s="263"/>
      <c r="AG93" s="263"/>
      <c r="AH93" s="263"/>
      <c r="AI93" s="263"/>
      <c r="AJ93" s="263"/>
      <c r="AK93" s="263"/>
      <c r="AL93" s="263"/>
      <c r="AM93" s="263"/>
      <c r="AN93" s="263"/>
      <c r="AO93" s="263"/>
      <c r="AP93" s="263"/>
      <c r="AQ93" s="263"/>
      <c r="AR93" s="263"/>
      <c r="AS93" s="263"/>
      <c r="AT93" s="263"/>
      <c r="AU93" s="263"/>
      <c r="AV93" s="263"/>
      <c r="AW93" s="263"/>
      <c r="AX93" s="263"/>
      <c r="AY93" s="263"/>
      <c r="AZ93" s="263"/>
      <c r="BA93" s="263"/>
      <c r="BB93" s="263"/>
      <c r="BC93" s="263"/>
      <c r="BD93" s="263"/>
      <c r="BE93" s="263"/>
      <c r="BF93" s="263"/>
      <c r="BG93" s="263"/>
      <c r="BH93" s="263"/>
      <c r="BI93" s="263"/>
      <c r="BJ93" s="263"/>
      <c r="BK93" s="263"/>
      <c r="BL93" s="263"/>
      <c r="BM93" s="263"/>
      <c r="BN93" s="263"/>
      <c r="BO93" s="263"/>
      <c r="BP93" s="263"/>
      <c r="BQ93" s="263"/>
      <c r="BR93" s="784"/>
      <c r="BS93" s="784"/>
      <c r="BT93" s="263"/>
      <c r="BU93" s="784"/>
      <c r="BV93" s="784"/>
      <c r="BW93" s="784"/>
      <c r="BX93" s="784"/>
      <c r="BY93" s="263"/>
      <c r="BZ93" s="263"/>
      <c r="CA93" s="264"/>
      <c r="CB93" s="264"/>
      <c r="CC93" s="264"/>
      <c r="CD93" s="264"/>
      <c r="CE93" s="264">
        <f t="shared" ref="CE93:CH96" si="170">X93/T93-1</f>
        <v>0.13432835820895517</v>
      </c>
      <c r="CF93" s="264">
        <f t="shared" si="170"/>
        <v>0.14244186046511631</v>
      </c>
      <c r="CG93" s="264">
        <f t="shared" si="170"/>
        <v>0.19491525423728806</v>
      </c>
      <c r="CH93" s="264">
        <f t="shared" si="170"/>
        <v>0.23163841807909624</v>
      </c>
      <c r="CI93" s="264"/>
      <c r="CJ93" s="264"/>
      <c r="CK93" s="264"/>
      <c r="CL93" s="264"/>
      <c r="CM93" s="264"/>
      <c r="CN93" s="264"/>
      <c r="CO93" s="264"/>
      <c r="CP93" s="264"/>
      <c r="CQ93" s="264"/>
      <c r="CR93" s="264"/>
      <c r="CS93" s="264"/>
      <c r="CT93" s="264"/>
      <c r="CU93" s="264"/>
      <c r="CV93" s="161"/>
      <c r="CW93" s="161"/>
      <c r="CX93" s="161"/>
      <c r="CY93" s="161"/>
      <c r="CZ93" s="161"/>
      <c r="DA93" s="161"/>
      <c r="DB93" s="161"/>
      <c r="DC93" s="161"/>
      <c r="DD93" s="161"/>
      <c r="DE93" s="161"/>
      <c r="DF93" s="161"/>
      <c r="DG93" s="161"/>
      <c r="DH93" s="161"/>
      <c r="DI93" s="161"/>
      <c r="DJ93" s="161"/>
      <c r="DK93" s="177"/>
      <c r="DL93" s="177"/>
      <c r="DM93" s="177"/>
      <c r="DN93" s="177"/>
      <c r="DO93" s="177"/>
      <c r="DP93" s="177"/>
      <c r="DQ93" s="177"/>
      <c r="DR93" s="177"/>
      <c r="DS93" s="177"/>
      <c r="DT93" s="177"/>
      <c r="DU93" s="177"/>
      <c r="DV93" s="177"/>
      <c r="DW93" s="177"/>
      <c r="DX93" s="177"/>
      <c r="DY93" s="177"/>
      <c r="DZ93" s="177"/>
      <c r="EA93" s="177"/>
      <c r="EB93" s="808"/>
      <c r="EC93" s="808"/>
      <c r="ED93" s="808"/>
      <c r="EF93" s="161"/>
      <c r="EH93" s="161"/>
      <c r="EM93" s="161"/>
      <c r="EN93" s="161"/>
      <c r="EO93" s="161"/>
      <c r="EP93" s="161"/>
      <c r="FL93" s="263"/>
      <c r="FM93" s="263"/>
      <c r="FN93" s="263"/>
      <c r="FO93" s="433"/>
      <c r="FP93" s="161"/>
      <c r="FQ93" s="161"/>
      <c r="FR93" s="430"/>
      <c r="FS93" s="643"/>
      <c r="FT93" s="639"/>
      <c r="FU93" s="670"/>
      <c r="FV93" s="667"/>
      <c r="FW93" s="670"/>
      <c r="FX93" s="667"/>
      <c r="FY93" s="751"/>
      <c r="FZ93" s="747"/>
      <c r="GA93" s="784"/>
      <c r="GB93" s="784"/>
      <c r="GC93" s="808"/>
      <c r="GD93" s="784"/>
      <c r="GE93" s="808"/>
    </row>
    <row r="94" spans="1:187" hidden="1">
      <c r="A94" s="161"/>
      <c r="B94" s="161" t="str">
        <f>B68</f>
        <v>Internet</v>
      </c>
      <c r="C94" s="161"/>
      <c r="D94" s="161"/>
      <c r="E94" s="161"/>
      <c r="F94" s="161"/>
      <c r="G94" s="161"/>
      <c r="H94" s="161"/>
      <c r="I94" s="161"/>
      <c r="J94" s="161"/>
      <c r="K94" s="161"/>
      <c r="L94" s="263"/>
      <c r="M94" s="263"/>
      <c r="N94" s="263"/>
      <c r="O94" s="263"/>
      <c r="P94" s="263"/>
      <c r="Q94" s="263"/>
      <c r="R94" s="263"/>
      <c r="S94" s="263"/>
      <c r="T94" s="263">
        <v>33</v>
      </c>
      <c r="U94" s="263">
        <v>69.099999999999994</v>
      </c>
      <c r="V94" s="263">
        <v>60.4</v>
      </c>
      <c r="W94" s="263">
        <v>60.4</v>
      </c>
      <c r="X94" s="263">
        <v>51.2</v>
      </c>
      <c r="Y94" s="263">
        <v>79.7</v>
      </c>
      <c r="Z94" s="263">
        <v>74.900000000000006</v>
      </c>
      <c r="AA94" s="263">
        <v>93.6</v>
      </c>
      <c r="AB94" s="263"/>
      <c r="AC94" s="263"/>
      <c r="AD94" s="263"/>
      <c r="AE94" s="263"/>
      <c r="AF94" s="263"/>
      <c r="AG94" s="263"/>
      <c r="AH94" s="263"/>
      <c r="AI94" s="263"/>
      <c r="AJ94" s="263"/>
      <c r="AK94" s="263"/>
      <c r="AL94" s="263"/>
      <c r="AM94" s="263"/>
      <c r="AN94" s="263"/>
      <c r="AO94" s="263"/>
      <c r="AP94" s="263"/>
      <c r="AQ94" s="263"/>
      <c r="AR94" s="263"/>
      <c r="AS94" s="263"/>
      <c r="AT94" s="263"/>
      <c r="AU94" s="263"/>
      <c r="AV94" s="263"/>
      <c r="AW94" s="263"/>
      <c r="AX94" s="263"/>
      <c r="AY94" s="263"/>
      <c r="AZ94" s="263"/>
      <c r="BA94" s="263"/>
      <c r="BB94" s="263"/>
      <c r="BC94" s="263"/>
      <c r="BD94" s="263"/>
      <c r="BE94" s="263"/>
      <c r="BF94" s="263"/>
      <c r="BG94" s="263"/>
      <c r="BH94" s="263"/>
      <c r="BI94" s="263"/>
      <c r="BJ94" s="263"/>
      <c r="BK94" s="263"/>
      <c r="BL94" s="263"/>
      <c r="BM94" s="263"/>
      <c r="BN94" s="263"/>
      <c r="BO94" s="263"/>
      <c r="BP94" s="263"/>
      <c r="BQ94" s="263"/>
      <c r="BR94" s="784"/>
      <c r="BS94" s="784"/>
      <c r="BT94" s="263"/>
      <c r="BU94" s="784"/>
      <c r="BV94" s="784"/>
      <c r="BW94" s="784"/>
      <c r="BX94" s="784"/>
      <c r="BY94" s="263"/>
      <c r="BZ94" s="263"/>
      <c r="CA94" s="264"/>
      <c r="CB94" s="264"/>
      <c r="CC94" s="264"/>
      <c r="CD94" s="264"/>
      <c r="CE94" s="264">
        <f t="shared" si="170"/>
        <v>0.55151515151515151</v>
      </c>
      <c r="CF94" s="264">
        <f t="shared" si="170"/>
        <v>0.15340086830680177</v>
      </c>
      <c r="CG94" s="264">
        <f t="shared" si="170"/>
        <v>0.24006622516556297</v>
      </c>
      <c r="CH94" s="264">
        <f t="shared" si="170"/>
        <v>0.54966887417218535</v>
      </c>
      <c r="CI94" s="264"/>
      <c r="CJ94" s="264"/>
      <c r="CK94" s="264"/>
      <c r="CL94" s="264"/>
      <c r="CM94" s="264"/>
      <c r="CN94" s="264"/>
      <c r="CO94" s="264"/>
      <c r="CP94" s="264"/>
      <c r="CQ94" s="264"/>
      <c r="CR94" s="264"/>
      <c r="CS94" s="264"/>
      <c r="CT94" s="264"/>
      <c r="CU94" s="264"/>
      <c r="CV94" s="161"/>
      <c r="CW94" s="161"/>
      <c r="CX94" s="161"/>
      <c r="CY94" s="161"/>
      <c r="CZ94" s="161"/>
      <c r="DA94" s="161"/>
      <c r="DB94" s="161"/>
      <c r="DC94" s="161"/>
      <c r="DD94" s="161"/>
      <c r="DE94" s="161"/>
      <c r="DF94" s="161"/>
      <c r="DG94" s="161"/>
      <c r="DH94" s="161"/>
      <c r="DI94" s="161"/>
      <c r="DJ94" s="161"/>
      <c r="DK94" s="177"/>
      <c r="DL94" s="177"/>
      <c r="DM94" s="177"/>
      <c r="DN94" s="177"/>
      <c r="DO94" s="177"/>
      <c r="DP94" s="177"/>
      <c r="DQ94" s="177"/>
      <c r="DR94" s="177"/>
      <c r="DS94" s="177"/>
      <c r="DT94" s="177"/>
      <c r="DU94" s="177"/>
      <c r="DV94" s="177"/>
      <c r="DW94" s="177"/>
      <c r="DX94" s="177"/>
      <c r="DY94" s="177"/>
      <c r="DZ94" s="177"/>
      <c r="EA94" s="177"/>
      <c r="EB94" s="808"/>
      <c r="EC94" s="808"/>
      <c r="ED94" s="808"/>
      <c r="EF94" s="161"/>
      <c r="EH94" s="161"/>
      <c r="EM94" s="161"/>
      <c r="EN94" s="161"/>
      <c r="EO94" s="161"/>
      <c r="EP94" s="161"/>
      <c r="FL94" s="263"/>
      <c r="FM94" s="263"/>
      <c r="FN94" s="263"/>
      <c r="FO94" s="433"/>
      <c r="FP94" s="161"/>
      <c r="FQ94" s="161"/>
      <c r="FR94" s="430"/>
      <c r="FS94" s="643"/>
      <c r="FT94" s="639"/>
      <c r="FU94" s="670"/>
      <c r="FV94" s="667"/>
      <c r="FW94" s="670"/>
      <c r="FX94" s="667"/>
      <c r="FY94" s="751"/>
      <c r="FZ94" s="747"/>
      <c r="GA94" s="784"/>
      <c r="GB94" s="784"/>
      <c r="GC94" s="808"/>
      <c r="GD94" s="784"/>
      <c r="GE94" s="808"/>
    </row>
    <row r="95" spans="1:187" hidden="1">
      <c r="A95" s="161"/>
      <c r="B95" s="855" t="str">
        <f>B69</f>
        <v>Voice</v>
      </c>
      <c r="C95" s="855"/>
      <c r="D95" s="855"/>
      <c r="E95" s="855"/>
      <c r="F95" s="855"/>
      <c r="G95" s="855"/>
      <c r="H95" s="855"/>
      <c r="I95" s="855"/>
      <c r="J95" s="855"/>
      <c r="K95" s="855"/>
      <c r="L95" s="870"/>
      <c r="M95" s="870"/>
      <c r="N95" s="870"/>
      <c r="O95" s="870"/>
      <c r="P95" s="870"/>
      <c r="Q95" s="870"/>
      <c r="R95" s="870"/>
      <c r="S95" s="870"/>
      <c r="T95" s="870">
        <v>28.4</v>
      </c>
      <c r="U95" s="870">
        <v>29.3</v>
      </c>
      <c r="V95" s="870">
        <v>31.9</v>
      </c>
      <c r="W95" s="870">
        <v>31.9</v>
      </c>
      <c r="X95" s="870">
        <v>29.3</v>
      </c>
      <c r="Y95" s="870">
        <v>34.5</v>
      </c>
      <c r="Z95" s="870">
        <v>38.1</v>
      </c>
      <c r="AA95" s="870">
        <v>42</v>
      </c>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784"/>
      <c r="BS95" s="784"/>
      <c r="BT95" s="263"/>
      <c r="BU95" s="784"/>
      <c r="BV95" s="784"/>
      <c r="BW95" s="784"/>
      <c r="BX95" s="784"/>
      <c r="BY95" s="263"/>
      <c r="BZ95" s="263"/>
      <c r="CA95" s="264"/>
      <c r="CB95" s="264"/>
      <c r="CC95" s="264"/>
      <c r="CD95" s="264"/>
      <c r="CE95" s="875">
        <f t="shared" si="170"/>
        <v>3.1690140845070491E-2</v>
      </c>
      <c r="CF95" s="875">
        <f t="shared" si="170"/>
        <v>0.1774744027303754</v>
      </c>
      <c r="CG95" s="875">
        <f t="shared" si="170"/>
        <v>0.19435736677116</v>
      </c>
      <c r="CH95" s="875">
        <f t="shared" si="170"/>
        <v>0.31661442006269591</v>
      </c>
      <c r="CI95" s="875"/>
      <c r="CJ95" s="875"/>
      <c r="CK95" s="875"/>
      <c r="CL95" s="875"/>
      <c r="CM95" s="875"/>
      <c r="CN95" s="264"/>
      <c r="CO95" s="264"/>
      <c r="CP95" s="264"/>
      <c r="CQ95" s="264"/>
      <c r="CR95" s="264"/>
      <c r="CS95" s="264"/>
      <c r="CT95" s="264"/>
      <c r="CU95" s="264"/>
      <c r="CV95" s="161"/>
      <c r="CW95" s="161"/>
      <c r="CX95" s="161"/>
      <c r="CY95" s="161"/>
      <c r="CZ95" s="161"/>
      <c r="DA95" s="161"/>
      <c r="DB95" s="161"/>
      <c r="DC95" s="161"/>
      <c r="DD95" s="161"/>
      <c r="DE95" s="161"/>
      <c r="DF95" s="161"/>
      <c r="DG95" s="161"/>
      <c r="DH95" s="161"/>
      <c r="DI95" s="161"/>
      <c r="DJ95" s="161"/>
      <c r="DK95" s="177"/>
      <c r="DL95" s="177"/>
      <c r="DM95" s="177"/>
      <c r="DN95" s="177"/>
      <c r="DO95" s="177"/>
      <c r="DP95" s="177"/>
      <c r="DQ95" s="177"/>
      <c r="DR95" s="177"/>
      <c r="DS95" s="177"/>
      <c r="DT95" s="177"/>
      <c r="DU95" s="177"/>
      <c r="DV95" s="177"/>
      <c r="DW95" s="177"/>
      <c r="DX95" s="177"/>
      <c r="DY95" s="177"/>
      <c r="DZ95" s="177"/>
      <c r="EA95" s="177"/>
      <c r="EB95" s="808"/>
      <c r="EC95" s="808"/>
      <c r="ED95" s="808"/>
      <c r="EF95" s="161"/>
      <c r="EH95" s="161"/>
      <c r="EM95" s="161"/>
      <c r="EN95" s="161"/>
      <c r="EO95" s="161"/>
      <c r="EP95" s="161"/>
      <c r="FL95" s="263"/>
      <c r="FM95" s="263"/>
      <c r="FN95" s="263"/>
      <c r="FO95" s="433"/>
      <c r="FP95" s="161"/>
      <c r="FQ95" s="161"/>
      <c r="FR95" s="430"/>
      <c r="FS95" s="643"/>
      <c r="FT95" s="639"/>
      <c r="FU95" s="670"/>
      <c r="FV95" s="667"/>
      <c r="FW95" s="670"/>
      <c r="FX95" s="667"/>
      <c r="FY95" s="751"/>
      <c r="FZ95" s="747"/>
      <c r="GA95" s="784"/>
      <c r="GB95" s="784"/>
      <c r="GC95" s="808"/>
      <c r="GD95" s="784"/>
      <c r="GE95" s="808"/>
    </row>
    <row r="96" spans="1:187" hidden="1">
      <c r="A96" s="161"/>
      <c r="B96" s="161" t="s">
        <v>470</v>
      </c>
      <c r="C96" s="161"/>
      <c r="D96" s="161"/>
      <c r="E96" s="161"/>
      <c r="F96" s="161"/>
      <c r="G96" s="161"/>
      <c r="H96" s="161"/>
      <c r="I96" s="161"/>
      <c r="J96" s="161"/>
      <c r="K96" s="161"/>
      <c r="L96" s="263"/>
      <c r="M96" s="263"/>
      <c r="N96" s="263"/>
      <c r="O96" s="263"/>
      <c r="P96" s="263"/>
      <c r="Q96" s="263"/>
      <c r="R96" s="263"/>
      <c r="S96" s="263"/>
      <c r="T96" s="263">
        <f t="shared" ref="T96:AA96" si="171">SUM(T93:T95)</f>
        <v>94.9</v>
      </c>
      <c r="U96" s="263">
        <f t="shared" si="171"/>
        <v>132.80000000000001</v>
      </c>
      <c r="V96" s="263">
        <f t="shared" si="171"/>
        <v>127.69999999999999</v>
      </c>
      <c r="W96" s="263">
        <f t="shared" si="171"/>
        <v>127.69999999999999</v>
      </c>
      <c r="X96" s="263">
        <f t="shared" si="171"/>
        <v>118.5</v>
      </c>
      <c r="Y96" s="263">
        <f t="shared" si="171"/>
        <v>153.5</v>
      </c>
      <c r="Z96" s="263">
        <f t="shared" si="171"/>
        <v>155.30000000000001</v>
      </c>
      <c r="AA96" s="263">
        <f t="shared" si="171"/>
        <v>179.2</v>
      </c>
      <c r="AB96" s="263"/>
      <c r="AC96" s="263"/>
      <c r="AD96" s="263"/>
      <c r="AE96" s="263"/>
      <c r="AF96" s="263"/>
      <c r="AG96" s="263"/>
      <c r="AH96" s="263"/>
      <c r="AI96" s="263"/>
      <c r="AJ96" s="263"/>
      <c r="AK96" s="263"/>
      <c r="AL96" s="263"/>
      <c r="AM96" s="263"/>
      <c r="AN96" s="263"/>
      <c r="AO96" s="263"/>
      <c r="AP96" s="263"/>
      <c r="AQ96" s="263"/>
      <c r="AR96" s="263"/>
      <c r="AS96" s="263"/>
      <c r="AT96" s="263"/>
      <c r="AU96" s="263"/>
      <c r="AV96" s="263"/>
      <c r="AW96" s="263"/>
      <c r="AX96" s="263"/>
      <c r="AY96" s="263"/>
      <c r="AZ96" s="263"/>
      <c r="BA96" s="263"/>
      <c r="BB96" s="263"/>
      <c r="BC96" s="263"/>
      <c r="BD96" s="263"/>
      <c r="BE96" s="263"/>
      <c r="BF96" s="263"/>
      <c r="BG96" s="263"/>
      <c r="BH96" s="263"/>
      <c r="BI96" s="263"/>
      <c r="BJ96" s="263"/>
      <c r="BK96" s="263"/>
      <c r="BL96" s="263"/>
      <c r="BM96" s="263"/>
      <c r="BN96" s="263"/>
      <c r="BO96" s="263"/>
      <c r="BP96" s="263"/>
      <c r="BQ96" s="263"/>
      <c r="BR96" s="784"/>
      <c r="BS96" s="784"/>
      <c r="BT96" s="263"/>
      <c r="BU96" s="784"/>
      <c r="BV96" s="784"/>
      <c r="BW96" s="784"/>
      <c r="BX96" s="784"/>
      <c r="BY96" s="263"/>
      <c r="BZ96" s="263"/>
      <c r="CA96" s="264"/>
      <c r="CB96" s="264"/>
      <c r="CC96" s="264"/>
      <c r="CD96" s="264"/>
      <c r="CE96" s="264">
        <f t="shared" si="170"/>
        <v>0.24868282402528963</v>
      </c>
      <c r="CF96" s="264">
        <f t="shared" si="170"/>
        <v>0.15587349397590344</v>
      </c>
      <c r="CG96" s="264">
        <f t="shared" si="170"/>
        <v>0.21613155833985931</v>
      </c>
      <c r="CH96" s="264">
        <f t="shared" si="170"/>
        <v>0.40328895849647606</v>
      </c>
      <c r="CI96" s="264"/>
      <c r="CJ96" s="264"/>
      <c r="CK96" s="264"/>
      <c r="CL96" s="264"/>
      <c r="CM96" s="264"/>
      <c r="CN96" s="264"/>
      <c r="CO96" s="264"/>
      <c r="CP96" s="264"/>
      <c r="CQ96" s="264"/>
      <c r="CR96" s="264"/>
      <c r="CS96" s="264"/>
      <c r="CT96" s="264"/>
      <c r="CU96" s="264"/>
      <c r="CV96" s="161"/>
      <c r="CW96" s="161"/>
      <c r="CX96" s="161"/>
      <c r="CY96" s="161"/>
      <c r="CZ96" s="161"/>
      <c r="DA96" s="161"/>
      <c r="DB96" s="161"/>
      <c r="DC96" s="161"/>
      <c r="DD96" s="161"/>
      <c r="DE96" s="161"/>
      <c r="DF96" s="161"/>
      <c r="DG96" s="161"/>
      <c r="DH96" s="161"/>
      <c r="DI96" s="161"/>
      <c r="DJ96" s="161"/>
      <c r="DK96" s="177"/>
      <c r="DL96" s="177"/>
      <c r="DM96" s="177"/>
      <c r="DN96" s="177"/>
      <c r="DO96" s="177"/>
      <c r="DP96" s="177"/>
      <c r="DQ96" s="177"/>
      <c r="DR96" s="177"/>
      <c r="DS96" s="177"/>
      <c r="DT96" s="177"/>
      <c r="DU96" s="177"/>
      <c r="DV96" s="177"/>
      <c r="DW96" s="177"/>
      <c r="DX96" s="177"/>
      <c r="DY96" s="177"/>
      <c r="DZ96" s="177"/>
      <c r="EA96" s="177"/>
      <c r="EB96" s="808"/>
      <c r="EC96" s="808"/>
      <c r="ED96" s="808"/>
      <c r="EF96" s="161"/>
      <c r="EH96" s="161"/>
      <c r="EM96" s="161"/>
      <c r="EN96" s="161"/>
      <c r="EO96" s="161"/>
      <c r="EP96" s="161"/>
      <c r="FL96" s="263"/>
      <c r="FM96" s="263"/>
      <c r="FN96" s="263"/>
      <c r="FO96" s="433"/>
      <c r="FP96" s="161"/>
      <c r="FQ96" s="161"/>
      <c r="FR96" s="430"/>
      <c r="FS96" s="643"/>
      <c r="FT96" s="639"/>
      <c r="FU96" s="670"/>
      <c r="FV96" s="667"/>
      <c r="FW96" s="670"/>
      <c r="FX96" s="667"/>
      <c r="FY96" s="751"/>
      <c r="FZ96" s="747"/>
      <c r="GA96" s="784"/>
      <c r="GB96" s="784"/>
      <c r="GC96" s="808"/>
      <c r="GD96" s="784"/>
      <c r="GE96" s="808"/>
    </row>
    <row r="97" spans="1:187" hidden="1">
      <c r="A97" s="161"/>
      <c r="B97" s="161"/>
      <c r="C97" s="161"/>
      <c r="D97" s="161"/>
      <c r="E97" s="161"/>
      <c r="F97" s="161"/>
      <c r="G97" s="161"/>
      <c r="H97" s="161"/>
      <c r="I97" s="161"/>
      <c r="J97" s="161"/>
      <c r="K97" s="161"/>
      <c r="L97" s="263"/>
      <c r="M97" s="263"/>
      <c r="N97" s="263"/>
      <c r="O97" s="263"/>
      <c r="P97" s="263"/>
      <c r="Q97" s="263"/>
      <c r="R97" s="263"/>
      <c r="S97" s="263"/>
      <c r="T97" s="263"/>
      <c r="U97" s="263"/>
      <c r="V97" s="263"/>
      <c r="W97" s="263"/>
      <c r="X97" s="263"/>
      <c r="Y97" s="263"/>
      <c r="Z97" s="263"/>
      <c r="AA97" s="263"/>
      <c r="AB97" s="263"/>
      <c r="AC97" s="263"/>
      <c r="AD97" s="263"/>
      <c r="AE97" s="263"/>
      <c r="AF97" s="263"/>
      <c r="AG97" s="263"/>
      <c r="AH97" s="263"/>
      <c r="AI97" s="263"/>
      <c r="AJ97" s="263"/>
      <c r="AK97" s="263"/>
      <c r="AL97" s="263"/>
      <c r="AM97" s="263"/>
      <c r="AN97" s="263"/>
      <c r="AO97" s="263"/>
      <c r="AP97" s="263"/>
      <c r="AQ97" s="263"/>
      <c r="AR97" s="263"/>
      <c r="AS97" s="263"/>
      <c r="AT97" s="263"/>
      <c r="AU97" s="263"/>
      <c r="AV97" s="263"/>
      <c r="AW97" s="263"/>
      <c r="AX97" s="263"/>
      <c r="AY97" s="263"/>
      <c r="AZ97" s="263"/>
      <c r="BA97" s="263"/>
      <c r="BB97" s="263"/>
      <c r="BC97" s="263"/>
      <c r="BD97" s="263"/>
      <c r="BE97" s="263"/>
      <c r="BF97" s="263"/>
      <c r="BG97" s="263"/>
      <c r="BH97" s="263"/>
      <c r="BI97" s="263"/>
      <c r="BJ97" s="263"/>
      <c r="BK97" s="263"/>
      <c r="BL97" s="263"/>
      <c r="BM97" s="263"/>
      <c r="BN97" s="263"/>
      <c r="BO97" s="263"/>
      <c r="BP97" s="263"/>
      <c r="BQ97" s="263"/>
      <c r="BR97" s="784"/>
      <c r="BS97" s="784"/>
      <c r="BT97" s="263"/>
      <c r="BU97" s="784"/>
      <c r="BV97" s="784"/>
      <c r="BW97" s="784"/>
      <c r="BX97" s="784"/>
      <c r="BY97" s="263"/>
      <c r="BZ97" s="263"/>
      <c r="CA97" s="264"/>
      <c r="CB97" s="264"/>
      <c r="CC97" s="264"/>
      <c r="CD97" s="264"/>
      <c r="CE97" s="264"/>
      <c r="CF97" s="264"/>
      <c r="CG97" s="264"/>
      <c r="CH97" s="264"/>
      <c r="CI97" s="264"/>
      <c r="CJ97" s="264"/>
      <c r="CK97" s="264"/>
      <c r="CL97" s="264"/>
      <c r="CM97" s="264"/>
      <c r="CN97" s="264"/>
      <c r="CO97" s="264"/>
      <c r="CP97" s="264"/>
      <c r="CQ97" s="264"/>
      <c r="CR97" s="264"/>
      <c r="CS97" s="264"/>
      <c r="CT97" s="264"/>
      <c r="CU97" s="264"/>
      <c r="CV97" s="161"/>
      <c r="CW97" s="161"/>
      <c r="CX97" s="161"/>
      <c r="CY97" s="161"/>
      <c r="CZ97" s="161"/>
      <c r="DA97" s="161"/>
      <c r="DB97" s="161"/>
      <c r="DC97" s="161"/>
      <c r="DD97" s="161"/>
      <c r="DE97" s="161"/>
      <c r="DF97" s="161"/>
      <c r="DG97" s="161"/>
      <c r="DH97" s="161"/>
      <c r="DI97" s="161"/>
      <c r="DJ97" s="161"/>
      <c r="DK97" s="177"/>
      <c r="DL97" s="177"/>
      <c r="DM97" s="177"/>
      <c r="DN97" s="177"/>
      <c r="DO97" s="177"/>
      <c r="DP97" s="177"/>
      <c r="DQ97" s="177"/>
      <c r="DR97" s="177"/>
      <c r="DS97" s="177"/>
      <c r="DT97" s="177"/>
      <c r="DU97" s="177"/>
      <c r="DV97" s="177"/>
      <c r="DW97" s="177"/>
      <c r="DX97" s="177"/>
      <c r="DY97" s="177"/>
      <c r="DZ97" s="177"/>
      <c r="EA97" s="177"/>
      <c r="EB97" s="808"/>
      <c r="EC97" s="808"/>
      <c r="ED97" s="808"/>
      <c r="EF97" s="161"/>
      <c r="EH97" s="161"/>
      <c r="EM97" s="161"/>
      <c r="EN97" s="161"/>
      <c r="EO97" s="161"/>
      <c r="EP97" s="161"/>
      <c r="FL97" s="263"/>
      <c r="FM97" s="263"/>
      <c r="FN97" s="263"/>
      <c r="FO97" s="433"/>
      <c r="FP97" s="161"/>
      <c r="FQ97" s="161"/>
      <c r="FR97" s="430"/>
      <c r="FS97" s="643"/>
      <c r="FT97" s="639"/>
      <c r="FU97" s="670"/>
      <c r="FV97" s="667"/>
      <c r="FW97" s="670"/>
      <c r="FX97" s="667"/>
      <c r="FY97" s="751"/>
      <c r="FZ97" s="747"/>
      <c r="GA97" s="784"/>
      <c r="GB97" s="784"/>
      <c r="GC97" s="808"/>
      <c r="GD97" s="784"/>
      <c r="GE97" s="808"/>
    </row>
    <row r="98" spans="1:187" hidden="1">
      <c r="A98" s="161"/>
      <c r="B98" s="161" t="s">
        <v>471</v>
      </c>
      <c r="C98" s="161"/>
      <c r="D98" s="161"/>
      <c r="E98" s="161"/>
      <c r="F98" s="161"/>
      <c r="G98" s="161"/>
      <c r="H98" s="161"/>
      <c r="I98" s="161"/>
      <c r="J98" s="161"/>
      <c r="K98" s="161"/>
      <c r="L98" s="263"/>
      <c r="M98" s="263"/>
      <c r="N98" s="263"/>
      <c r="O98" s="263"/>
      <c r="P98" s="263"/>
      <c r="Q98" s="263"/>
      <c r="R98" s="263"/>
      <c r="S98" s="263"/>
      <c r="T98" s="263"/>
      <c r="U98" s="263"/>
      <c r="V98" s="263"/>
      <c r="W98" s="263"/>
      <c r="X98" s="263"/>
      <c r="Y98" s="263"/>
      <c r="Z98" s="263"/>
      <c r="AA98" s="263"/>
      <c r="AB98" s="263"/>
      <c r="AC98" s="263"/>
      <c r="AD98" s="263"/>
      <c r="AE98" s="263"/>
      <c r="AF98" s="263"/>
      <c r="AG98" s="263"/>
      <c r="AH98" s="263"/>
      <c r="AI98" s="263"/>
      <c r="AJ98" s="263"/>
      <c r="AK98" s="263"/>
      <c r="AL98" s="263"/>
      <c r="AM98" s="263"/>
      <c r="AN98" s="263"/>
      <c r="AO98" s="263"/>
      <c r="AP98" s="263"/>
      <c r="AQ98" s="263"/>
      <c r="AR98" s="263"/>
      <c r="AS98" s="263"/>
      <c r="AT98" s="263"/>
      <c r="AU98" s="263"/>
      <c r="AV98" s="263"/>
      <c r="AW98" s="263"/>
      <c r="AX98" s="263"/>
      <c r="AY98" s="263"/>
      <c r="AZ98" s="263"/>
      <c r="BA98" s="263"/>
      <c r="BB98" s="263"/>
      <c r="BC98" s="263"/>
      <c r="BD98" s="263"/>
      <c r="BE98" s="263"/>
      <c r="BF98" s="263"/>
      <c r="BG98" s="263"/>
      <c r="BH98" s="263"/>
      <c r="BI98" s="263"/>
      <c r="BJ98" s="263"/>
      <c r="BK98" s="263"/>
      <c r="BL98" s="263"/>
      <c r="BM98" s="263"/>
      <c r="BN98" s="263"/>
      <c r="BO98" s="263"/>
      <c r="BP98" s="263"/>
      <c r="BQ98" s="263"/>
      <c r="BR98" s="784"/>
      <c r="BS98" s="784"/>
      <c r="BT98" s="263"/>
      <c r="BU98" s="784"/>
      <c r="BV98" s="784"/>
      <c r="BW98" s="784"/>
      <c r="BX98" s="784"/>
      <c r="BY98" s="263"/>
      <c r="BZ98" s="263"/>
      <c r="CA98" s="264"/>
      <c r="CB98" s="264"/>
      <c r="CC98" s="264"/>
      <c r="CD98" s="264"/>
      <c r="CE98" s="264"/>
      <c r="CF98" s="264"/>
      <c r="CG98" s="264"/>
      <c r="CH98" s="264"/>
      <c r="CI98" s="264"/>
      <c r="CJ98" s="264"/>
      <c r="CK98" s="264"/>
      <c r="CL98" s="264"/>
      <c r="CM98" s="264"/>
      <c r="CN98" s="264"/>
      <c r="CO98" s="264"/>
      <c r="CP98" s="264"/>
      <c r="CQ98" s="264"/>
      <c r="CR98" s="264"/>
      <c r="CS98" s="264"/>
      <c r="CT98" s="264"/>
      <c r="CU98" s="264"/>
      <c r="CV98" s="161"/>
      <c r="CW98" s="161"/>
      <c r="CX98" s="161"/>
      <c r="CY98" s="161"/>
      <c r="CZ98" s="161"/>
      <c r="DA98" s="161"/>
      <c r="DB98" s="161"/>
      <c r="DC98" s="161"/>
      <c r="DD98" s="161"/>
      <c r="DE98" s="161"/>
      <c r="DF98" s="161"/>
      <c r="DG98" s="161"/>
      <c r="DH98" s="161"/>
      <c r="DI98" s="161"/>
      <c r="DJ98" s="161"/>
      <c r="DK98" s="177"/>
      <c r="DL98" s="177"/>
      <c r="DM98" s="177"/>
      <c r="DN98" s="177"/>
      <c r="DO98" s="177"/>
      <c r="DP98" s="177"/>
      <c r="DQ98" s="177"/>
      <c r="DR98" s="177"/>
      <c r="DS98" s="177"/>
      <c r="DT98" s="177"/>
      <c r="DU98" s="177"/>
      <c r="DV98" s="177"/>
      <c r="DW98" s="177"/>
      <c r="DX98" s="177"/>
      <c r="DY98" s="177"/>
      <c r="DZ98" s="177"/>
      <c r="EA98" s="177"/>
      <c r="EB98" s="808"/>
      <c r="EC98" s="808"/>
      <c r="ED98" s="808"/>
      <c r="EF98" s="161"/>
      <c r="EH98" s="161"/>
      <c r="EM98" s="161"/>
      <c r="EN98" s="161"/>
      <c r="EO98" s="161"/>
      <c r="EP98" s="161"/>
      <c r="FL98" s="263"/>
      <c r="FM98" s="263"/>
      <c r="FN98" s="263"/>
      <c r="FO98" s="433"/>
      <c r="FP98" s="161"/>
      <c r="FQ98" s="161"/>
      <c r="FR98" s="430"/>
      <c r="FS98" s="643"/>
      <c r="FT98" s="639"/>
      <c r="FU98" s="670"/>
      <c r="FV98" s="667"/>
      <c r="FW98" s="670"/>
      <c r="FX98" s="667"/>
      <c r="FY98" s="751"/>
      <c r="FZ98" s="747"/>
      <c r="GA98" s="784"/>
      <c r="GB98" s="784"/>
      <c r="GC98" s="808"/>
      <c r="GD98" s="784"/>
      <c r="GE98" s="808"/>
    </row>
    <row r="99" spans="1:187" hidden="1">
      <c r="A99" s="161"/>
      <c r="B99" s="161" t="str">
        <f>B93</f>
        <v>Video</v>
      </c>
      <c r="C99" s="161"/>
      <c r="D99" s="161"/>
      <c r="E99" s="161"/>
      <c r="F99" s="161"/>
      <c r="G99" s="161"/>
      <c r="H99" s="161"/>
      <c r="I99" s="161"/>
      <c r="J99" s="161"/>
      <c r="K99" s="161"/>
      <c r="L99" s="263"/>
      <c r="M99" s="263"/>
      <c r="N99" s="263"/>
      <c r="O99" s="263"/>
      <c r="P99" s="263"/>
      <c r="Q99" s="263"/>
      <c r="R99" s="263"/>
      <c r="S99" s="263"/>
      <c r="T99" s="263">
        <f t="shared" ref="T99:AA101" si="172">T67-T93</f>
        <v>1410.7947999999999</v>
      </c>
      <c r="U99" s="263">
        <f t="shared" si="172"/>
        <v>1435.0493499999998</v>
      </c>
      <c r="V99" s="263">
        <f t="shared" si="172"/>
        <v>1437.8407499999998</v>
      </c>
      <c r="W99" s="263">
        <f t="shared" si="172"/>
        <v>1524.8495999999998</v>
      </c>
      <c r="X99" s="263">
        <f t="shared" si="172"/>
        <v>1490.60878</v>
      </c>
      <c r="Y99" s="263">
        <f t="shared" si="172"/>
        <v>1484.2767417000002</v>
      </c>
      <c r="Z99" s="263">
        <f t="shared" si="172"/>
        <v>1519.7</v>
      </c>
      <c r="AA99" s="263">
        <f t="shared" si="172"/>
        <v>1581.3000000000002</v>
      </c>
      <c r="AB99" s="263"/>
      <c r="AC99" s="263"/>
      <c r="AD99" s="263"/>
      <c r="AE99" s="263"/>
      <c r="AF99" s="263"/>
      <c r="AG99" s="263"/>
      <c r="AH99" s="263"/>
      <c r="AI99" s="263"/>
      <c r="AJ99" s="263"/>
      <c r="AK99" s="263"/>
      <c r="AL99" s="263"/>
      <c r="AM99" s="263"/>
      <c r="AN99" s="263"/>
      <c r="AO99" s="263"/>
      <c r="AP99" s="263"/>
      <c r="AQ99" s="263"/>
      <c r="AR99" s="263"/>
      <c r="AS99" s="263"/>
      <c r="AT99" s="263"/>
      <c r="AU99" s="263"/>
      <c r="AV99" s="263"/>
      <c r="AW99" s="263"/>
      <c r="AX99" s="263"/>
      <c r="AY99" s="263"/>
      <c r="AZ99" s="263"/>
      <c r="BA99" s="263"/>
      <c r="BB99" s="263"/>
      <c r="BC99" s="263"/>
      <c r="BD99" s="263"/>
      <c r="BE99" s="263"/>
      <c r="BF99" s="263"/>
      <c r="BG99" s="263"/>
      <c r="BH99" s="263"/>
      <c r="BI99" s="263"/>
      <c r="BJ99" s="263"/>
      <c r="BK99" s="263"/>
      <c r="BL99" s="263"/>
      <c r="BM99" s="263"/>
      <c r="BN99" s="263"/>
      <c r="BO99" s="263"/>
      <c r="BP99" s="263"/>
      <c r="BQ99" s="263"/>
      <c r="BR99" s="784"/>
      <c r="BS99" s="784"/>
      <c r="BT99" s="263"/>
      <c r="BU99" s="784"/>
      <c r="BV99" s="784"/>
      <c r="BW99" s="784"/>
      <c r="BX99" s="784"/>
      <c r="BY99" s="263"/>
      <c r="BZ99" s="263"/>
      <c r="CA99" s="264"/>
      <c r="CB99" s="264"/>
      <c r="CC99" s="264"/>
      <c r="CD99" s="264"/>
      <c r="CE99" s="264">
        <f t="shared" ref="CE99:CH102" si="173">X99/T99-1</f>
        <v>5.6573769622626946E-2</v>
      </c>
      <c r="CF99" s="264">
        <f t="shared" si="173"/>
        <v>3.4303622868440353E-2</v>
      </c>
      <c r="CG99" s="264">
        <f t="shared" si="173"/>
        <v>5.6932069841531652E-2</v>
      </c>
      <c r="CH99" s="264">
        <f t="shared" si="173"/>
        <v>3.702030678960111E-2</v>
      </c>
      <c r="CI99" s="264"/>
      <c r="CJ99" s="264"/>
      <c r="CK99" s="264"/>
      <c r="CL99" s="264"/>
      <c r="CM99" s="264"/>
      <c r="CN99" s="264"/>
      <c r="CO99" s="264"/>
      <c r="CP99" s="264"/>
      <c r="CQ99" s="264"/>
      <c r="CR99" s="264"/>
      <c r="CS99" s="264"/>
      <c r="CT99" s="264"/>
      <c r="CU99" s="264"/>
      <c r="CV99" s="161"/>
      <c r="CW99" s="161"/>
      <c r="CX99" s="161"/>
      <c r="CY99" s="161"/>
      <c r="CZ99" s="161"/>
      <c r="DA99" s="161"/>
      <c r="DB99" s="161"/>
      <c r="DC99" s="161"/>
      <c r="DD99" s="161"/>
      <c r="DE99" s="161"/>
      <c r="DF99" s="161"/>
      <c r="DG99" s="161"/>
      <c r="DH99" s="161"/>
      <c r="DI99" s="161"/>
      <c r="DJ99" s="161"/>
      <c r="DK99" s="177"/>
      <c r="DL99" s="177"/>
      <c r="DM99" s="177"/>
      <c r="DN99" s="177"/>
      <c r="DO99" s="177"/>
      <c r="DP99" s="177"/>
      <c r="DQ99" s="177"/>
      <c r="DR99" s="177"/>
      <c r="DS99" s="177"/>
      <c r="DT99" s="177"/>
      <c r="DU99" s="177"/>
      <c r="DV99" s="177"/>
      <c r="DW99" s="177"/>
      <c r="DX99" s="177"/>
      <c r="DY99" s="177"/>
      <c r="DZ99" s="177"/>
      <c r="EA99" s="177"/>
      <c r="EB99" s="808"/>
      <c r="EC99" s="808"/>
      <c r="ED99" s="808"/>
      <c r="EF99" s="161"/>
      <c r="EH99" s="161"/>
      <c r="EM99" s="161"/>
      <c r="EN99" s="161"/>
      <c r="EO99" s="161"/>
      <c r="EP99" s="161"/>
      <c r="FL99" s="263"/>
      <c r="FM99" s="263"/>
      <c r="FN99" s="263"/>
      <c r="FO99" s="433"/>
      <c r="FP99" s="161"/>
      <c r="FQ99" s="161"/>
      <c r="FR99" s="430"/>
      <c r="FS99" s="643"/>
      <c r="FT99" s="639"/>
      <c r="FU99" s="670"/>
      <c r="FV99" s="667"/>
      <c r="FW99" s="670"/>
      <c r="FX99" s="667"/>
      <c r="FY99" s="751"/>
      <c r="FZ99" s="747"/>
      <c r="GA99" s="784"/>
      <c r="GB99" s="784"/>
      <c r="GC99" s="808"/>
      <c r="GD99" s="784"/>
      <c r="GE99" s="808"/>
    </row>
    <row r="100" spans="1:187" hidden="1">
      <c r="A100" s="161"/>
      <c r="B100" s="161" t="str">
        <f>B94</f>
        <v>Internet</v>
      </c>
      <c r="C100" s="161"/>
      <c r="D100" s="161"/>
      <c r="E100" s="161"/>
      <c r="F100" s="161"/>
      <c r="G100" s="161"/>
      <c r="H100" s="161"/>
      <c r="I100" s="161"/>
      <c r="J100" s="161"/>
      <c r="K100" s="161"/>
      <c r="L100" s="263"/>
      <c r="M100" s="263"/>
      <c r="N100" s="263"/>
      <c r="O100" s="263"/>
      <c r="P100" s="263"/>
      <c r="Q100" s="263"/>
      <c r="R100" s="263"/>
      <c r="S100" s="263"/>
      <c r="T100" s="263">
        <f t="shared" si="172"/>
        <v>467.50274999999993</v>
      </c>
      <c r="U100" s="263">
        <f t="shared" si="172"/>
        <v>468.93949999999995</v>
      </c>
      <c r="V100" s="263">
        <f t="shared" si="172"/>
        <v>474.26480000000004</v>
      </c>
      <c r="W100" s="263">
        <f t="shared" si="172"/>
        <v>498.50945000000013</v>
      </c>
      <c r="X100" s="263">
        <f t="shared" si="172"/>
        <v>514.25244999999995</v>
      </c>
      <c r="Y100" s="263">
        <f t="shared" si="172"/>
        <v>540.61451499999998</v>
      </c>
      <c r="Z100" s="263">
        <f t="shared" si="172"/>
        <v>556.1</v>
      </c>
      <c r="AA100" s="263">
        <f t="shared" si="172"/>
        <v>602.19999999999993</v>
      </c>
      <c r="AB100" s="263"/>
      <c r="AC100" s="263"/>
      <c r="AD100" s="263"/>
      <c r="AE100" s="263"/>
      <c r="AF100" s="263"/>
      <c r="AG100" s="263"/>
      <c r="AH100" s="263"/>
      <c r="AI100" s="263"/>
      <c r="AJ100" s="263"/>
      <c r="AK100" s="263"/>
      <c r="AL100" s="263"/>
      <c r="AM100" s="263"/>
      <c r="AN100" s="263"/>
      <c r="AO100" s="263"/>
      <c r="AP100" s="263"/>
      <c r="AQ100" s="263"/>
      <c r="AR100" s="263"/>
      <c r="AS100" s="263"/>
      <c r="AT100" s="263"/>
      <c r="AU100" s="263"/>
      <c r="AV100" s="263"/>
      <c r="AW100" s="263"/>
      <c r="AX100" s="263"/>
      <c r="AY100" s="263"/>
      <c r="AZ100" s="263"/>
      <c r="BA100" s="263"/>
      <c r="BB100" s="263"/>
      <c r="BC100" s="263"/>
      <c r="BD100" s="263"/>
      <c r="BE100" s="263"/>
      <c r="BF100" s="263"/>
      <c r="BG100" s="263"/>
      <c r="BH100" s="263"/>
      <c r="BI100" s="263"/>
      <c r="BJ100" s="263"/>
      <c r="BK100" s="263"/>
      <c r="BL100" s="263"/>
      <c r="BM100" s="263"/>
      <c r="BN100" s="263"/>
      <c r="BO100" s="263"/>
      <c r="BP100" s="263"/>
      <c r="BQ100" s="263"/>
      <c r="BR100" s="784"/>
      <c r="BS100" s="784"/>
      <c r="BT100" s="263"/>
      <c r="BU100" s="784"/>
      <c r="BV100" s="784"/>
      <c r="BW100" s="784"/>
      <c r="BX100" s="784"/>
      <c r="BY100" s="263"/>
      <c r="BZ100" s="263"/>
      <c r="CA100" s="264"/>
      <c r="CB100" s="264"/>
      <c r="CC100" s="264"/>
      <c r="CD100" s="264"/>
      <c r="CE100" s="264">
        <f t="shared" si="173"/>
        <v>9.9998770060711006E-2</v>
      </c>
      <c r="CF100" s="264">
        <f t="shared" si="173"/>
        <v>0.15284490856496413</v>
      </c>
      <c r="CG100" s="264">
        <f t="shared" si="173"/>
        <v>0.17255170529206465</v>
      </c>
      <c r="CH100" s="264">
        <f t="shared" si="173"/>
        <v>0.20800117229472725</v>
      </c>
      <c r="CI100" s="264"/>
      <c r="CJ100" s="264"/>
      <c r="CK100" s="264"/>
      <c r="CL100" s="264"/>
      <c r="CM100" s="264"/>
      <c r="CN100" s="264"/>
      <c r="CO100" s="264"/>
      <c r="CP100" s="264"/>
      <c r="CQ100" s="264"/>
      <c r="CR100" s="264"/>
      <c r="CS100" s="264"/>
      <c r="CT100" s="264"/>
      <c r="CU100" s="264"/>
      <c r="CV100" s="161"/>
      <c r="CW100" s="161"/>
      <c r="CX100" s="161"/>
      <c r="CY100" s="161"/>
      <c r="CZ100" s="161"/>
      <c r="DA100" s="161"/>
      <c r="DB100" s="161"/>
      <c r="DC100" s="161"/>
      <c r="DD100" s="161"/>
      <c r="DE100" s="161"/>
      <c r="DF100" s="161"/>
      <c r="DG100" s="161"/>
      <c r="DH100" s="161"/>
      <c r="DI100" s="161"/>
      <c r="DJ100" s="161"/>
      <c r="DK100" s="177"/>
      <c r="DL100" s="177"/>
      <c r="DM100" s="177"/>
      <c r="DN100" s="177"/>
      <c r="DO100" s="177"/>
      <c r="DP100" s="177"/>
      <c r="DQ100" s="177"/>
      <c r="DR100" s="177"/>
      <c r="DS100" s="177"/>
      <c r="DT100" s="177"/>
      <c r="DU100" s="177"/>
      <c r="DV100" s="177"/>
      <c r="DW100" s="177"/>
      <c r="DX100" s="177"/>
      <c r="DY100" s="177"/>
      <c r="DZ100" s="177"/>
      <c r="EA100" s="177"/>
      <c r="EB100" s="808"/>
      <c r="EC100" s="808"/>
      <c r="ED100" s="808"/>
      <c r="EF100" s="161"/>
      <c r="EH100" s="161"/>
      <c r="EM100" s="161"/>
      <c r="EN100" s="161"/>
      <c r="EO100" s="161"/>
      <c r="EP100" s="161"/>
      <c r="FL100" s="263"/>
      <c r="FM100" s="263"/>
      <c r="FN100" s="263"/>
      <c r="FO100" s="433"/>
      <c r="FP100" s="161"/>
      <c r="FQ100" s="161"/>
      <c r="FR100" s="430"/>
      <c r="FS100" s="643"/>
      <c r="FT100" s="639"/>
      <c r="FU100" s="670"/>
      <c r="FV100" s="667"/>
      <c r="FW100" s="670"/>
      <c r="FX100" s="667"/>
      <c r="FY100" s="751"/>
      <c r="FZ100" s="747"/>
      <c r="GA100" s="784"/>
      <c r="GB100" s="784"/>
      <c r="GC100" s="808"/>
      <c r="GD100" s="784"/>
      <c r="GE100" s="808"/>
    </row>
    <row r="101" spans="1:187" hidden="1">
      <c r="A101" s="161"/>
      <c r="B101" s="855" t="str">
        <f>B95</f>
        <v>Voice</v>
      </c>
      <c r="C101" s="855"/>
      <c r="D101" s="855"/>
      <c r="E101" s="855"/>
      <c r="F101" s="855"/>
      <c r="G101" s="855"/>
      <c r="H101" s="855"/>
      <c r="I101" s="855"/>
      <c r="J101" s="855"/>
      <c r="K101" s="855"/>
      <c r="L101" s="870"/>
      <c r="M101" s="870"/>
      <c r="N101" s="870"/>
      <c r="O101" s="870"/>
      <c r="P101" s="870"/>
      <c r="Q101" s="870"/>
      <c r="R101" s="870"/>
      <c r="S101" s="870"/>
      <c r="T101" s="870">
        <f t="shared" si="172"/>
        <v>268.16740000000004</v>
      </c>
      <c r="U101" s="870">
        <f t="shared" si="172"/>
        <v>282.3304</v>
      </c>
      <c r="V101" s="870">
        <f t="shared" si="172"/>
        <v>279.04489999999998</v>
      </c>
      <c r="W101" s="870">
        <f t="shared" si="172"/>
        <v>277.57894999999996</v>
      </c>
      <c r="X101" s="870">
        <f t="shared" si="172"/>
        <v>271.38811854999994</v>
      </c>
      <c r="Y101" s="870">
        <f t="shared" si="172"/>
        <v>276.75991064999999</v>
      </c>
      <c r="Z101" s="870">
        <f t="shared" si="172"/>
        <v>287.89999999999998</v>
      </c>
      <c r="AA101" s="870">
        <f t="shared" si="172"/>
        <v>285.8</v>
      </c>
      <c r="AB101" s="263"/>
      <c r="AC101" s="263"/>
      <c r="AD101" s="263"/>
      <c r="AE101" s="263"/>
      <c r="AF101" s="263"/>
      <c r="AG101" s="263"/>
      <c r="AH101" s="263"/>
      <c r="AI101" s="263"/>
      <c r="AJ101" s="263"/>
      <c r="AK101" s="263"/>
      <c r="AL101" s="263"/>
      <c r="AM101" s="263"/>
      <c r="AN101" s="263"/>
      <c r="AO101" s="263"/>
      <c r="AP101" s="263"/>
      <c r="AQ101" s="263"/>
      <c r="AR101" s="263"/>
      <c r="AS101" s="263"/>
      <c r="AT101" s="263"/>
      <c r="AU101" s="263"/>
      <c r="AV101" s="263"/>
      <c r="AW101" s="263"/>
      <c r="AX101" s="263"/>
      <c r="AY101" s="263"/>
      <c r="AZ101" s="263"/>
      <c r="BA101" s="263"/>
      <c r="BB101" s="263"/>
      <c r="BC101" s="263"/>
      <c r="BD101" s="263"/>
      <c r="BE101" s="263"/>
      <c r="BF101" s="263"/>
      <c r="BG101" s="263"/>
      <c r="BH101" s="263"/>
      <c r="BI101" s="263"/>
      <c r="BJ101" s="263"/>
      <c r="BK101" s="263"/>
      <c r="BL101" s="263"/>
      <c r="BM101" s="263"/>
      <c r="BN101" s="263"/>
      <c r="BO101" s="263"/>
      <c r="BP101" s="263"/>
      <c r="BQ101" s="263"/>
      <c r="BR101" s="784"/>
      <c r="BS101" s="784"/>
      <c r="BT101" s="263"/>
      <c r="BU101" s="784"/>
      <c r="BV101" s="784"/>
      <c r="BW101" s="784"/>
      <c r="BX101" s="784"/>
      <c r="BY101" s="263"/>
      <c r="BZ101" s="263"/>
      <c r="CA101" s="264"/>
      <c r="CB101" s="264"/>
      <c r="CC101" s="264"/>
      <c r="CD101" s="264"/>
      <c r="CE101" s="875">
        <f t="shared" si="173"/>
        <v>1.2010104695797885E-2</v>
      </c>
      <c r="CF101" s="875">
        <f t="shared" si="173"/>
        <v>-1.9730391590845331E-2</v>
      </c>
      <c r="CG101" s="875">
        <f t="shared" si="173"/>
        <v>3.1733602728449828E-2</v>
      </c>
      <c r="CH101" s="875">
        <f t="shared" si="173"/>
        <v>2.9616979241401609E-2</v>
      </c>
      <c r="CI101" s="875"/>
      <c r="CJ101" s="875"/>
      <c r="CK101" s="875"/>
      <c r="CL101" s="875"/>
      <c r="CM101" s="875"/>
      <c r="CN101" s="264"/>
      <c r="CO101" s="264"/>
      <c r="CP101" s="264"/>
      <c r="CQ101" s="264"/>
      <c r="CR101" s="264"/>
      <c r="CS101" s="264"/>
      <c r="CT101" s="264"/>
      <c r="CU101" s="264"/>
      <c r="CV101" s="161"/>
      <c r="CW101" s="161"/>
      <c r="CX101" s="161"/>
      <c r="CY101" s="161"/>
      <c r="CZ101" s="161"/>
      <c r="DA101" s="161"/>
      <c r="DB101" s="161"/>
      <c r="DC101" s="161"/>
      <c r="DD101" s="161"/>
      <c r="DE101" s="161"/>
      <c r="DF101" s="161"/>
      <c r="DG101" s="161"/>
      <c r="DH101" s="161"/>
      <c r="DI101" s="161"/>
      <c r="DJ101" s="161"/>
      <c r="DK101" s="177"/>
      <c r="DL101" s="177"/>
      <c r="DM101" s="177"/>
      <c r="DN101" s="177"/>
      <c r="DO101" s="177"/>
      <c r="DP101" s="177"/>
      <c r="DQ101" s="177"/>
      <c r="DR101" s="177"/>
      <c r="DS101" s="177"/>
      <c r="DT101" s="177"/>
      <c r="DU101" s="177"/>
      <c r="DV101" s="177"/>
      <c r="DW101" s="177"/>
      <c r="DX101" s="177"/>
      <c r="DY101" s="177"/>
      <c r="DZ101" s="177"/>
      <c r="EA101" s="177"/>
      <c r="EB101" s="808"/>
      <c r="EC101" s="808"/>
      <c r="ED101" s="808"/>
      <c r="EF101" s="161"/>
      <c r="EH101" s="161"/>
      <c r="EM101" s="161"/>
      <c r="EN101" s="161"/>
      <c r="EO101" s="161"/>
      <c r="EP101" s="161"/>
      <c r="FL101" s="263"/>
      <c r="FM101" s="263"/>
      <c r="FN101" s="263"/>
      <c r="FO101" s="433"/>
      <c r="FP101" s="161"/>
      <c r="FQ101" s="161"/>
      <c r="FR101" s="430"/>
      <c r="FS101" s="643"/>
      <c r="FT101" s="639"/>
      <c r="FU101" s="670"/>
      <c r="FV101" s="667"/>
      <c r="FW101" s="670"/>
      <c r="FX101" s="667"/>
      <c r="FY101" s="751"/>
      <c r="FZ101" s="747"/>
      <c r="GA101" s="784"/>
      <c r="GB101" s="784"/>
      <c r="GC101" s="808"/>
      <c r="GD101" s="784"/>
      <c r="GE101" s="808"/>
    </row>
    <row r="102" spans="1:187" hidden="1">
      <c r="A102" s="161"/>
      <c r="B102" s="161" t="s">
        <v>471</v>
      </c>
      <c r="C102" s="161"/>
      <c r="D102" s="161"/>
      <c r="E102" s="161"/>
      <c r="F102" s="161"/>
      <c r="G102" s="161"/>
      <c r="H102" s="161"/>
      <c r="I102" s="161"/>
      <c r="J102" s="161"/>
      <c r="K102" s="161"/>
      <c r="L102" s="263"/>
      <c r="M102" s="263"/>
      <c r="N102" s="263"/>
      <c r="O102" s="263"/>
      <c r="P102" s="263"/>
      <c r="Q102" s="263"/>
      <c r="R102" s="263"/>
      <c r="S102" s="263"/>
      <c r="T102" s="263">
        <f t="shared" ref="T102:AA102" si="174">SUM(T99:T101)</f>
        <v>2146.4649499999996</v>
      </c>
      <c r="U102" s="263">
        <f t="shared" si="174"/>
        <v>2186.3192499999996</v>
      </c>
      <c r="V102" s="263">
        <f t="shared" si="174"/>
        <v>2191.1504499999996</v>
      </c>
      <c r="W102" s="263">
        <f t="shared" si="174"/>
        <v>2300.9380000000001</v>
      </c>
      <c r="X102" s="263">
        <f t="shared" si="174"/>
        <v>2276.2493485499999</v>
      </c>
      <c r="Y102" s="263">
        <f t="shared" si="174"/>
        <v>2301.6511673500004</v>
      </c>
      <c r="Z102" s="263">
        <f t="shared" si="174"/>
        <v>2363.7000000000003</v>
      </c>
      <c r="AA102" s="263">
        <f t="shared" si="174"/>
        <v>2469.3000000000002</v>
      </c>
      <c r="AB102" s="263"/>
      <c r="AC102" s="263"/>
      <c r="AD102" s="263"/>
      <c r="AE102" s="263"/>
      <c r="AF102" s="263"/>
      <c r="AG102" s="263"/>
      <c r="AH102" s="263"/>
      <c r="AI102" s="263"/>
      <c r="AJ102" s="263"/>
      <c r="AK102" s="263"/>
      <c r="AL102" s="263"/>
      <c r="AM102" s="263"/>
      <c r="AN102" s="263"/>
      <c r="AO102" s="263"/>
      <c r="AP102" s="263"/>
      <c r="AQ102" s="263"/>
      <c r="AR102" s="263"/>
      <c r="AS102" s="263"/>
      <c r="AT102" s="263"/>
      <c r="AU102" s="263"/>
      <c r="AV102" s="263"/>
      <c r="AW102" s="263"/>
      <c r="AX102" s="263"/>
      <c r="AY102" s="263"/>
      <c r="AZ102" s="263"/>
      <c r="BA102" s="263"/>
      <c r="BB102" s="263"/>
      <c r="BC102" s="263"/>
      <c r="BD102" s="263"/>
      <c r="BE102" s="263"/>
      <c r="BF102" s="263"/>
      <c r="BG102" s="263"/>
      <c r="BH102" s="263"/>
      <c r="BI102" s="263"/>
      <c r="BJ102" s="263"/>
      <c r="BK102" s="263"/>
      <c r="BL102" s="263"/>
      <c r="BM102" s="263"/>
      <c r="BN102" s="263"/>
      <c r="BO102" s="263"/>
      <c r="BP102" s="263"/>
      <c r="BQ102" s="263"/>
      <c r="BR102" s="784"/>
      <c r="BS102" s="784"/>
      <c r="BT102" s="263"/>
      <c r="BU102" s="784"/>
      <c r="BV102" s="784"/>
      <c r="BW102" s="784"/>
      <c r="BX102" s="784"/>
      <c r="BY102" s="263"/>
      <c r="BZ102" s="263"/>
      <c r="CA102" s="264"/>
      <c r="CB102" s="264"/>
      <c r="CC102" s="264"/>
      <c r="CD102" s="264"/>
      <c r="CE102" s="264">
        <f t="shared" si="173"/>
        <v>6.0464252421172926E-2</v>
      </c>
      <c r="CF102" s="264">
        <f t="shared" si="173"/>
        <v>5.2751636043089745E-2</v>
      </c>
      <c r="CG102" s="264">
        <f t="shared" si="173"/>
        <v>7.8748380787818872E-2</v>
      </c>
      <c r="CH102" s="264">
        <f t="shared" si="173"/>
        <v>7.3171028510981229E-2</v>
      </c>
      <c r="CI102" s="264"/>
      <c r="CJ102" s="264"/>
      <c r="CK102" s="264"/>
      <c r="CL102" s="264"/>
      <c r="CM102" s="264"/>
      <c r="CN102" s="264"/>
      <c r="CO102" s="264"/>
      <c r="CP102" s="264"/>
      <c r="CQ102" s="264"/>
      <c r="CR102" s="264"/>
      <c r="CS102" s="264"/>
      <c r="CT102" s="264"/>
      <c r="CU102" s="264"/>
      <c r="CV102" s="161"/>
      <c r="CW102" s="161"/>
      <c r="CX102" s="161"/>
      <c r="CY102" s="161"/>
      <c r="CZ102" s="161"/>
      <c r="DA102" s="161"/>
      <c r="DB102" s="161"/>
      <c r="DC102" s="161"/>
      <c r="DD102" s="161"/>
      <c r="DE102" s="161"/>
      <c r="DF102" s="161"/>
      <c r="DG102" s="161"/>
      <c r="DH102" s="161"/>
      <c r="DI102" s="161"/>
      <c r="DJ102" s="161"/>
      <c r="DK102" s="177"/>
      <c r="DL102" s="177"/>
      <c r="DM102" s="177"/>
      <c r="DN102" s="177"/>
      <c r="DO102" s="177"/>
      <c r="DP102" s="177"/>
      <c r="DQ102" s="177"/>
      <c r="DR102" s="177"/>
      <c r="DS102" s="177"/>
      <c r="DT102" s="177"/>
      <c r="DU102" s="177"/>
      <c r="DV102" s="177"/>
      <c r="DW102" s="177"/>
      <c r="DX102" s="177"/>
      <c r="DY102" s="177"/>
      <c r="DZ102" s="177"/>
      <c r="EA102" s="177"/>
      <c r="EB102" s="808"/>
      <c r="EC102" s="808"/>
      <c r="ED102" s="808"/>
      <c r="EF102" s="161"/>
      <c r="EH102" s="161"/>
      <c r="EM102" s="161"/>
      <c r="EN102" s="161"/>
      <c r="EO102" s="161"/>
      <c r="EP102" s="161"/>
      <c r="FL102" s="263"/>
      <c r="FM102" s="263"/>
      <c r="FN102" s="263"/>
      <c r="FO102" s="433"/>
      <c r="FP102" s="161"/>
      <c r="FQ102" s="161"/>
      <c r="FR102" s="430"/>
      <c r="FS102" s="643"/>
      <c r="FT102" s="639"/>
      <c r="FU102" s="670"/>
      <c r="FV102" s="667"/>
      <c r="FW102" s="670"/>
      <c r="FX102" s="667"/>
      <c r="FY102" s="751"/>
      <c r="FZ102" s="747"/>
      <c r="GA102" s="784"/>
      <c r="GB102" s="784"/>
      <c r="GC102" s="808"/>
      <c r="GD102" s="784"/>
      <c r="GE102" s="808"/>
    </row>
    <row r="103" spans="1:187">
      <c r="A103" s="161"/>
      <c r="AC103" s="263"/>
      <c r="AD103" s="263"/>
      <c r="AE103" s="263"/>
      <c r="AF103" s="263"/>
      <c r="AG103" s="263"/>
      <c r="AH103" s="263"/>
      <c r="AI103" s="263"/>
      <c r="AJ103" s="263"/>
      <c r="AK103" s="263"/>
      <c r="AL103" s="263"/>
      <c r="AM103" s="263"/>
      <c r="AN103" s="263"/>
      <c r="AO103" s="263"/>
      <c r="AP103" s="263"/>
      <c r="AQ103" s="263"/>
      <c r="AR103" s="263"/>
      <c r="AS103" s="263"/>
      <c r="AT103" s="263"/>
      <c r="AU103" s="263"/>
      <c r="AV103" s="263"/>
      <c r="AW103" s="263"/>
      <c r="AX103" s="263"/>
      <c r="AY103" s="263"/>
      <c r="AZ103" s="263"/>
      <c r="BA103" s="263"/>
      <c r="BB103" s="263"/>
      <c r="BC103" s="263"/>
      <c r="BD103" s="263"/>
      <c r="BE103" s="263"/>
      <c r="BF103" s="263"/>
      <c r="BG103" s="263"/>
      <c r="BH103" s="263"/>
      <c r="BI103" s="263"/>
      <c r="BJ103" s="263"/>
      <c r="BK103" s="263"/>
      <c r="BL103" s="263"/>
      <c r="BM103" s="263"/>
      <c r="BN103" s="263"/>
      <c r="BO103" s="263"/>
      <c r="BP103" s="263"/>
      <c r="BQ103" s="263"/>
      <c r="BR103" s="263"/>
      <c r="BS103" s="263"/>
      <c r="BT103" s="263"/>
      <c r="BU103" s="784"/>
      <c r="BV103" s="784"/>
      <c r="BW103" s="784"/>
      <c r="BX103" s="784"/>
      <c r="BY103" s="263"/>
      <c r="BZ103" s="263"/>
      <c r="CA103" s="264"/>
      <c r="CB103" s="264"/>
      <c r="CC103" s="264"/>
      <c r="CD103" s="264"/>
      <c r="CE103" s="264"/>
      <c r="CF103" s="264"/>
      <c r="CG103" s="264"/>
      <c r="CH103" s="264"/>
      <c r="CI103" s="264"/>
      <c r="CJ103" s="264"/>
      <c r="CK103" s="264"/>
      <c r="CL103" s="264"/>
      <c r="CM103" s="264"/>
      <c r="CN103" s="264"/>
      <c r="CO103" s="264"/>
      <c r="CP103" s="264"/>
      <c r="CQ103" s="264"/>
      <c r="CR103" s="264"/>
      <c r="CS103" s="264"/>
      <c r="CT103" s="264"/>
      <c r="CU103" s="264"/>
      <c r="CV103" s="161"/>
      <c r="CW103" s="161"/>
      <c r="CX103" s="161"/>
      <c r="CY103" s="161"/>
      <c r="CZ103" s="161"/>
      <c r="DA103" s="161"/>
      <c r="DB103" s="161"/>
      <c r="DC103" s="161"/>
      <c r="DD103" s="161"/>
      <c r="DE103" s="161"/>
      <c r="DF103" s="161"/>
      <c r="DG103" s="161"/>
      <c r="DH103" s="161"/>
      <c r="DI103" s="161"/>
      <c r="DJ103" s="161"/>
      <c r="DK103" s="177"/>
      <c r="DL103" s="177"/>
      <c r="DM103" s="177"/>
      <c r="DN103" s="177"/>
      <c r="DO103" s="177"/>
      <c r="DP103" s="177"/>
      <c r="DQ103" s="177"/>
      <c r="DR103" s="177"/>
      <c r="DS103" s="177"/>
      <c r="DT103" s="177"/>
      <c r="DU103" s="177"/>
      <c r="DV103" s="177"/>
      <c r="DW103" s="177"/>
      <c r="DX103" s="177"/>
      <c r="DY103" s="177"/>
      <c r="DZ103" s="177"/>
      <c r="EA103" s="177"/>
      <c r="EB103" s="808"/>
      <c r="EC103" s="808"/>
      <c r="ED103" s="808"/>
      <c r="EF103" s="161"/>
      <c r="EH103" s="161"/>
      <c r="EM103" s="161"/>
      <c r="EN103" s="161"/>
      <c r="EO103" s="161"/>
      <c r="EP103" s="161"/>
      <c r="FL103" s="263"/>
      <c r="FM103" s="263"/>
      <c r="FN103" s="263"/>
      <c r="FO103" s="433"/>
      <c r="FP103" s="161"/>
      <c r="FQ103" s="161"/>
      <c r="FR103" s="430"/>
      <c r="FS103" s="643"/>
      <c r="FT103" s="639"/>
      <c r="FU103" s="670"/>
      <c r="FV103" s="667"/>
      <c r="FW103" s="670"/>
      <c r="FX103" s="667"/>
      <c r="FY103" s="751"/>
      <c r="FZ103" s="747"/>
      <c r="GA103" s="784"/>
      <c r="GB103" s="784"/>
      <c r="GC103" s="808"/>
      <c r="GD103" s="784"/>
      <c r="GE103" s="808"/>
    </row>
    <row r="104" spans="1:187">
      <c r="A104" s="161"/>
      <c r="B104" s="268" t="s">
        <v>472</v>
      </c>
      <c r="C104" s="163"/>
      <c r="D104" s="163"/>
      <c r="E104" s="163"/>
      <c r="F104" s="163"/>
      <c r="G104" s="163"/>
      <c r="H104" s="163"/>
      <c r="I104" s="163"/>
      <c r="J104" s="163"/>
      <c r="K104" s="163"/>
      <c r="L104" s="294"/>
      <c r="M104" s="163"/>
      <c r="N104" s="163"/>
      <c r="O104" s="163"/>
      <c r="P104" s="294"/>
      <c r="Q104" s="163"/>
      <c r="R104" s="163"/>
      <c r="S104" s="163"/>
      <c r="T104" s="294">
        <f t="shared" ref="T104:AR104" si="175">T72-T77-T79-T80</f>
        <v>2305.1999999999998</v>
      </c>
      <c r="U104" s="294">
        <f t="shared" si="175"/>
        <v>2348.1999999999998</v>
      </c>
      <c r="V104" s="294">
        <f t="shared" si="175"/>
        <v>2367.1</v>
      </c>
      <c r="W104" s="294">
        <f t="shared" si="175"/>
        <v>2503.6379999999999</v>
      </c>
      <c r="X104" s="294">
        <f t="shared" si="175"/>
        <v>2482.4</v>
      </c>
      <c r="Y104" s="294">
        <f t="shared" si="175"/>
        <v>2554.3249999999998</v>
      </c>
      <c r="Z104" s="294">
        <f t="shared" si="175"/>
        <v>2606</v>
      </c>
      <c r="AA104" s="294">
        <f t="shared" si="175"/>
        <v>2745.7530000000002</v>
      </c>
      <c r="AB104" s="294">
        <f t="shared" si="175"/>
        <v>2909.4</v>
      </c>
      <c r="AC104" s="294">
        <f t="shared" si="175"/>
        <v>2921</v>
      </c>
      <c r="AD104" s="294">
        <f t="shared" si="175"/>
        <v>3061</v>
      </c>
      <c r="AE104" s="294">
        <f t="shared" si="175"/>
        <v>3389.6260000000007</v>
      </c>
      <c r="AF104" s="294">
        <f t="shared" si="175"/>
        <v>3529.7890000000002</v>
      </c>
      <c r="AG104" s="294">
        <f t="shared" si="175"/>
        <v>3630.5670000000005</v>
      </c>
      <c r="AH104" s="294">
        <f t="shared" si="175"/>
        <v>3619.3</v>
      </c>
      <c r="AI104" s="294">
        <f t="shared" si="175"/>
        <v>3708.1509999999998</v>
      </c>
      <c r="AJ104" s="294">
        <f t="shared" si="175"/>
        <v>3746.0320000000006</v>
      </c>
      <c r="AK104" s="294">
        <f t="shared" si="175"/>
        <v>3732.3820000000001</v>
      </c>
      <c r="AL104" s="294">
        <f t="shared" si="175"/>
        <v>3836.9519999999993</v>
      </c>
      <c r="AM104" s="294">
        <f t="shared" si="175"/>
        <v>4024.799</v>
      </c>
      <c r="AN104" s="294">
        <f t="shared" si="175"/>
        <v>4248.8999999999996</v>
      </c>
      <c r="AO104" s="294">
        <f t="shared" si="175"/>
        <v>4381.9839999999995</v>
      </c>
      <c r="AP104" s="294">
        <f t="shared" si="175"/>
        <v>4386.9660000000003</v>
      </c>
      <c r="AQ104" s="294">
        <f t="shared" si="175"/>
        <v>4518.5969999999998</v>
      </c>
      <c r="AR104" s="296">
        <f t="shared" si="175"/>
        <v>4642</v>
      </c>
      <c r="AS104" s="296">
        <v>4886.9570000000003</v>
      </c>
      <c r="AT104" s="296">
        <v>4800</v>
      </c>
      <c r="AU104" s="296">
        <v>4854.9830000000002</v>
      </c>
      <c r="AV104" s="296">
        <v>5010.5150000000003</v>
      </c>
      <c r="AW104" s="296">
        <v>4952.9610000000002</v>
      </c>
      <c r="AX104" s="296">
        <v>5123.9129999999996</v>
      </c>
      <c r="AY104" s="296">
        <v>5267.9489999999996</v>
      </c>
      <c r="AZ104" s="296">
        <v>5458.9</v>
      </c>
      <c r="BA104" s="296">
        <v>5544</v>
      </c>
      <c r="BB104" s="296">
        <v>5624.4920000000002</v>
      </c>
      <c r="BC104" s="296">
        <v>5912.8119999999999</v>
      </c>
      <c r="BD104" s="296">
        <v>6022.0550000000003</v>
      </c>
      <c r="BE104" s="296">
        <v>6104.3189999999995</v>
      </c>
      <c r="BF104" s="296">
        <v>6133.61</v>
      </c>
      <c r="BG104" s="296">
        <v>6308</v>
      </c>
      <c r="BH104" s="296">
        <v>6516.4530000000004</v>
      </c>
      <c r="BI104" s="296">
        <v>6717.518</v>
      </c>
      <c r="BJ104" s="296">
        <v>6907.5460000000003</v>
      </c>
      <c r="BK104" s="296">
        <v>7167.9380000000001</v>
      </c>
      <c r="BL104" s="296">
        <v>7330.2929999999997</v>
      </c>
      <c r="BM104" s="296">
        <v>7450.0069999999996</v>
      </c>
      <c r="BN104" s="296">
        <v>7590.4260000000004</v>
      </c>
      <c r="BO104" s="296">
        <v>7956.1660000000002</v>
      </c>
      <c r="BP104" s="294">
        <f>BP72-BP77-BP79-BP80</f>
        <v>7926.828199999999</v>
      </c>
      <c r="BQ104" s="294"/>
      <c r="BR104" s="294"/>
      <c r="BS104" s="294"/>
      <c r="BT104" s="294"/>
      <c r="BU104" s="792"/>
      <c r="BV104" s="792"/>
      <c r="BW104" s="792"/>
      <c r="BX104" s="792">
        <f>BX72-BX77-BX79-BX80</f>
        <v>37804.064680000003</v>
      </c>
      <c r="BY104" s="294"/>
      <c r="BZ104" s="294"/>
      <c r="CA104" s="264"/>
      <c r="CB104" s="264"/>
      <c r="CC104" s="264"/>
      <c r="CD104" s="264"/>
      <c r="CE104" s="264"/>
      <c r="CF104" s="264"/>
      <c r="CG104" s="264"/>
      <c r="CH104" s="264"/>
      <c r="CI104" s="285">
        <f t="shared" ref="CI104:EA104" si="176">AB104/X104-1</f>
        <v>0.17201095713825332</v>
      </c>
      <c r="CJ104" s="285">
        <f t="shared" si="176"/>
        <v>0.14355064449512112</v>
      </c>
      <c r="CK104" s="285">
        <f t="shared" si="176"/>
        <v>0.17459708365310811</v>
      </c>
      <c r="CL104" s="285">
        <f t="shared" si="176"/>
        <v>0.23449778621747863</v>
      </c>
      <c r="CM104" s="285">
        <f t="shared" si="176"/>
        <v>0.21323606241836801</v>
      </c>
      <c r="CN104" s="285">
        <f t="shared" si="176"/>
        <v>0.24291920575145509</v>
      </c>
      <c r="CO104" s="285">
        <f t="shared" si="176"/>
        <v>0.18239137536752703</v>
      </c>
      <c r="CP104" s="285">
        <f t="shared" si="176"/>
        <v>9.397054424293394E-2</v>
      </c>
      <c r="CQ104" s="284">
        <f t="shared" si="176"/>
        <v>6.1262302080945963E-2</v>
      </c>
      <c r="CR104" s="284">
        <f t="shared" si="176"/>
        <v>2.8043828966660023E-2</v>
      </c>
      <c r="CS104" s="284">
        <f t="shared" si="176"/>
        <v>6.0136490481584648E-2</v>
      </c>
      <c r="CT104" s="284">
        <f t="shared" si="176"/>
        <v>8.5392423339826218E-2</v>
      </c>
      <c r="CU104" s="284">
        <f t="shared" si="176"/>
        <v>0.13424017733964866</v>
      </c>
      <c r="CV104" s="284">
        <f t="shared" si="176"/>
        <v>0.17404488608079216</v>
      </c>
      <c r="CW104" s="284">
        <f t="shared" si="176"/>
        <v>0.14334659385887583</v>
      </c>
      <c r="CX104" s="284">
        <f t="shared" si="176"/>
        <v>0.12268885974181565</v>
      </c>
      <c r="CY104" s="284">
        <f t="shared" si="176"/>
        <v>9.2518063498788106E-2</v>
      </c>
      <c r="CZ104" s="284">
        <f t="shared" si="176"/>
        <v>0.11523843993953453</v>
      </c>
      <c r="DA104" s="284">
        <f t="shared" si="176"/>
        <v>9.4150262390909623E-2</v>
      </c>
      <c r="DB104" s="284">
        <f t="shared" si="176"/>
        <v>7.4444788946657736E-2</v>
      </c>
      <c r="DC104" s="284">
        <f t="shared" si="176"/>
        <v>7.9387117621714909E-2</v>
      </c>
      <c r="DD104" s="284">
        <f t="shared" si="176"/>
        <v>1.350615526185317E-2</v>
      </c>
      <c r="DE104" s="284">
        <f t="shared" si="176"/>
        <v>6.7481874999999913E-2</v>
      </c>
      <c r="DF104" s="284">
        <f t="shared" si="176"/>
        <v>8.5060236050259919E-2</v>
      </c>
      <c r="DG104" s="284">
        <f t="shared" si="176"/>
        <v>8.9488805042994501E-2</v>
      </c>
      <c r="DH104" s="284">
        <f t="shared" si="176"/>
        <v>0.11933043688411837</v>
      </c>
      <c r="DI104" s="284">
        <f t="shared" si="176"/>
        <v>9.7694672021168438E-2</v>
      </c>
      <c r="DJ104" s="284">
        <f t="shared" si="176"/>
        <v>0.12241253664376783</v>
      </c>
      <c r="DK104" s="804">
        <f t="shared" si="176"/>
        <v>0.10316272509113578</v>
      </c>
      <c r="DL104" s="804">
        <f t="shared" si="176"/>
        <v>0.10106764069264051</v>
      </c>
      <c r="DM104" s="804">
        <f t="shared" si="176"/>
        <v>9.0518041451565612E-2</v>
      </c>
      <c r="DN104" s="804">
        <f t="shared" si="176"/>
        <v>6.6835881134052588E-2</v>
      </c>
      <c r="DO104" s="804">
        <f t="shared" si="176"/>
        <v>8.2097888511479811E-2</v>
      </c>
      <c r="DP104" s="804">
        <f t="shared" si="176"/>
        <v>0.10045330199814262</v>
      </c>
      <c r="DQ104" s="804">
        <f t="shared" si="176"/>
        <v>0.12617952559748669</v>
      </c>
      <c r="DR104" s="804">
        <f t="shared" si="176"/>
        <v>0.1363249841471148</v>
      </c>
      <c r="DS104" s="804">
        <f t="shared" si="176"/>
        <v>0.12489002836358964</v>
      </c>
      <c r="DT104" s="804">
        <f t="shared" si="176"/>
        <v>0.10904161328633566</v>
      </c>
      <c r="DU104" s="804">
        <f t="shared" si="176"/>
        <v>9.8860000353236943E-2</v>
      </c>
      <c r="DV104" s="804">
        <f t="shared" si="176"/>
        <v>0.10996579490503411</v>
      </c>
      <c r="DW104" s="804">
        <f t="shared" si="176"/>
        <v>8.1379448270348709E-2</v>
      </c>
      <c r="DX104" s="804">
        <f t="shared" si="176"/>
        <v>-1</v>
      </c>
      <c r="DY104" s="804">
        <f t="shared" si="176"/>
        <v>-1</v>
      </c>
      <c r="DZ104" s="804">
        <f t="shared" si="176"/>
        <v>-1</v>
      </c>
      <c r="EA104" s="804">
        <f t="shared" si="176"/>
        <v>-1</v>
      </c>
      <c r="EB104" s="811"/>
      <c r="EC104" s="811"/>
      <c r="ED104" s="811"/>
      <c r="EF104" s="665"/>
      <c r="EH104" s="284">
        <f>BP104/BL104-1</f>
        <v>8.1379448270348709E-2</v>
      </c>
      <c r="EM104" s="161"/>
      <c r="EN104" s="161"/>
      <c r="EO104" s="161"/>
      <c r="EP104" s="161"/>
      <c r="FL104" s="294">
        <v>6466.2049149999993</v>
      </c>
      <c r="FM104" s="294">
        <v>6661.3286689999995</v>
      </c>
      <c r="FN104" s="294">
        <v>6892.1370120000001</v>
      </c>
      <c r="FO104" s="441">
        <v>7038.8037108040735</v>
      </c>
      <c r="FP104" s="284">
        <v>9.1248453594905632E-2</v>
      </c>
      <c r="FQ104" s="284">
        <v>0.12366730392052983</v>
      </c>
      <c r="FR104" s="443">
        <v>0.11585347349462172</v>
      </c>
      <c r="FS104" s="653">
        <v>7505</v>
      </c>
      <c r="FT104" s="655">
        <v>0.11722811907612307</v>
      </c>
      <c r="FU104" s="682">
        <v>7625</v>
      </c>
      <c r="FV104" s="684">
        <v>0.10386525113260192</v>
      </c>
      <c r="FW104" s="682">
        <v>7917.0327205285384</v>
      </c>
      <c r="FX104" s="684">
        <v>0.10450630579234055</v>
      </c>
      <c r="FY104" s="760">
        <v>8110.2887000000019</v>
      </c>
      <c r="FZ104" s="771">
        <v>0.1064071654434553</v>
      </c>
      <c r="GA104" s="792">
        <v>8121.0547200000001</v>
      </c>
      <c r="GB104" s="792">
        <v>8277.6184450000001</v>
      </c>
      <c r="GC104" s="811">
        <v>9.0534107703572841E-2</v>
      </c>
      <c r="GD104" s="792">
        <v>8599.6395880000018</v>
      </c>
      <c r="GE104" s="811">
        <v>8.0877345696407144E-2</v>
      </c>
    </row>
    <row r="105" spans="1:187" hidden="1">
      <c r="A105" s="161"/>
      <c r="B105" s="267" t="s">
        <v>170</v>
      </c>
      <c r="C105" s="161"/>
      <c r="D105" s="161"/>
      <c r="E105" s="161"/>
      <c r="F105" s="161"/>
      <c r="G105" s="161"/>
      <c r="H105" s="161"/>
      <c r="I105" s="161"/>
      <c r="J105" s="161"/>
      <c r="K105" s="161"/>
      <c r="L105" s="263"/>
      <c r="M105" s="161"/>
      <c r="N105" s="161"/>
      <c r="O105" s="161"/>
      <c r="P105" s="263"/>
      <c r="Q105" s="161"/>
      <c r="R105" s="161"/>
      <c r="S105" s="161"/>
      <c r="T105" s="263">
        <f t="shared" ref="T105:BO105" si="177">T67+T68+T69+T70+T76</f>
        <v>2305.1999999999998</v>
      </c>
      <c r="U105" s="263">
        <f t="shared" si="177"/>
        <v>2348.1999999999998</v>
      </c>
      <c r="V105" s="263">
        <f t="shared" si="177"/>
        <v>2367.1</v>
      </c>
      <c r="W105" s="263">
        <f t="shared" si="177"/>
        <v>2503.1379999999999</v>
      </c>
      <c r="X105" s="263">
        <f t="shared" si="177"/>
        <v>2482.4000000000005</v>
      </c>
      <c r="Y105" s="263">
        <f t="shared" si="177"/>
        <v>2554.3249999999998</v>
      </c>
      <c r="Z105" s="263">
        <f t="shared" si="177"/>
        <v>2606</v>
      </c>
      <c r="AA105" s="263">
        <f t="shared" si="177"/>
        <v>2745.7530000000002</v>
      </c>
      <c r="AB105" s="263">
        <f t="shared" si="177"/>
        <v>2909.4</v>
      </c>
      <c r="AC105" s="263">
        <f t="shared" si="177"/>
        <v>2920.9999999999995</v>
      </c>
      <c r="AD105" s="263">
        <f t="shared" si="177"/>
        <v>3061</v>
      </c>
      <c r="AE105" s="263">
        <f t="shared" si="177"/>
        <v>3389.6260000000007</v>
      </c>
      <c r="AF105" s="263">
        <f t="shared" si="177"/>
        <v>3529.7890000000002</v>
      </c>
      <c r="AG105" s="263">
        <f t="shared" si="177"/>
        <v>3630.5670000000005</v>
      </c>
      <c r="AH105" s="263">
        <f t="shared" si="177"/>
        <v>3619.3</v>
      </c>
      <c r="AI105" s="263">
        <f t="shared" si="177"/>
        <v>3708.1509999999998</v>
      </c>
      <c r="AJ105" s="263">
        <f t="shared" si="177"/>
        <v>3746.0320000000011</v>
      </c>
      <c r="AK105" s="263">
        <f t="shared" si="177"/>
        <v>3732.3820000000001</v>
      </c>
      <c r="AL105" s="263">
        <f t="shared" si="177"/>
        <v>3836.9519999999993</v>
      </c>
      <c r="AM105" s="263">
        <f t="shared" si="177"/>
        <v>4024.799</v>
      </c>
      <c r="AN105" s="263">
        <f t="shared" si="177"/>
        <v>4248.8999999999996</v>
      </c>
      <c r="AO105" s="263">
        <f t="shared" si="177"/>
        <v>4381.9839999999995</v>
      </c>
      <c r="AP105" s="263">
        <f t="shared" si="177"/>
        <v>4386.9660000000013</v>
      </c>
      <c r="AQ105" s="263">
        <f t="shared" si="177"/>
        <v>4518.5969999999998</v>
      </c>
      <c r="AR105" s="263">
        <f t="shared" si="177"/>
        <v>4641.9999999999991</v>
      </c>
      <c r="AS105" s="263">
        <f t="shared" si="177"/>
        <v>4886.9570000000003</v>
      </c>
      <c r="AT105" s="263">
        <f t="shared" si="177"/>
        <v>4800</v>
      </c>
      <c r="AU105" s="263">
        <f t="shared" si="177"/>
        <v>4854.9830000000002</v>
      </c>
      <c r="AV105" s="263">
        <f t="shared" si="177"/>
        <v>5010.5150000000003</v>
      </c>
      <c r="AW105" s="263">
        <f t="shared" si="177"/>
        <v>4952.9609999999993</v>
      </c>
      <c r="AX105" s="263">
        <f t="shared" si="177"/>
        <v>5123.9129999999996</v>
      </c>
      <c r="AY105" s="263">
        <f t="shared" si="177"/>
        <v>5267.9489999999987</v>
      </c>
      <c r="AZ105" s="263">
        <f t="shared" si="177"/>
        <v>5458.9</v>
      </c>
      <c r="BA105" s="263">
        <f t="shared" si="177"/>
        <v>5544</v>
      </c>
      <c r="BB105" s="263">
        <f t="shared" si="177"/>
        <v>5624.4919999999993</v>
      </c>
      <c r="BC105" s="263">
        <f t="shared" si="177"/>
        <v>5912.8119999999999</v>
      </c>
      <c r="BD105" s="263">
        <f t="shared" si="177"/>
        <v>6022.0550000000003</v>
      </c>
      <c r="BE105" s="263">
        <f t="shared" si="177"/>
        <v>6104.3189999999995</v>
      </c>
      <c r="BF105" s="263">
        <f t="shared" si="177"/>
        <v>6133.61</v>
      </c>
      <c r="BG105" s="263">
        <f t="shared" si="177"/>
        <v>6308</v>
      </c>
      <c r="BH105" s="263">
        <f t="shared" si="177"/>
        <v>6516.4530000000013</v>
      </c>
      <c r="BI105" s="263">
        <f t="shared" si="177"/>
        <v>6717.518</v>
      </c>
      <c r="BJ105" s="263">
        <f t="shared" si="177"/>
        <v>6907.5460000000003</v>
      </c>
      <c r="BK105" s="263">
        <f t="shared" si="177"/>
        <v>7167.938000000001</v>
      </c>
      <c r="BL105" s="263">
        <f t="shared" si="177"/>
        <v>7330.2930000000006</v>
      </c>
      <c r="BM105" s="263">
        <f t="shared" si="177"/>
        <v>7450.0069999999996</v>
      </c>
      <c r="BN105" s="263">
        <f t="shared" si="177"/>
        <v>7590.4260000000004</v>
      </c>
      <c r="BO105" s="263">
        <f t="shared" si="177"/>
        <v>7956.1660000000002</v>
      </c>
      <c r="BP105" s="294"/>
      <c r="BQ105" s="294"/>
      <c r="BR105" s="294"/>
      <c r="BS105" s="294"/>
      <c r="BT105" s="294"/>
      <c r="BU105" s="792"/>
      <c r="BV105" s="792"/>
      <c r="BW105" s="792"/>
      <c r="BX105" s="792"/>
      <c r="BY105" s="161"/>
      <c r="BZ105" s="161"/>
      <c r="CA105" s="264"/>
      <c r="CB105" s="264"/>
      <c r="CC105" s="264"/>
      <c r="CD105" s="264"/>
      <c r="CE105" s="264"/>
      <c r="CF105" s="264"/>
      <c r="CG105" s="264"/>
      <c r="CH105" s="264"/>
      <c r="CI105" s="285"/>
      <c r="CJ105" s="285"/>
      <c r="CK105" s="285"/>
      <c r="CL105" s="285"/>
      <c r="CM105" s="285"/>
      <c r="CN105" s="285"/>
      <c r="CO105" s="285"/>
      <c r="CP105" s="285"/>
      <c r="CQ105" s="284"/>
      <c r="CR105" s="284"/>
      <c r="CS105" s="284"/>
      <c r="CT105" s="284"/>
      <c r="CU105" s="284"/>
      <c r="CV105" s="284"/>
      <c r="CW105" s="284"/>
      <c r="CX105" s="284"/>
      <c r="CY105" s="284"/>
      <c r="CZ105" s="284"/>
      <c r="DA105" s="284"/>
      <c r="DB105" s="284"/>
      <c r="DC105" s="284"/>
      <c r="DD105" s="284"/>
      <c r="DE105" s="284"/>
      <c r="DF105" s="284"/>
      <c r="DG105" s="284"/>
      <c r="DH105" s="284"/>
      <c r="DI105" s="284"/>
      <c r="DJ105" s="284"/>
      <c r="DK105" s="804"/>
      <c r="DL105" s="804"/>
      <c r="DM105" s="804"/>
      <c r="DN105" s="804"/>
      <c r="DO105" s="804"/>
      <c r="DP105" s="804"/>
      <c r="DQ105" s="804"/>
      <c r="DR105" s="804"/>
      <c r="DS105" s="804"/>
      <c r="DT105" s="804"/>
      <c r="DU105" s="804"/>
      <c r="DV105" s="804"/>
      <c r="DW105" s="804"/>
      <c r="DX105" s="804"/>
      <c r="DY105" s="804"/>
      <c r="DZ105" s="804"/>
      <c r="EA105" s="804"/>
      <c r="EB105" s="811"/>
      <c r="EC105" s="811"/>
      <c r="ED105" s="811"/>
      <c r="EF105" s="161"/>
      <c r="EH105" s="161"/>
      <c r="EM105" s="161"/>
      <c r="EN105" s="161"/>
      <c r="EO105" s="161"/>
      <c r="EP105" s="161"/>
      <c r="FL105" s="294"/>
      <c r="FM105" s="294"/>
      <c r="FN105" s="294"/>
      <c r="FO105" s="441"/>
      <c r="FP105" s="284"/>
      <c r="FQ105" s="284"/>
      <c r="FR105" s="443"/>
      <c r="FS105" s="653"/>
      <c r="FT105" s="655"/>
      <c r="FU105" s="670">
        <v>7625</v>
      </c>
      <c r="FV105" s="684"/>
      <c r="FW105" s="670">
        <v>7917.0327205285394</v>
      </c>
      <c r="FX105" s="684"/>
      <c r="FY105" s="760"/>
      <c r="FZ105" s="771"/>
      <c r="GA105" s="792"/>
      <c r="GB105" s="792"/>
      <c r="GC105" s="808"/>
      <c r="GD105" s="792"/>
      <c r="GE105" s="808"/>
    </row>
    <row r="106" spans="1:187" hidden="1">
      <c r="B106" s="161" t="s">
        <v>473</v>
      </c>
      <c r="C106" s="161"/>
      <c r="D106" s="161"/>
      <c r="E106" s="161"/>
      <c r="F106" s="161"/>
      <c r="G106" s="161"/>
      <c r="H106" s="161"/>
      <c r="I106" s="161"/>
      <c r="J106" s="161"/>
      <c r="K106" s="161"/>
      <c r="L106" s="263"/>
      <c r="M106" s="263"/>
      <c r="N106" s="263"/>
      <c r="O106" s="263"/>
      <c r="P106" s="263"/>
      <c r="Q106" s="263"/>
      <c r="R106" s="263"/>
      <c r="S106" s="263"/>
      <c r="T106" s="263"/>
      <c r="U106" s="263"/>
      <c r="V106" s="263"/>
      <c r="W106" s="263"/>
      <c r="X106" s="270">
        <v>2483</v>
      </c>
      <c r="Y106" s="263"/>
      <c r="Z106" s="263"/>
      <c r="AA106" s="263"/>
      <c r="AB106" s="270">
        <v>2909</v>
      </c>
      <c r="BU106" s="793"/>
      <c r="BV106" s="793"/>
      <c r="BW106" s="793"/>
      <c r="BX106" s="793"/>
      <c r="EB106" s="807"/>
      <c r="EC106" s="807"/>
      <c r="ED106" s="807"/>
      <c r="FW106" s="709"/>
      <c r="FX106" s="709"/>
      <c r="FY106" s="761"/>
      <c r="FZ106" s="761"/>
      <c r="GA106" s="793"/>
      <c r="GB106" s="793"/>
      <c r="GC106" s="807"/>
      <c r="GD106" s="793"/>
      <c r="GE106" s="807"/>
    </row>
    <row r="107" spans="1:187">
      <c r="BO107" s="761">
        <v>7866.3239999999996</v>
      </c>
      <c r="BU107" s="793"/>
      <c r="BV107" s="793"/>
      <c r="BW107" s="793"/>
      <c r="BX107" s="793"/>
      <c r="EB107" s="807"/>
      <c r="EC107" s="807"/>
      <c r="ED107" s="807"/>
      <c r="FU107" s="668"/>
      <c r="FW107" s="709"/>
      <c r="FX107" s="709"/>
      <c r="FY107" s="761"/>
      <c r="FZ107" s="761"/>
      <c r="GA107" s="793"/>
      <c r="GB107" s="793"/>
      <c r="GC107" s="807"/>
      <c r="GD107" s="793"/>
      <c r="GE107" s="807"/>
    </row>
    <row r="108" spans="1:187">
      <c r="A108" s="161"/>
      <c r="B108" s="161" t="s">
        <v>474</v>
      </c>
      <c r="C108" s="161"/>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c r="AA108" s="264"/>
      <c r="AB108" s="264"/>
      <c r="AC108" s="264"/>
      <c r="AD108" s="264"/>
      <c r="AE108" s="264"/>
      <c r="AF108" s="264"/>
      <c r="AG108" s="264"/>
      <c r="AH108" s="264"/>
      <c r="AI108" s="264"/>
      <c r="AJ108" s="284"/>
      <c r="AK108" s="285"/>
      <c r="AL108" s="285"/>
      <c r="AM108" s="285"/>
      <c r="AN108" s="285"/>
      <c r="AO108" s="263"/>
      <c r="AP108" s="263"/>
      <c r="AQ108" s="263"/>
      <c r="AR108" s="263"/>
      <c r="AS108" s="273"/>
      <c r="AT108" s="273"/>
      <c r="AU108" s="273"/>
      <c r="AV108" s="273"/>
      <c r="AW108" s="286"/>
      <c r="AX108" s="286"/>
      <c r="AY108" s="272"/>
      <c r="AZ108" s="272"/>
      <c r="BA108" s="272"/>
      <c r="BB108" s="272"/>
      <c r="BC108" s="263"/>
      <c r="BE108" s="263"/>
      <c r="BF108" s="263"/>
      <c r="BG108" s="263"/>
      <c r="BI108" s="263"/>
      <c r="BJ108" s="263"/>
      <c r="BK108" s="264"/>
      <c r="BL108" s="264"/>
      <c r="BM108" s="264"/>
      <c r="BN108" s="264"/>
      <c r="BO108" s="264"/>
      <c r="BP108" s="290">
        <v>220.2</v>
      </c>
      <c r="BQ108" s="290">
        <v>221.7</v>
      </c>
      <c r="BR108" s="290"/>
      <c r="BS108" s="290"/>
      <c r="BT108" s="290">
        <v>220.2</v>
      </c>
      <c r="BU108" s="782"/>
      <c r="BV108" s="782"/>
      <c r="BW108" s="782"/>
      <c r="BX108" s="782"/>
      <c r="BY108" s="161"/>
      <c r="BZ108" s="161"/>
      <c r="CA108" s="264"/>
      <c r="CB108" s="264"/>
      <c r="CC108" s="264"/>
      <c r="CD108" s="264"/>
      <c r="CE108" s="264"/>
      <c r="CF108" s="264"/>
      <c r="CG108" s="264"/>
      <c r="CH108" s="264"/>
      <c r="CI108" s="264"/>
      <c r="CJ108" s="264"/>
      <c r="CK108" s="264"/>
      <c r="CL108" s="264"/>
      <c r="CM108" s="264"/>
      <c r="CN108" s="264"/>
      <c r="CO108" s="264"/>
      <c r="CP108" s="264"/>
      <c r="CQ108" s="264"/>
      <c r="CR108" s="264"/>
      <c r="CS108" s="264"/>
      <c r="CT108" s="264"/>
      <c r="CU108" s="264"/>
      <c r="CV108" s="161"/>
      <c r="CW108" s="161"/>
      <c r="CX108" s="161"/>
      <c r="CY108" s="161"/>
      <c r="CZ108" s="161"/>
      <c r="DA108" s="161"/>
      <c r="DB108" s="161"/>
      <c r="DC108" s="161"/>
      <c r="DD108" s="161"/>
      <c r="DE108" s="161"/>
      <c r="DF108" s="161"/>
      <c r="DG108" s="161"/>
      <c r="DH108" s="161"/>
      <c r="DI108" s="161"/>
      <c r="DJ108" s="161"/>
      <c r="DK108" s="177"/>
      <c r="DL108" s="177"/>
      <c r="DM108" s="177"/>
      <c r="DN108" s="177"/>
      <c r="DO108" s="177"/>
      <c r="DP108" s="177"/>
      <c r="DQ108" s="177"/>
      <c r="DR108" s="177"/>
      <c r="DS108" s="177"/>
      <c r="DT108" s="177"/>
      <c r="DU108" s="177"/>
      <c r="DV108" s="177"/>
      <c r="DW108" s="177"/>
      <c r="DX108" s="177"/>
      <c r="DY108" s="177"/>
      <c r="DZ108" s="177"/>
      <c r="EA108" s="177"/>
      <c r="EB108" s="808"/>
      <c r="EC108" s="808"/>
      <c r="ED108" s="808"/>
      <c r="EF108" s="161"/>
      <c r="EH108" s="161"/>
      <c r="EM108" s="161"/>
      <c r="EN108" s="161"/>
      <c r="EO108" s="161"/>
      <c r="EP108" s="161"/>
      <c r="FL108" s="264"/>
      <c r="FM108" s="264"/>
      <c r="FN108" s="264"/>
      <c r="FO108" s="432"/>
      <c r="FP108" s="161"/>
      <c r="FQ108" s="161"/>
      <c r="FR108" s="430"/>
      <c r="FS108" s="641"/>
      <c r="FT108" s="639"/>
      <c r="FU108" s="668"/>
      <c r="FV108" s="667"/>
      <c r="FW108" s="668"/>
      <c r="FX108" s="667"/>
      <c r="FY108" s="749"/>
      <c r="FZ108" s="747"/>
      <c r="GA108" s="782"/>
      <c r="GB108" s="782"/>
      <c r="GC108" s="808"/>
      <c r="GD108" s="782"/>
      <c r="GE108" s="808"/>
    </row>
    <row r="109" spans="1:187">
      <c r="A109" s="161"/>
      <c r="B109" s="267"/>
      <c r="C109" s="161"/>
      <c r="D109" s="161"/>
      <c r="E109" s="161"/>
      <c r="F109" s="161"/>
      <c r="G109" s="161"/>
      <c r="H109" s="161"/>
      <c r="I109" s="161"/>
      <c r="J109" s="161"/>
      <c r="K109" s="161"/>
      <c r="L109" s="263"/>
      <c r="M109" s="161"/>
      <c r="N109" s="161"/>
      <c r="O109" s="161"/>
      <c r="P109" s="263"/>
      <c r="Q109" s="161"/>
      <c r="R109" s="161"/>
      <c r="S109" s="161"/>
      <c r="T109" s="161"/>
      <c r="U109" s="161"/>
      <c r="V109" s="161"/>
      <c r="W109" s="161"/>
      <c r="X109" s="161"/>
      <c r="Y109" s="161"/>
      <c r="Z109" s="161"/>
      <c r="AA109" s="161"/>
      <c r="AB109" s="263"/>
      <c r="AC109" s="263"/>
      <c r="AD109" s="263"/>
      <c r="AE109" s="264"/>
      <c r="AF109" s="264"/>
      <c r="AG109" s="264"/>
      <c r="AH109" s="264"/>
      <c r="AI109" s="264"/>
      <c r="AJ109" s="265"/>
      <c r="AK109" s="265"/>
      <c r="AL109" s="265"/>
      <c r="AM109" s="265"/>
      <c r="AN109" s="265"/>
      <c r="AO109" s="264"/>
      <c r="AP109" s="264"/>
      <c r="AQ109" s="264"/>
      <c r="AR109" s="264"/>
      <c r="AS109" s="264"/>
      <c r="AT109" s="264"/>
      <c r="AU109" s="264"/>
      <c r="AV109" s="264"/>
      <c r="AW109" s="264"/>
      <c r="AX109" s="264"/>
      <c r="AY109" s="264"/>
      <c r="AZ109" s="264"/>
      <c r="BA109" s="264"/>
      <c r="BB109" s="265"/>
      <c r="BC109" s="265"/>
      <c r="BD109" s="265"/>
      <c r="BE109" s="265"/>
      <c r="BF109" s="265"/>
      <c r="BG109" s="265"/>
      <c r="BH109" s="265"/>
      <c r="BI109" s="264"/>
      <c r="BJ109" s="264"/>
      <c r="BK109" s="264"/>
      <c r="BL109" s="264"/>
      <c r="BM109" s="264"/>
      <c r="BN109" s="264"/>
      <c r="BO109" s="264"/>
      <c r="BP109" s="264"/>
      <c r="BQ109" s="264"/>
      <c r="BR109" s="264"/>
      <c r="BS109" s="264"/>
      <c r="BT109" s="264"/>
      <c r="BU109" s="782"/>
      <c r="BV109" s="782"/>
      <c r="BW109" s="782"/>
      <c r="BX109" s="782"/>
      <c r="BY109" s="161"/>
      <c r="BZ109" s="161"/>
      <c r="CA109" s="264"/>
      <c r="CB109" s="264"/>
      <c r="CC109" s="264"/>
      <c r="CD109" s="264"/>
      <c r="CE109" s="264"/>
      <c r="CF109" s="264"/>
      <c r="CG109" s="264"/>
      <c r="CH109" s="264"/>
      <c r="CI109" s="264"/>
      <c r="CJ109" s="264"/>
      <c r="CK109" s="264"/>
      <c r="CL109" s="264"/>
      <c r="CM109" s="264"/>
      <c r="CN109" s="264"/>
      <c r="CO109" s="264"/>
      <c r="CP109" s="264"/>
      <c r="CQ109" s="264"/>
      <c r="CR109" s="264"/>
      <c r="CS109" s="264"/>
      <c r="CT109" s="264"/>
      <c r="CU109" s="264"/>
      <c r="CV109" s="161"/>
      <c r="CW109" s="161"/>
      <c r="CX109" s="161"/>
      <c r="CY109" s="161"/>
      <c r="CZ109" s="161"/>
      <c r="DA109" s="161"/>
      <c r="DB109" s="161"/>
      <c r="DC109" s="161"/>
      <c r="DD109" s="161"/>
      <c r="DE109" s="161"/>
      <c r="DF109" s="161"/>
      <c r="DG109" s="161"/>
      <c r="DH109" s="161"/>
      <c r="DI109" s="161"/>
      <c r="DJ109" s="161"/>
      <c r="DK109" s="177"/>
      <c r="DL109" s="177"/>
      <c r="DM109" s="177"/>
      <c r="DN109" s="177"/>
      <c r="DO109" s="177"/>
      <c r="DP109" s="177"/>
      <c r="DQ109" s="177"/>
      <c r="DR109" s="177"/>
      <c r="DS109" s="177"/>
      <c r="DT109" s="177"/>
      <c r="DU109" s="177"/>
      <c r="DV109" s="177"/>
      <c r="DW109" s="177"/>
      <c r="DX109" s="177"/>
      <c r="DY109" s="177"/>
      <c r="DZ109" s="177"/>
      <c r="EA109" s="177"/>
      <c r="EB109" s="808"/>
      <c r="EC109" s="808"/>
      <c r="ED109" s="808"/>
      <c r="EF109" s="161"/>
      <c r="EH109" s="161"/>
      <c r="EM109" s="161"/>
      <c r="EN109" s="161"/>
      <c r="EO109" s="161"/>
      <c r="EP109" s="161"/>
      <c r="FL109" s="264"/>
      <c r="FM109" s="264"/>
      <c r="FN109" s="264"/>
      <c r="FO109" s="432"/>
      <c r="FP109" s="161"/>
      <c r="FQ109" s="161"/>
      <c r="FR109" s="430"/>
      <c r="FS109" s="641"/>
      <c r="FT109" s="639"/>
      <c r="FU109" s="668"/>
      <c r="FV109" s="667"/>
      <c r="FW109" s="668"/>
      <c r="FX109" s="667"/>
      <c r="FY109" s="749"/>
      <c r="FZ109" s="747"/>
      <c r="GA109" s="782"/>
      <c r="GB109" s="782"/>
      <c r="GC109" s="808"/>
      <c r="GD109" s="782"/>
      <c r="GE109" s="808"/>
    </row>
    <row r="110" spans="1:187">
      <c r="A110" s="161"/>
      <c r="B110" s="267" t="s">
        <v>475</v>
      </c>
      <c r="C110" s="163"/>
      <c r="D110" s="163"/>
      <c r="E110" s="163"/>
      <c r="F110" s="163"/>
      <c r="G110" s="163"/>
      <c r="H110" s="163"/>
      <c r="I110" s="163"/>
      <c r="J110" s="163"/>
      <c r="K110" s="163"/>
      <c r="L110" s="294"/>
      <c r="M110" s="163"/>
      <c r="N110" s="163"/>
      <c r="O110" s="163"/>
      <c r="P110" s="294"/>
      <c r="Q110" s="163"/>
      <c r="R110" s="163"/>
      <c r="S110" s="163"/>
      <c r="T110" s="263">
        <f t="shared" ref="T110:AN110" si="178">T104-T111</f>
        <v>1291.1999999999998</v>
      </c>
      <c r="U110" s="263">
        <f t="shared" si="178"/>
        <v>1303.1999999999998</v>
      </c>
      <c r="V110" s="263">
        <f t="shared" si="178"/>
        <v>1340.1</v>
      </c>
      <c r="W110" s="263">
        <f t="shared" si="178"/>
        <v>1372.6379999999999</v>
      </c>
      <c r="X110" s="263">
        <f t="shared" si="178"/>
        <v>1336.4</v>
      </c>
      <c r="Y110" s="263">
        <f t="shared" si="178"/>
        <v>1413.3249999999998</v>
      </c>
      <c r="Z110" s="263">
        <f t="shared" si="178"/>
        <v>1468</v>
      </c>
      <c r="AA110" s="263">
        <f t="shared" si="178"/>
        <v>1558.7530000000002</v>
      </c>
      <c r="AB110" s="263">
        <f t="shared" si="178"/>
        <v>1516.9</v>
      </c>
      <c r="AC110" s="263">
        <f t="shared" si="178"/>
        <v>1632</v>
      </c>
      <c r="AD110" s="263">
        <f t="shared" si="178"/>
        <v>1756</v>
      </c>
      <c r="AE110" s="263">
        <f t="shared" si="178"/>
        <v>1908.6780000000006</v>
      </c>
      <c r="AF110" s="263">
        <f t="shared" si="178"/>
        <v>1865.6890000000003</v>
      </c>
      <c r="AG110" s="263">
        <f t="shared" si="178"/>
        <v>2034.5970000000004</v>
      </c>
      <c r="AH110" s="263">
        <f t="shared" si="178"/>
        <v>2139.5750000000003</v>
      </c>
      <c r="AI110" s="263">
        <f t="shared" si="178"/>
        <v>2000.1509999999998</v>
      </c>
      <c r="AJ110" s="263">
        <f t="shared" si="178"/>
        <v>1992.3600000000006</v>
      </c>
      <c r="AK110" s="263">
        <f t="shared" si="178"/>
        <v>1953.2620000000002</v>
      </c>
      <c r="AL110" s="263">
        <f t="shared" si="178"/>
        <v>2011.0349999999994</v>
      </c>
      <c r="AM110" s="263">
        <f t="shared" si="178"/>
        <v>2158.8989999999999</v>
      </c>
      <c r="AN110" s="263">
        <f t="shared" si="178"/>
        <v>2157.3999999999996</v>
      </c>
      <c r="AO110" s="263"/>
      <c r="AP110" s="263"/>
      <c r="AQ110" s="263"/>
      <c r="AR110" s="264"/>
      <c r="AS110" s="264"/>
      <c r="AT110" s="264"/>
      <c r="AU110" s="264"/>
      <c r="AV110" s="264"/>
      <c r="AW110" s="297"/>
      <c r="AX110" s="297"/>
      <c r="AY110" s="294"/>
      <c r="AZ110" s="294"/>
      <c r="BA110" s="297"/>
      <c r="BB110" s="297"/>
      <c r="BC110" s="263"/>
      <c r="BD110" s="263"/>
      <c r="BE110" s="263"/>
      <c r="BF110" s="263"/>
      <c r="BG110" s="263"/>
      <c r="BH110" s="263"/>
      <c r="BI110" s="263"/>
      <c r="BJ110" s="263"/>
      <c r="BK110" s="294"/>
      <c r="BL110" s="294"/>
      <c r="BM110" s="294"/>
      <c r="BN110" s="294"/>
      <c r="BO110" s="294"/>
      <c r="BP110" s="294"/>
      <c r="BQ110" s="294"/>
      <c r="BR110" s="294"/>
      <c r="BS110" s="294"/>
      <c r="BT110" s="294"/>
      <c r="BU110" s="792"/>
      <c r="BV110" s="792"/>
      <c r="BW110" s="792"/>
      <c r="BX110" s="792"/>
      <c r="BY110" s="161"/>
      <c r="BZ110" s="161"/>
      <c r="CA110" s="264"/>
      <c r="CB110" s="264"/>
      <c r="CC110" s="264"/>
      <c r="CD110" s="264"/>
      <c r="CE110" s="264"/>
      <c r="CF110" s="264"/>
      <c r="CG110" s="264"/>
      <c r="CH110" s="264"/>
      <c r="CI110" s="264">
        <f t="shared" ref="CI110:CU111" si="179">AB110/X110-1</f>
        <v>0.13506435199042199</v>
      </c>
      <c r="CJ110" s="264">
        <f t="shared" si="179"/>
        <v>0.15472378964498623</v>
      </c>
      <c r="CK110" s="264">
        <f t="shared" si="179"/>
        <v>0.19618528610354224</v>
      </c>
      <c r="CL110" s="264">
        <f t="shared" si="179"/>
        <v>0.2244903458084766</v>
      </c>
      <c r="CM110" s="264">
        <f t="shared" si="179"/>
        <v>0.22993539455468404</v>
      </c>
      <c r="CN110" s="264">
        <f t="shared" si="179"/>
        <v>0.24668933823529438</v>
      </c>
      <c r="CO110" s="264">
        <f t="shared" si="179"/>
        <v>0.21843678815489764</v>
      </c>
      <c r="CP110" s="264">
        <f t="shared" si="179"/>
        <v>4.7924794019734707E-2</v>
      </c>
      <c r="CQ110" s="264">
        <f t="shared" si="179"/>
        <v>6.7895024304694074E-2</v>
      </c>
      <c r="CR110" s="264">
        <f t="shared" si="179"/>
        <v>-3.9975975586320156E-2</v>
      </c>
      <c r="CS110" s="264">
        <f t="shared" si="179"/>
        <v>-6.0077351810523538E-2</v>
      </c>
      <c r="CT110" s="264">
        <f t="shared" si="179"/>
        <v>7.9368007715417521E-2</v>
      </c>
      <c r="CU110" s="264">
        <f t="shared" si="179"/>
        <v>8.2836435182396251E-2</v>
      </c>
      <c r="CV110" s="264"/>
      <c r="CW110" s="264"/>
      <c r="CX110" s="264"/>
      <c r="CY110" s="264"/>
      <c r="CZ110" s="264"/>
      <c r="DA110" s="264"/>
      <c r="DB110" s="264"/>
      <c r="DC110" s="264"/>
      <c r="DD110" s="264"/>
      <c r="DE110" s="264"/>
      <c r="DF110" s="264"/>
      <c r="DG110" s="264"/>
      <c r="DH110" s="264"/>
      <c r="DI110" s="161"/>
      <c r="DJ110" s="161"/>
      <c r="DK110" s="177"/>
      <c r="DL110" s="177"/>
      <c r="DM110" s="177"/>
      <c r="DN110" s="177"/>
      <c r="DO110" s="177"/>
      <c r="DP110" s="177"/>
      <c r="DQ110" s="177"/>
      <c r="DR110" s="177"/>
      <c r="DS110" s="177"/>
      <c r="DT110" s="177"/>
      <c r="DU110" s="177"/>
      <c r="DV110" s="177"/>
      <c r="DW110" s="177"/>
      <c r="DX110" s="177"/>
      <c r="DY110" s="177"/>
      <c r="DZ110" s="177"/>
      <c r="EA110" s="177"/>
      <c r="EB110" s="808"/>
      <c r="EC110" s="808"/>
      <c r="ED110" s="808"/>
      <c r="EF110" s="161"/>
      <c r="EH110" s="161"/>
      <c r="EM110" s="161"/>
      <c r="EN110" s="161"/>
      <c r="EO110" s="161"/>
      <c r="EP110" s="161"/>
      <c r="FL110" s="263"/>
      <c r="FM110" s="263"/>
      <c r="FN110" s="263"/>
      <c r="FO110" s="441"/>
      <c r="FP110" s="161"/>
      <c r="FQ110" s="161"/>
      <c r="FR110" s="430"/>
      <c r="FS110" s="653"/>
      <c r="FT110" s="639"/>
      <c r="FU110" s="682"/>
      <c r="FV110" s="667"/>
      <c r="FW110" s="682"/>
      <c r="FX110" s="667"/>
      <c r="FY110" s="760"/>
      <c r="FZ110" s="747"/>
      <c r="GA110" s="792"/>
      <c r="GB110" s="792"/>
      <c r="GC110" s="808"/>
      <c r="GD110" s="792"/>
      <c r="GE110" s="808"/>
    </row>
    <row r="111" spans="1:187">
      <c r="A111" s="161"/>
      <c r="B111" s="268" t="s">
        <v>476</v>
      </c>
      <c r="C111" s="163"/>
      <c r="D111" s="163"/>
      <c r="E111" s="163"/>
      <c r="F111" s="163"/>
      <c r="G111" s="163"/>
      <c r="H111" s="163"/>
      <c r="I111" s="163">
        <v>718</v>
      </c>
      <c r="J111" s="163">
        <v>762</v>
      </c>
      <c r="K111" s="163">
        <v>745</v>
      </c>
      <c r="L111" s="294">
        <v>917</v>
      </c>
      <c r="M111" s="163">
        <v>875</v>
      </c>
      <c r="N111" s="163">
        <v>836</v>
      </c>
      <c r="O111" s="163">
        <v>872</v>
      </c>
      <c r="P111" s="294">
        <v>982</v>
      </c>
      <c r="Q111" s="163">
        <v>905</v>
      </c>
      <c r="R111" s="163">
        <v>899</v>
      </c>
      <c r="S111" s="163">
        <v>909</v>
      </c>
      <c r="T111" s="163">
        <v>1014</v>
      </c>
      <c r="U111" s="163">
        <v>1045</v>
      </c>
      <c r="V111" s="163">
        <v>1027</v>
      </c>
      <c r="W111" s="295">
        <v>1131</v>
      </c>
      <c r="X111" s="163">
        <v>1146</v>
      </c>
      <c r="Y111" s="163">
        <v>1141</v>
      </c>
      <c r="Z111" s="163">
        <v>1138</v>
      </c>
      <c r="AA111" s="295">
        <f>1151+36</f>
        <v>1187</v>
      </c>
      <c r="AB111" s="294">
        <v>1392.5</v>
      </c>
      <c r="AC111" s="294">
        <v>1289</v>
      </c>
      <c r="AD111" s="294">
        <v>1305</v>
      </c>
      <c r="AE111" s="294">
        <v>1480.9480000000001</v>
      </c>
      <c r="AF111" s="294">
        <v>1664.1</v>
      </c>
      <c r="AG111" s="294">
        <v>1595.97</v>
      </c>
      <c r="AH111" s="294">
        <f>1455.725+24</f>
        <v>1479.7249999999999</v>
      </c>
      <c r="AI111" s="294">
        <v>1708</v>
      </c>
      <c r="AJ111" s="294">
        <v>1753.672</v>
      </c>
      <c r="AK111" s="294">
        <v>1779.12</v>
      </c>
      <c r="AL111" s="294">
        <v>1825.9169999999999</v>
      </c>
      <c r="AM111" s="294">
        <v>1865.9</v>
      </c>
      <c r="AN111" s="294">
        <v>2091.5</v>
      </c>
      <c r="AO111" s="294"/>
      <c r="AP111" s="294"/>
      <c r="AQ111" s="294"/>
      <c r="AR111" s="294"/>
      <c r="AS111" s="294"/>
      <c r="AT111" s="294"/>
      <c r="AU111" s="294"/>
      <c r="AV111" s="294"/>
      <c r="AW111" s="294"/>
      <c r="AX111" s="294"/>
      <c r="AY111" s="294"/>
      <c r="AZ111" s="294"/>
      <c r="BA111" s="294"/>
      <c r="BB111" s="294"/>
      <c r="BC111" s="294"/>
      <c r="BD111" s="294"/>
      <c r="BE111" s="294"/>
      <c r="BF111" s="294"/>
      <c r="BG111" s="294"/>
      <c r="BH111" s="294"/>
      <c r="BI111" s="294"/>
      <c r="BJ111" s="294"/>
      <c r="BK111" s="294"/>
      <c r="BL111" s="294"/>
      <c r="BM111" s="294"/>
      <c r="BN111" s="294"/>
      <c r="BO111" s="294"/>
      <c r="BP111" s="294"/>
      <c r="BQ111" s="294"/>
      <c r="BR111" s="294"/>
      <c r="BS111" s="294"/>
      <c r="BT111" s="294"/>
      <c r="BU111" s="792"/>
      <c r="BV111" s="792"/>
      <c r="BW111" s="792"/>
      <c r="BX111" s="792"/>
      <c r="BY111" s="161"/>
      <c r="BZ111" s="161"/>
      <c r="CA111" s="264">
        <f t="shared" ref="CA111:CH111" si="180">T111/P111-1</f>
        <v>3.2586558044806591E-2</v>
      </c>
      <c r="CB111" s="264">
        <f t="shared" si="180"/>
        <v>0.15469613259668513</v>
      </c>
      <c r="CC111" s="264">
        <f t="shared" si="180"/>
        <v>0.14238042269187989</v>
      </c>
      <c r="CD111" s="264">
        <f t="shared" si="180"/>
        <v>0.24422442244224429</v>
      </c>
      <c r="CE111" s="264">
        <f t="shared" si="180"/>
        <v>0.13017751479289941</v>
      </c>
      <c r="CF111" s="264">
        <f t="shared" si="180"/>
        <v>9.1866028708133873E-2</v>
      </c>
      <c r="CG111" s="264">
        <f t="shared" si="180"/>
        <v>0.10808179162609544</v>
      </c>
      <c r="CH111" s="264">
        <f t="shared" si="180"/>
        <v>4.9513704686118487E-2</v>
      </c>
      <c r="CI111" s="264">
        <f t="shared" si="179"/>
        <v>0.2150959860383943</v>
      </c>
      <c r="CJ111" s="264">
        <f t="shared" si="179"/>
        <v>0.12971078001752856</v>
      </c>
      <c r="CK111" s="264">
        <f t="shared" si="179"/>
        <v>0.14674868189806678</v>
      </c>
      <c r="CL111" s="264">
        <f t="shared" si="179"/>
        <v>0.24763942712721154</v>
      </c>
      <c r="CM111" s="264">
        <f t="shared" si="179"/>
        <v>0.19504488330341108</v>
      </c>
      <c r="CN111" s="264">
        <f t="shared" si="179"/>
        <v>0.23814584949573314</v>
      </c>
      <c r="CO111" s="264">
        <f t="shared" si="179"/>
        <v>0.13388888888888872</v>
      </c>
      <c r="CP111" s="264">
        <f t="shared" si="179"/>
        <v>0.15331530884271416</v>
      </c>
      <c r="CQ111" s="264">
        <f t="shared" si="179"/>
        <v>5.3826092181960217E-2</v>
      </c>
      <c r="CR111" s="264">
        <f t="shared" si="179"/>
        <v>0.11475779619917659</v>
      </c>
      <c r="CS111" s="264">
        <f t="shared" si="179"/>
        <v>0.23395698525063779</v>
      </c>
      <c r="CT111" s="264">
        <f t="shared" si="179"/>
        <v>9.2447306791569206E-2</v>
      </c>
      <c r="CU111" s="264">
        <f t="shared" si="179"/>
        <v>0.19264035691965198</v>
      </c>
      <c r="CV111" s="264"/>
      <c r="CW111" s="264"/>
      <c r="CX111" s="264"/>
      <c r="CY111" s="264"/>
      <c r="CZ111" s="264"/>
      <c r="DA111" s="264"/>
      <c r="DB111" s="264"/>
      <c r="DC111" s="264"/>
      <c r="DD111" s="264"/>
      <c r="DE111" s="264"/>
      <c r="DF111" s="264"/>
      <c r="DG111" s="264"/>
      <c r="DH111" s="264"/>
      <c r="DI111" s="161"/>
      <c r="DJ111" s="161"/>
      <c r="DK111" s="177"/>
      <c r="DL111" s="177"/>
      <c r="DM111" s="177"/>
      <c r="DN111" s="177"/>
      <c r="DO111" s="177"/>
      <c r="DP111" s="177"/>
      <c r="DQ111" s="177"/>
      <c r="DR111" s="177"/>
      <c r="DS111" s="177"/>
      <c r="DT111" s="177"/>
      <c r="DU111" s="177"/>
      <c r="DV111" s="177"/>
      <c r="DW111" s="177"/>
      <c r="DX111" s="177"/>
      <c r="DY111" s="177"/>
      <c r="DZ111" s="177"/>
      <c r="EA111" s="177"/>
      <c r="EB111" s="808"/>
      <c r="EC111" s="808"/>
      <c r="ED111" s="808"/>
      <c r="EF111" s="161"/>
      <c r="EH111" s="161"/>
      <c r="EM111" s="161"/>
      <c r="EN111" s="161"/>
      <c r="EO111" s="161"/>
      <c r="EP111" s="161"/>
      <c r="FL111" s="294"/>
      <c r="FM111" s="294"/>
      <c r="FN111" s="294"/>
      <c r="FO111" s="441"/>
      <c r="FP111" s="161"/>
      <c r="FQ111" s="161"/>
      <c r="FR111" s="430"/>
      <c r="FS111" s="653"/>
      <c r="FT111" s="639"/>
      <c r="FU111" s="682"/>
      <c r="FV111" s="667"/>
      <c r="FW111" s="682"/>
      <c r="FX111" s="667"/>
      <c r="FY111" s="760"/>
      <c r="FZ111" s="747"/>
      <c r="GA111" s="792"/>
      <c r="GB111" s="792"/>
      <c r="GC111" s="808"/>
      <c r="GD111" s="792"/>
      <c r="GE111" s="808"/>
    </row>
    <row r="112" spans="1:187">
      <c r="A112" s="161"/>
      <c r="B112" s="267" t="s">
        <v>45</v>
      </c>
      <c r="C112" s="161"/>
      <c r="D112" s="161"/>
      <c r="E112" s="161"/>
      <c r="F112" s="161"/>
      <c r="G112" s="161"/>
      <c r="H112" s="161"/>
      <c r="I112" s="161"/>
      <c r="J112" s="161"/>
      <c r="K112" s="161"/>
      <c r="L112" s="263"/>
      <c r="M112" s="161"/>
      <c r="N112" s="161"/>
      <c r="O112" s="161"/>
      <c r="P112" s="263"/>
      <c r="Q112" s="161"/>
      <c r="R112" s="161"/>
      <c r="S112" s="161"/>
      <c r="T112" s="265">
        <f t="shared" ref="T112:AN112" si="181">T111/T104</f>
        <v>0.43987506507027591</v>
      </c>
      <c r="U112" s="265">
        <f t="shared" si="181"/>
        <v>0.44502171876330809</v>
      </c>
      <c r="V112" s="265">
        <f t="shared" si="181"/>
        <v>0.43386422204385117</v>
      </c>
      <c r="W112" s="265">
        <f t="shared" si="181"/>
        <v>0.45174262413336114</v>
      </c>
      <c r="X112" s="265">
        <f t="shared" si="181"/>
        <v>0.46165001611343859</v>
      </c>
      <c r="Y112" s="265">
        <f t="shared" si="181"/>
        <v>0.44669335342996686</v>
      </c>
      <c r="Z112" s="265">
        <f t="shared" si="181"/>
        <v>0.43668457405986183</v>
      </c>
      <c r="AA112" s="265">
        <f t="shared" si="181"/>
        <v>0.43230399821105536</v>
      </c>
      <c r="AB112" s="265">
        <f t="shared" si="181"/>
        <v>0.47862102151646385</v>
      </c>
      <c r="AC112" s="265">
        <f t="shared" si="181"/>
        <v>0.44128723040054774</v>
      </c>
      <c r="AD112" s="265">
        <f t="shared" si="181"/>
        <v>0.42633126429271478</v>
      </c>
      <c r="AE112" s="265">
        <f t="shared" si="181"/>
        <v>0.43690601854009847</v>
      </c>
      <c r="AF112" s="265">
        <f t="shared" si="181"/>
        <v>0.47144461042855529</v>
      </c>
      <c r="AG112" s="265">
        <f t="shared" si="181"/>
        <v>0.43959249340392281</v>
      </c>
      <c r="AH112" s="265">
        <f t="shared" si="181"/>
        <v>0.40884287016826454</v>
      </c>
      <c r="AI112" s="265">
        <f t="shared" si="181"/>
        <v>0.46060691703223522</v>
      </c>
      <c r="AJ112" s="265">
        <f t="shared" si="181"/>
        <v>0.46814122249890011</v>
      </c>
      <c r="AK112" s="265">
        <f t="shared" si="181"/>
        <v>0.47667146610395184</v>
      </c>
      <c r="AL112" s="265">
        <f t="shared" si="181"/>
        <v>0.47587694607594783</v>
      </c>
      <c r="AM112" s="265">
        <f t="shared" si="181"/>
        <v>0.46360079099602242</v>
      </c>
      <c r="AN112" s="265">
        <f t="shared" si="181"/>
        <v>0.49224505166042981</v>
      </c>
      <c r="AO112" s="294"/>
      <c r="AP112" s="294"/>
      <c r="AQ112" s="294"/>
      <c r="AR112" s="294"/>
      <c r="AS112" s="294"/>
      <c r="AT112" s="294"/>
      <c r="AU112" s="294"/>
      <c r="AV112" s="294"/>
      <c r="AW112" s="294"/>
      <c r="AX112" s="294"/>
      <c r="AY112" s="294"/>
      <c r="AZ112" s="294"/>
      <c r="BA112" s="294"/>
      <c r="BB112" s="294"/>
      <c r="BC112" s="294"/>
      <c r="BD112" s="294"/>
      <c r="BE112" s="294"/>
      <c r="BF112" s="294"/>
      <c r="BG112" s="294"/>
      <c r="BH112" s="294"/>
      <c r="BI112" s="294"/>
      <c r="BK112" s="294"/>
      <c r="BL112" s="294"/>
      <c r="BM112" s="294"/>
      <c r="BN112" s="294"/>
      <c r="BO112" s="294"/>
      <c r="BP112" s="294"/>
      <c r="BQ112" s="294"/>
      <c r="BR112" s="294"/>
      <c r="BS112" s="294"/>
      <c r="BT112" s="294"/>
      <c r="BU112" s="792"/>
      <c r="BV112" s="792"/>
      <c r="BW112" s="792"/>
      <c r="BX112" s="792"/>
      <c r="BY112" s="161"/>
      <c r="BZ112" s="161"/>
      <c r="CA112" s="264"/>
      <c r="CB112" s="264"/>
      <c r="CC112" s="264"/>
      <c r="CD112" s="264"/>
      <c r="CE112" s="264"/>
      <c r="CF112" s="264"/>
      <c r="CG112" s="264"/>
      <c r="CH112" s="264"/>
      <c r="CI112" s="264"/>
      <c r="CJ112" s="264"/>
      <c r="CK112" s="264"/>
      <c r="CL112" s="264"/>
      <c r="CM112" s="264"/>
      <c r="CN112" s="264"/>
      <c r="CO112" s="264"/>
      <c r="CP112" s="264"/>
      <c r="CQ112" s="264"/>
      <c r="CR112" s="264"/>
      <c r="CS112" s="264"/>
      <c r="CT112" s="264"/>
      <c r="CU112" s="264"/>
      <c r="CV112" s="264"/>
      <c r="CW112" s="264"/>
      <c r="CX112" s="264"/>
      <c r="CY112" s="264"/>
      <c r="CZ112" s="264"/>
      <c r="DA112" s="264"/>
      <c r="DB112" s="264"/>
      <c r="DC112" s="264"/>
      <c r="DD112" s="264"/>
      <c r="DE112" s="264"/>
      <c r="DF112" s="264"/>
      <c r="DG112" s="264"/>
      <c r="DH112" s="264"/>
      <c r="DI112" s="161"/>
      <c r="DJ112" s="161"/>
      <c r="DK112" s="177"/>
      <c r="DL112" s="177"/>
      <c r="DM112" s="177"/>
      <c r="DN112" s="177"/>
      <c r="DO112" s="177"/>
      <c r="DP112" s="177"/>
      <c r="DQ112" s="177"/>
      <c r="DR112" s="177"/>
      <c r="DS112" s="177"/>
      <c r="DT112" s="177"/>
      <c r="DU112" s="177"/>
      <c r="DV112" s="177"/>
      <c r="DW112" s="177"/>
      <c r="DX112" s="177"/>
      <c r="DY112" s="177"/>
      <c r="DZ112" s="177"/>
      <c r="EA112" s="177"/>
      <c r="EB112" s="808"/>
      <c r="EC112" s="808"/>
      <c r="ED112" s="808"/>
      <c r="EF112" s="161"/>
      <c r="EH112" s="161"/>
      <c r="EM112" s="161"/>
      <c r="EN112" s="161"/>
      <c r="EO112" s="161"/>
      <c r="EP112" s="161"/>
      <c r="FL112" s="294"/>
      <c r="FM112" s="294"/>
      <c r="FN112" s="294"/>
      <c r="FO112" s="441"/>
      <c r="FP112" s="161"/>
      <c r="FQ112" s="161"/>
      <c r="FR112" s="430"/>
      <c r="FS112" s="653"/>
      <c r="FT112" s="639"/>
      <c r="FU112" s="682"/>
      <c r="FV112" s="667"/>
      <c r="FW112" s="682"/>
      <c r="FX112" s="667"/>
      <c r="FY112" s="760"/>
      <c r="FZ112" s="747"/>
      <c r="GA112" s="792"/>
      <c r="GB112" s="792"/>
      <c r="GC112" s="808"/>
      <c r="GD112" s="792"/>
      <c r="GE112" s="808"/>
    </row>
    <row r="113" spans="1:187">
      <c r="A113" s="161"/>
      <c r="B113" s="267"/>
      <c r="C113" s="161"/>
      <c r="D113" s="161"/>
      <c r="E113" s="161"/>
      <c r="F113" s="161"/>
      <c r="G113" s="161"/>
      <c r="H113" s="161"/>
      <c r="I113" s="161"/>
      <c r="J113" s="161"/>
      <c r="K113" s="161"/>
      <c r="L113" s="263"/>
      <c r="M113" s="161"/>
      <c r="N113" s="161"/>
      <c r="O113" s="161"/>
      <c r="P113" s="263"/>
      <c r="Q113" s="161"/>
      <c r="R113" s="161"/>
      <c r="S113" s="161"/>
      <c r="T113" s="161"/>
      <c r="U113" s="161"/>
      <c r="V113" s="161"/>
      <c r="W113" s="161"/>
      <c r="X113" s="161"/>
      <c r="Y113" s="161"/>
      <c r="Z113" s="161"/>
      <c r="AA113" s="161"/>
      <c r="AB113" s="263"/>
      <c r="AC113" s="263"/>
      <c r="AD113" s="263"/>
      <c r="AE113" s="264"/>
      <c r="AF113" s="264"/>
      <c r="AG113" s="264"/>
      <c r="AH113" s="264"/>
      <c r="AI113" s="264"/>
      <c r="AJ113" s="265"/>
      <c r="AK113" s="265"/>
      <c r="AL113" s="265"/>
      <c r="AM113" s="265"/>
      <c r="AN113" s="265"/>
      <c r="AO113" s="264"/>
      <c r="AP113" s="264"/>
      <c r="AQ113" s="264"/>
      <c r="AR113" s="264"/>
      <c r="AS113" s="264"/>
      <c r="AT113" s="264"/>
      <c r="AU113" s="264"/>
      <c r="AV113" s="264"/>
      <c r="AW113" s="264"/>
      <c r="AX113" s="264"/>
      <c r="AY113" s="264"/>
      <c r="AZ113" s="264"/>
      <c r="BA113" s="264"/>
      <c r="BB113" s="265"/>
      <c r="BC113" s="265"/>
      <c r="BD113" s="265"/>
      <c r="BE113" s="265"/>
      <c r="BF113" s="265"/>
      <c r="BG113" s="265"/>
      <c r="BH113" s="265"/>
      <c r="BI113" s="264"/>
      <c r="BJ113" s="264"/>
      <c r="BK113" s="264"/>
      <c r="BL113" s="264"/>
      <c r="BM113" s="264"/>
      <c r="BN113" s="264"/>
      <c r="BO113" s="264"/>
      <c r="BP113" s="264"/>
      <c r="BQ113" s="264"/>
      <c r="BR113" s="264"/>
      <c r="BS113" s="264"/>
      <c r="BT113" s="264"/>
      <c r="BU113" s="782"/>
      <c r="BV113" s="782"/>
      <c r="BW113" s="782"/>
      <c r="BX113" s="782"/>
      <c r="BY113" s="161"/>
      <c r="BZ113" s="161"/>
      <c r="CA113" s="264"/>
      <c r="CB113" s="264"/>
      <c r="CC113" s="264"/>
      <c r="CD113" s="264"/>
      <c r="CE113" s="264"/>
      <c r="CF113" s="264"/>
      <c r="CG113" s="264"/>
      <c r="CH113" s="264"/>
      <c r="CI113" s="264"/>
      <c r="CJ113" s="264"/>
      <c r="CK113" s="264"/>
      <c r="CL113" s="264"/>
      <c r="CM113" s="264"/>
      <c r="CN113" s="264"/>
      <c r="CO113" s="264"/>
      <c r="CP113" s="264"/>
      <c r="CQ113" s="264"/>
      <c r="CR113" s="264"/>
      <c r="CS113" s="264"/>
      <c r="CT113" s="264"/>
      <c r="CU113" s="264"/>
      <c r="CV113" s="161"/>
      <c r="CW113" s="161"/>
      <c r="CX113" s="161"/>
      <c r="CY113" s="161"/>
      <c r="CZ113" s="161"/>
      <c r="DA113" s="161"/>
      <c r="DB113" s="161"/>
      <c r="DC113" s="161"/>
      <c r="DD113" s="161"/>
      <c r="DE113" s="161"/>
      <c r="DF113" s="161"/>
      <c r="DG113" s="161"/>
      <c r="DH113" s="161"/>
      <c r="DI113" s="161"/>
      <c r="DJ113" s="161"/>
      <c r="DK113" s="177"/>
      <c r="DL113" s="177"/>
      <c r="DM113" s="177"/>
      <c r="DN113" s="177"/>
      <c r="DO113" s="177"/>
      <c r="DP113" s="177"/>
      <c r="DQ113" s="177"/>
      <c r="DR113" s="177"/>
      <c r="DS113" s="177"/>
      <c r="DT113" s="177"/>
      <c r="DU113" s="177"/>
      <c r="DV113" s="177"/>
      <c r="DW113" s="177"/>
      <c r="DX113" s="177"/>
      <c r="DY113" s="177"/>
      <c r="DZ113" s="177"/>
      <c r="EA113" s="177"/>
      <c r="EB113" s="808"/>
      <c r="EC113" s="808"/>
      <c r="ED113" s="808"/>
      <c r="EF113" s="161"/>
      <c r="EH113" s="161"/>
      <c r="EM113" s="161"/>
      <c r="EN113" s="161"/>
      <c r="EO113" s="161"/>
      <c r="EP113" s="161"/>
      <c r="FL113" s="264"/>
      <c r="FM113" s="264"/>
      <c r="FN113" s="264"/>
      <c r="FO113" s="432"/>
      <c r="FP113" s="161"/>
      <c r="FQ113" s="161"/>
      <c r="FR113" s="430"/>
      <c r="FS113" s="641"/>
      <c r="FT113" s="639"/>
      <c r="FU113" s="668"/>
      <c r="FV113" s="667"/>
      <c r="FW113" s="668"/>
      <c r="FX113" s="667"/>
      <c r="FY113" s="749"/>
      <c r="FZ113" s="747"/>
      <c r="GA113" s="782"/>
      <c r="GB113" s="782"/>
      <c r="GC113" s="808"/>
      <c r="GD113" s="782"/>
      <c r="GE113" s="808"/>
    </row>
    <row r="114" spans="1:187">
      <c r="A114" s="161"/>
      <c r="B114" s="267"/>
      <c r="C114" s="161"/>
      <c r="D114" s="161"/>
      <c r="E114" s="161"/>
      <c r="F114" s="161"/>
      <c r="G114" s="161"/>
      <c r="H114" s="161"/>
      <c r="I114" s="161"/>
      <c r="J114" s="161"/>
      <c r="K114" s="161"/>
      <c r="L114" s="263"/>
      <c r="M114" s="161"/>
      <c r="N114" s="161"/>
      <c r="O114" s="161"/>
      <c r="P114" s="263"/>
      <c r="Q114" s="161"/>
      <c r="R114" s="161"/>
      <c r="S114" s="161"/>
      <c r="T114" s="161"/>
      <c r="U114" s="161"/>
      <c r="V114" s="161"/>
      <c r="W114" s="161"/>
      <c r="X114" s="161"/>
      <c r="Y114" s="161"/>
      <c r="Z114" s="161"/>
      <c r="AA114" s="161"/>
      <c r="AB114" s="263"/>
      <c r="AC114" s="263"/>
      <c r="AD114" s="263"/>
      <c r="AE114" s="264"/>
      <c r="AF114" s="264"/>
      <c r="AG114" s="264"/>
      <c r="AH114" s="264"/>
      <c r="AI114" s="264"/>
      <c r="AJ114" s="265"/>
      <c r="AK114" s="265"/>
      <c r="AL114" s="265"/>
      <c r="AM114" s="265"/>
      <c r="AN114" s="265"/>
      <c r="AO114" s="264"/>
      <c r="AP114" s="264"/>
      <c r="AQ114" s="264"/>
      <c r="AR114" s="264"/>
      <c r="AS114" s="264"/>
      <c r="AT114" s="264"/>
      <c r="AU114" s="264"/>
      <c r="AV114" s="264"/>
      <c r="AW114" s="264"/>
      <c r="AX114" s="264"/>
      <c r="AY114" s="264"/>
      <c r="AZ114" s="264"/>
      <c r="BA114" s="264"/>
      <c r="BB114" s="265"/>
      <c r="BC114" s="265"/>
      <c r="BD114" s="265"/>
      <c r="BE114" s="265"/>
      <c r="BF114" s="265"/>
      <c r="BG114" s="265"/>
      <c r="BH114" s="265"/>
      <c r="BI114" s="264"/>
      <c r="BJ114" s="264"/>
      <c r="BK114" s="264"/>
      <c r="BL114" s="264"/>
      <c r="BM114" s="264"/>
      <c r="BN114" s="264"/>
      <c r="BO114" s="264"/>
      <c r="BP114" s="264"/>
      <c r="BQ114" s="264"/>
      <c r="BR114" s="264"/>
      <c r="BS114" s="264"/>
      <c r="BT114" s="264"/>
      <c r="BU114" s="782"/>
      <c r="BV114" s="782"/>
      <c r="BW114" s="782"/>
      <c r="BX114" s="782"/>
      <c r="BY114" s="161"/>
      <c r="BZ114" s="161"/>
      <c r="CA114" s="264"/>
      <c r="CB114" s="264"/>
      <c r="CC114" s="264"/>
      <c r="CD114" s="264"/>
      <c r="CE114" s="264"/>
      <c r="CF114" s="264"/>
      <c r="CG114" s="264"/>
      <c r="CH114" s="264"/>
      <c r="CI114" s="264"/>
      <c r="CJ114" s="264"/>
      <c r="CK114" s="264"/>
      <c r="CL114" s="264"/>
      <c r="CM114" s="264"/>
      <c r="CN114" s="264"/>
      <c r="CO114" s="264"/>
      <c r="CP114" s="264"/>
      <c r="CQ114" s="264"/>
      <c r="CR114" s="264"/>
      <c r="CS114" s="264"/>
      <c r="CT114" s="264"/>
      <c r="CU114" s="264"/>
      <c r="CV114" s="161"/>
      <c r="CW114" s="161"/>
      <c r="CX114" s="161"/>
      <c r="CY114" s="161"/>
      <c r="CZ114" s="161"/>
      <c r="DA114" s="161"/>
      <c r="DB114" s="161"/>
      <c r="DC114" s="161"/>
      <c r="DD114" s="161"/>
      <c r="DE114" s="161"/>
      <c r="DF114" s="161"/>
      <c r="DG114" s="161"/>
      <c r="DH114" s="161"/>
      <c r="DI114" s="161"/>
      <c r="DJ114" s="161"/>
      <c r="DK114" s="177"/>
      <c r="DL114" s="177"/>
      <c r="DM114" s="177"/>
      <c r="DN114" s="177"/>
      <c r="DO114" s="177"/>
      <c r="DP114" s="177"/>
      <c r="DQ114" s="177"/>
      <c r="DR114" s="177"/>
      <c r="DS114" s="177"/>
      <c r="DT114" s="177"/>
      <c r="DU114" s="177"/>
      <c r="DV114" s="177"/>
      <c r="DW114" s="177"/>
      <c r="DX114" s="177"/>
      <c r="DY114" s="177"/>
      <c r="DZ114" s="177"/>
      <c r="EA114" s="177"/>
      <c r="EB114" s="808"/>
      <c r="EC114" s="808"/>
      <c r="ED114" s="808"/>
      <c r="EF114" s="161"/>
      <c r="EH114" s="161"/>
      <c r="EM114" s="161"/>
      <c r="EN114" s="161"/>
      <c r="EO114" s="161"/>
      <c r="EP114" s="161"/>
      <c r="FL114" s="264"/>
      <c r="FM114" s="264"/>
      <c r="FN114" s="264"/>
      <c r="FO114" s="432"/>
      <c r="FP114" s="161"/>
      <c r="FQ114" s="161"/>
      <c r="FR114" s="430"/>
      <c r="FS114" s="641"/>
      <c r="FT114" s="639"/>
      <c r="FU114" s="668"/>
      <c r="FV114" s="667"/>
      <c r="FW114" s="668"/>
      <c r="FX114" s="667"/>
      <c r="FY114" s="749"/>
      <c r="FZ114" s="747"/>
      <c r="GA114" s="782"/>
      <c r="GB114" s="782"/>
      <c r="GC114" s="808"/>
      <c r="GD114" s="782"/>
      <c r="GE114" s="808"/>
    </row>
    <row r="115" spans="1:187">
      <c r="A115" s="161"/>
      <c r="B115" s="267"/>
      <c r="C115" s="161"/>
      <c r="D115" s="161"/>
      <c r="E115" s="161"/>
      <c r="F115" s="161"/>
      <c r="G115" s="161"/>
      <c r="H115" s="161"/>
      <c r="I115" s="161"/>
      <c r="J115" s="161"/>
      <c r="K115" s="161"/>
      <c r="L115" s="263"/>
      <c r="M115" s="161"/>
      <c r="N115" s="161"/>
      <c r="O115" s="161"/>
      <c r="P115" s="263"/>
      <c r="Q115" s="161"/>
      <c r="R115" s="161"/>
      <c r="S115" s="161"/>
      <c r="T115" s="161"/>
      <c r="U115" s="161"/>
      <c r="V115" s="161"/>
      <c r="W115" s="161"/>
      <c r="X115" s="161"/>
      <c r="Y115" s="161"/>
      <c r="Z115" s="161"/>
      <c r="AA115" s="161"/>
      <c r="AB115" s="263"/>
      <c r="AC115" s="263"/>
      <c r="AD115" s="263"/>
      <c r="AE115" s="264"/>
      <c r="AF115" s="264"/>
      <c r="AG115" s="264"/>
      <c r="AH115" s="264"/>
      <c r="AI115" s="264"/>
      <c r="AJ115" s="265"/>
      <c r="AK115" s="265"/>
      <c r="AL115" s="265"/>
      <c r="AM115" s="265"/>
      <c r="AN115" s="265"/>
      <c r="AO115" s="264"/>
      <c r="AP115" s="264"/>
      <c r="AQ115" s="264"/>
      <c r="AR115" s="264"/>
      <c r="AS115" s="264"/>
      <c r="AT115" s="264"/>
      <c r="AU115" s="264"/>
      <c r="AV115" s="264"/>
      <c r="AW115" s="264"/>
      <c r="AX115" s="264"/>
      <c r="AY115" s="264"/>
      <c r="AZ115" s="264"/>
      <c r="BA115" s="264"/>
      <c r="BB115" s="265"/>
      <c r="BC115" s="265"/>
      <c r="BD115" s="265"/>
      <c r="BE115" s="265"/>
      <c r="BF115" s="265"/>
      <c r="BG115" s="265"/>
      <c r="BH115" s="265"/>
      <c r="BI115" s="264"/>
      <c r="BJ115" s="264"/>
      <c r="BK115" s="264"/>
      <c r="BL115" s="264"/>
      <c r="BM115" s="264"/>
      <c r="BN115" s="264"/>
      <c r="BO115" s="264"/>
      <c r="BP115" s="264"/>
      <c r="BQ115" s="264"/>
      <c r="BR115" s="264"/>
      <c r="BS115" s="264"/>
      <c r="BT115" s="264"/>
      <c r="BU115" s="782"/>
      <c r="BV115" s="782"/>
      <c r="BW115" s="782"/>
      <c r="BX115" s="782"/>
      <c r="BY115" s="161"/>
      <c r="BZ115" s="161"/>
      <c r="CA115" s="264"/>
      <c r="CB115" s="264"/>
      <c r="CC115" s="264"/>
      <c r="CD115" s="264"/>
      <c r="CE115" s="264"/>
      <c r="CF115" s="264"/>
      <c r="CG115" s="264"/>
      <c r="CH115" s="264"/>
      <c r="CI115" s="264"/>
      <c r="CJ115" s="264"/>
      <c r="CK115" s="264"/>
      <c r="CL115" s="264"/>
      <c r="CM115" s="264"/>
      <c r="CN115" s="264"/>
      <c r="CO115" s="264"/>
      <c r="CP115" s="264"/>
      <c r="CQ115" s="264"/>
      <c r="CR115" s="264"/>
      <c r="CS115" s="264"/>
      <c r="CT115" s="264"/>
      <c r="CU115" s="264"/>
      <c r="CV115" s="161"/>
      <c r="CW115" s="161"/>
      <c r="CX115" s="161"/>
      <c r="CY115" s="161"/>
      <c r="CZ115" s="161"/>
      <c r="DA115" s="161"/>
      <c r="DB115" s="161"/>
      <c r="DC115" s="161"/>
      <c r="DD115" s="161"/>
      <c r="DE115" s="161"/>
      <c r="DF115" s="161"/>
      <c r="DG115" s="161"/>
      <c r="DH115" s="161"/>
      <c r="DI115" s="161"/>
      <c r="DJ115" s="161"/>
      <c r="DK115" s="177"/>
      <c r="DL115" s="177"/>
      <c r="DM115" s="177"/>
      <c r="DN115" s="177"/>
      <c r="DO115" s="177"/>
      <c r="DP115" s="177"/>
      <c r="DQ115" s="177"/>
      <c r="DR115" s="177"/>
      <c r="DS115" s="177"/>
      <c r="DT115" s="177"/>
      <c r="DU115" s="177"/>
      <c r="DV115" s="177"/>
      <c r="DW115" s="177"/>
      <c r="DX115" s="177"/>
      <c r="DY115" s="177"/>
      <c r="DZ115" s="177"/>
      <c r="EA115" s="177"/>
      <c r="EB115" s="808"/>
      <c r="EC115" s="808"/>
      <c r="ED115" s="808"/>
      <c r="EF115" s="161"/>
      <c r="EH115" s="161"/>
      <c r="EM115" s="161"/>
      <c r="EN115" s="161"/>
      <c r="EO115" s="161"/>
      <c r="EP115" s="161"/>
      <c r="FL115" s="264"/>
      <c r="FM115" s="264"/>
      <c r="FN115" s="264"/>
      <c r="FO115" s="432"/>
      <c r="FP115" s="161"/>
      <c r="FQ115" s="161"/>
      <c r="FR115" s="430"/>
      <c r="FS115" s="641"/>
      <c r="FT115" s="639"/>
      <c r="FU115" s="668"/>
      <c r="FV115" s="667"/>
      <c r="FW115" s="668"/>
      <c r="FX115" s="667"/>
      <c r="FY115" s="749"/>
      <c r="FZ115" s="747"/>
      <c r="GA115" s="782"/>
      <c r="GB115" s="782"/>
      <c r="GC115" s="808"/>
      <c r="GD115" s="782"/>
      <c r="GE115" s="808"/>
    </row>
    <row r="116" spans="1:187">
      <c r="A116" s="161"/>
      <c r="B116" s="267"/>
      <c r="C116" s="161"/>
      <c r="D116" s="161"/>
      <c r="E116" s="161"/>
      <c r="F116" s="161"/>
      <c r="G116" s="161"/>
      <c r="H116" s="161"/>
      <c r="I116" s="161"/>
      <c r="J116" s="161"/>
      <c r="K116" s="161"/>
      <c r="L116" s="263"/>
      <c r="M116" s="161"/>
      <c r="N116" s="161"/>
      <c r="O116" s="161"/>
      <c r="P116" s="263"/>
      <c r="Q116" s="161"/>
      <c r="R116" s="161"/>
      <c r="S116" s="161"/>
      <c r="T116" s="161"/>
      <c r="U116" s="161"/>
      <c r="V116" s="161"/>
      <c r="W116" s="161"/>
      <c r="X116" s="161"/>
      <c r="Y116" s="161"/>
      <c r="Z116" s="161"/>
      <c r="AA116" s="161"/>
      <c r="AB116" s="263"/>
      <c r="AC116" s="263"/>
      <c r="AD116" s="263"/>
      <c r="AE116" s="264"/>
      <c r="AF116" s="264"/>
      <c r="AG116" s="264"/>
      <c r="AH116" s="264"/>
      <c r="AI116" s="264"/>
      <c r="AJ116" s="265"/>
      <c r="AK116" s="265"/>
      <c r="AL116" s="265"/>
      <c r="AM116" s="265"/>
      <c r="AN116" s="265"/>
      <c r="AO116" s="264"/>
      <c r="AP116" s="264"/>
      <c r="AQ116" s="264"/>
      <c r="AR116" s="264"/>
      <c r="AS116" s="264"/>
      <c r="AT116" s="264"/>
      <c r="AU116" s="264"/>
      <c r="AV116" s="264"/>
      <c r="AW116" s="264"/>
      <c r="AX116" s="264"/>
      <c r="AY116" s="264"/>
      <c r="AZ116" s="264"/>
      <c r="BA116" s="264"/>
      <c r="BB116" s="265"/>
      <c r="BC116" s="265"/>
      <c r="BD116" s="265"/>
      <c r="BE116" s="265"/>
      <c r="BF116" s="265"/>
      <c r="BG116" s="265"/>
      <c r="BH116" s="265"/>
      <c r="BI116" s="264"/>
      <c r="BJ116" s="264"/>
      <c r="BK116" s="264"/>
      <c r="BL116" s="264"/>
      <c r="BM116" s="264"/>
      <c r="BN116" s="264"/>
      <c r="BO116" s="264"/>
      <c r="BP116" s="264"/>
      <c r="BQ116" s="264"/>
      <c r="BR116" s="264"/>
      <c r="BS116" s="264"/>
      <c r="BT116" s="264"/>
      <c r="BU116" s="782"/>
      <c r="BV116" s="782"/>
      <c r="BW116" s="782"/>
      <c r="BX116" s="782"/>
      <c r="BY116" s="161"/>
      <c r="BZ116" s="161"/>
      <c r="CA116" s="264"/>
      <c r="CB116" s="264"/>
      <c r="CC116" s="264"/>
      <c r="CD116" s="264"/>
      <c r="CE116" s="264"/>
      <c r="CF116" s="264"/>
      <c r="CG116" s="264"/>
      <c r="CH116" s="264"/>
      <c r="CI116" s="264"/>
      <c r="CJ116" s="264"/>
      <c r="CK116" s="264"/>
      <c r="CL116" s="264"/>
      <c r="CM116" s="264"/>
      <c r="CN116" s="264"/>
      <c r="CO116" s="264"/>
      <c r="CP116" s="264"/>
      <c r="CQ116" s="264"/>
      <c r="CR116" s="264"/>
      <c r="CS116" s="264"/>
      <c r="CT116" s="264"/>
      <c r="CU116" s="264"/>
      <c r="CV116" s="161"/>
      <c r="CW116" s="161"/>
      <c r="CX116" s="161"/>
      <c r="CY116" s="161"/>
      <c r="CZ116" s="161"/>
      <c r="DA116" s="161"/>
      <c r="DB116" s="161"/>
      <c r="DC116" s="161"/>
      <c r="DD116" s="161"/>
      <c r="DE116" s="161"/>
      <c r="DF116" s="161"/>
      <c r="DG116" s="161"/>
      <c r="DH116" s="161"/>
      <c r="DI116" s="161"/>
      <c r="DJ116" s="161"/>
      <c r="DK116" s="177"/>
      <c r="DL116" s="177"/>
      <c r="DM116" s="177"/>
      <c r="DN116" s="177"/>
      <c r="DO116" s="177"/>
      <c r="DP116" s="177"/>
      <c r="DQ116" s="177"/>
      <c r="DR116" s="177"/>
      <c r="DS116" s="177"/>
      <c r="DT116" s="177"/>
      <c r="DU116" s="177"/>
      <c r="DV116" s="177"/>
      <c r="DW116" s="177"/>
      <c r="DX116" s="177"/>
      <c r="DY116" s="177"/>
      <c r="DZ116" s="177"/>
      <c r="EA116" s="177"/>
      <c r="EB116" s="808"/>
      <c r="EC116" s="808"/>
      <c r="ED116" s="808"/>
      <c r="EF116" s="161"/>
      <c r="EH116" s="161"/>
      <c r="EM116" s="161"/>
      <c r="EN116" s="161"/>
      <c r="EO116" s="161"/>
      <c r="EP116" s="161"/>
      <c r="FL116" s="264"/>
      <c r="FM116" s="264"/>
      <c r="FN116" s="264"/>
      <c r="FO116" s="432"/>
      <c r="FP116" s="161"/>
      <c r="FQ116" s="161"/>
      <c r="FR116" s="430"/>
      <c r="FS116" s="641"/>
      <c r="FT116" s="639"/>
      <c r="FU116" s="668"/>
      <c r="FV116" s="667"/>
      <c r="FW116" s="668"/>
      <c r="FX116" s="667"/>
      <c r="FY116" s="749"/>
      <c r="FZ116" s="747"/>
      <c r="GA116" s="782"/>
      <c r="GB116" s="782"/>
      <c r="GC116" s="808"/>
      <c r="GD116" s="782"/>
      <c r="GE116" s="808"/>
    </row>
    <row r="117" spans="1:187">
      <c r="A117" s="161"/>
      <c r="B117" s="268" t="s">
        <v>477</v>
      </c>
      <c r="C117" s="161"/>
      <c r="D117" s="161"/>
      <c r="E117" s="161"/>
      <c r="F117" s="161"/>
      <c r="G117" s="161"/>
      <c r="H117" s="161"/>
      <c r="I117" s="161"/>
      <c r="J117" s="161"/>
      <c r="K117" s="161"/>
      <c r="L117" s="263"/>
      <c r="M117" s="161"/>
      <c r="N117" s="161"/>
      <c r="O117" s="161"/>
      <c r="P117" s="263"/>
      <c r="Q117" s="161"/>
      <c r="R117" s="161"/>
      <c r="S117" s="161"/>
      <c r="T117" s="161"/>
      <c r="U117" s="161"/>
      <c r="V117" s="161"/>
      <c r="W117" s="161"/>
      <c r="X117" s="161"/>
      <c r="Y117" s="161"/>
      <c r="Z117" s="161"/>
      <c r="AA117" s="161"/>
      <c r="AB117" s="263"/>
      <c r="AC117" s="263"/>
      <c r="AD117" s="263"/>
      <c r="AE117" s="264"/>
      <c r="AF117" s="264"/>
      <c r="AG117" s="264"/>
      <c r="AH117" s="264"/>
      <c r="AI117" s="264"/>
      <c r="AJ117" s="265"/>
      <c r="AK117" s="294">
        <v>1944.0989999999999</v>
      </c>
      <c r="AL117" s="294">
        <v>1974.097</v>
      </c>
      <c r="AM117" s="294">
        <v>1970.8</v>
      </c>
      <c r="AN117" s="296">
        <f>4592.347-99-AO117</f>
        <v>2244.5059999999999</v>
      </c>
      <c r="AO117" s="296">
        <f>2347.841-99</f>
        <v>2248.8409999999999</v>
      </c>
      <c r="AP117" s="296">
        <v>2188.6260000000002</v>
      </c>
      <c r="AQ117" s="296">
        <v>2161.9</v>
      </c>
      <c r="AR117" s="296">
        <v>2366.9209999999998</v>
      </c>
      <c r="AS117" s="296">
        <f>2532.011-79</f>
        <v>2453.011</v>
      </c>
      <c r="AT117" s="296">
        <v>2288</v>
      </c>
      <c r="AU117" s="296">
        <v>2308.6750000000002</v>
      </c>
      <c r="AV117" s="296">
        <v>2589.8719999999998</v>
      </c>
      <c r="AW117" s="296">
        <v>2537.1190000000001</v>
      </c>
      <c r="AX117" s="296">
        <v>2617.8629999999998</v>
      </c>
      <c r="AY117" s="296">
        <v>2601.5700000000002</v>
      </c>
      <c r="AZ117" s="296">
        <v>2836.9349999999999</v>
      </c>
      <c r="BA117" s="296">
        <v>2838</v>
      </c>
      <c r="BB117" s="296">
        <v>2847.819</v>
      </c>
      <c r="BC117" s="296">
        <v>2949.22</v>
      </c>
      <c r="BD117" s="296">
        <v>3060.01</v>
      </c>
      <c r="BE117" s="296">
        <v>3065.346</v>
      </c>
      <c r="BF117" s="296">
        <v>2980.1610000000001</v>
      </c>
      <c r="BG117" s="296">
        <v>2958</v>
      </c>
      <c r="BH117" s="296">
        <v>3084.652</v>
      </c>
      <c r="BI117" s="296">
        <v>3093.5590000000002</v>
      </c>
      <c r="BJ117" s="296">
        <v>3139.6759999999999</v>
      </c>
      <c r="BK117" s="296">
        <v>3295.3020000000001</v>
      </c>
      <c r="BL117" s="296">
        <v>3466.7629999999999</v>
      </c>
      <c r="BM117" s="296">
        <v>3453.886</v>
      </c>
      <c r="BN117" s="296">
        <v>3429.002</v>
      </c>
      <c r="BO117" s="296">
        <v>3621.17</v>
      </c>
      <c r="BP117" s="298">
        <f>BP118*BP104</f>
        <v>3765.2433949999995</v>
      </c>
      <c r="BQ117" s="298"/>
      <c r="BR117" s="298"/>
      <c r="BS117" s="298"/>
      <c r="BT117" s="298"/>
      <c r="BU117" s="794"/>
      <c r="BV117" s="794"/>
      <c r="BW117" s="794"/>
      <c r="BX117" s="794">
        <f>Fixed!U140-BS117-BR117-BQ117</f>
        <v>17154.656450250004</v>
      </c>
      <c r="BY117" s="161"/>
      <c r="BZ117" s="161"/>
      <c r="CA117" s="264"/>
      <c r="CB117" s="264"/>
      <c r="CC117" s="264"/>
      <c r="CD117" s="264"/>
      <c r="CE117" s="264"/>
      <c r="CF117" s="264"/>
      <c r="CG117" s="264"/>
      <c r="CH117" s="264"/>
      <c r="CI117" s="264"/>
      <c r="CJ117" s="264"/>
      <c r="CK117" s="264"/>
      <c r="CL117" s="264"/>
      <c r="CM117" s="264"/>
      <c r="CN117" s="264"/>
      <c r="CO117" s="264"/>
      <c r="CP117" s="264"/>
      <c r="CQ117" s="264"/>
      <c r="CR117" s="264"/>
      <c r="CS117" s="264"/>
      <c r="CT117" s="264"/>
      <c r="CU117" s="264"/>
      <c r="CV117" s="284">
        <f t="shared" ref="CV117:EA117" si="182">AO117/AK117-1</f>
        <v>0.15675230530955475</v>
      </c>
      <c r="CW117" s="284">
        <f t="shared" si="182"/>
        <v>0.10867196495410325</v>
      </c>
      <c r="CX117" s="284">
        <f t="shared" si="182"/>
        <v>9.6965699208443334E-2</v>
      </c>
      <c r="CY117" s="284">
        <f t="shared" si="182"/>
        <v>5.4539840838028431E-2</v>
      </c>
      <c r="CZ117" s="284">
        <f t="shared" si="182"/>
        <v>9.0788988639036727E-2</v>
      </c>
      <c r="DA117" s="284">
        <f t="shared" si="182"/>
        <v>4.5404742518822205E-2</v>
      </c>
      <c r="DB117" s="284">
        <f t="shared" si="182"/>
        <v>6.7891669364910534E-2</v>
      </c>
      <c r="DC117" s="284">
        <f t="shared" si="182"/>
        <v>9.4194525292563558E-2</v>
      </c>
      <c r="DD117" s="284">
        <f t="shared" si="182"/>
        <v>3.428765708755499E-2</v>
      </c>
      <c r="DE117" s="284">
        <f t="shared" si="182"/>
        <v>0.14417089160839147</v>
      </c>
      <c r="DF117" s="284">
        <f t="shared" si="182"/>
        <v>0.12686714240852437</v>
      </c>
      <c r="DG117" s="284">
        <f t="shared" si="182"/>
        <v>9.5395834234278887E-2</v>
      </c>
      <c r="DH117" s="284">
        <f t="shared" si="182"/>
        <v>0.11859159936920571</v>
      </c>
      <c r="DI117" s="284">
        <f t="shared" si="182"/>
        <v>8.7841113152216099E-2</v>
      </c>
      <c r="DJ117" s="284">
        <f t="shared" si="182"/>
        <v>0.13363084598915265</v>
      </c>
      <c r="DK117" s="804">
        <f t="shared" si="182"/>
        <v>7.8632397287918154E-2</v>
      </c>
      <c r="DL117" s="804">
        <f t="shared" si="182"/>
        <v>8.0107822410147911E-2</v>
      </c>
      <c r="DM117" s="804">
        <f t="shared" si="182"/>
        <v>4.6471352287487333E-2</v>
      </c>
      <c r="DN117" s="804">
        <f t="shared" si="182"/>
        <v>2.9770583408494922E-3</v>
      </c>
      <c r="DO117" s="804">
        <f t="shared" si="182"/>
        <v>8.0529148597552336E-3</v>
      </c>
      <c r="DP117" s="804">
        <f t="shared" si="182"/>
        <v>9.2038549644968271E-3</v>
      </c>
      <c r="DQ117" s="804">
        <f t="shared" si="182"/>
        <v>5.3525631668893014E-2</v>
      </c>
      <c r="DR117" s="804">
        <f t="shared" si="182"/>
        <v>0.11403042596348878</v>
      </c>
      <c r="DS117" s="804">
        <f t="shared" si="182"/>
        <v>0.12387491360451675</v>
      </c>
      <c r="DT117" s="804">
        <f t="shared" si="182"/>
        <v>0.11647652428804478</v>
      </c>
      <c r="DU117" s="804">
        <f t="shared" si="182"/>
        <v>9.2151546847509147E-2</v>
      </c>
      <c r="DV117" s="804">
        <f t="shared" si="182"/>
        <v>9.8888660280605611E-2</v>
      </c>
      <c r="DW117" s="805">
        <f t="shared" si="182"/>
        <v>8.6097721419087447E-2</v>
      </c>
      <c r="DX117" s="805">
        <f t="shared" si="182"/>
        <v>-1</v>
      </c>
      <c r="DY117" s="805">
        <f t="shared" si="182"/>
        <v>-1</v>
      </c>
      <c r="DZ117" s="805">
        <f t="shared" si="182"/>
        <v>-1</v>
      </c>
      <c r="EA117" s="805">
        <f t="shared" si="182"/>
        <v>-1</v>
      </c>
      <c r="EB117" s="1034"/>
      <c r="EC117" s="1034"/>
      <c r="ED117" s="1034"/>
      <c r="EF117" s="665"/>
      <c r="EH117" s="284">
        <f>BP117/BL117-1</f>
        <v>8.6097721419087447E-2</v>
      </c>
      <c r="EM117" s="161"/>
      <c r="EN117" s="161"/>
      <c r="EO117" s="161"/>
      <c r="EP117" s="161"/>
      <c r="FL117" s="298">
        <f>2974+FL143</f>
        <v>3034</v>
      </c>
      <c r="FM117" s="298">
        <v>3030.9045443949999</v>
      </c>
      <c r="FN117" s="298">
        <v>3170.38302552</v>
      </c>
      <c r="FO117" s="442">
        <v>3117.109725192865</v>
      </c>
      <c r="FP117" s="284">
        <v>-1.1235748135773327E-2</v>
      </c>
      <c r="FQ117" s="284">
        <v>6.3829445966174347E-2</v>
      </c>
      <c r="FR117" s="443">
        <v>5.3789629882645462E-2</v>
      </c>
      <c r="FS117" s="654">
        <v>3525</v>
      </c>
      <c r="FT117" s="655">
        <v>0.13946428692648172</v>
      </c>
      <c r="FU117" s="683">
        <v>3580</v>
      </c>
      <c r="FV117" s="684">
        <v>0.1402450443931158</v>
      </c>
      <c r="FW117" s="710">
        <v>3643.2935288841845</v>
      </c>
      <c r="FX117" s="684">
        <v>0.10560231774938522</v>
      </c>
      <c r="FY117" s="762">
        <v>3852.3871325000009</v>
      </c>
      <c r="FZ117" s="771">
        <v>0.11123463948934531</v>
      </c>
      <c r="GA117" s="794">
        <v>3857.5009919999998</v>
      </c>
      <c r="GB117" s="794">
        <v>3890.4806691499998</v>
      </c>
      <c r="GC117" s="811">
        <v>0.13458104403263693</v>
      </c>
      <c r="GD117" s="794">
        <v>11690.481865025005</v>
      </c>
      <c r="GE117" s="811">
        <v>2.2283714559175638</v>
      </c>
    </row>
    <row r="118" spans="1:187">
      <c r="A118" s="161"/>
      <c r="B118" s="267" t="s">
        <v>45</v>
      </c>
      <c r="C118" s="161"/>
      <c r="D118" s="161"/>
      <c r="E118" s="161"/>
      <c r="F118" s="161"/>
      <c r="G118" s="161"/>
      <c r="H118" s="161"/>
      <c r="I118" s="161"/>
      <c r="J118" s="161"/>
      <c r="K118" s="161"/>
      <c r="L118" s="263"/>
      <c r="M118" s="161"/>
      <c r="N118" s="161"/>
      <c r="O118" s="161"/>
      <c r="P118" s="263"/>
      <c r="Q118" s="161"/>
      <c r="R118" s="161"/>
      <c r="S118" s="161"/>
      <c r="T118" s="161"/>
      <c r="U118" s="161"/>
      <c r="V118" s="161"/>
      <c r="W118" s="161"/>
      <c r="X118" s="161"/>
      <c r="Y118" s="161"/>
      <c r="Z118" s="161"/>
      <c r="AA118" s="161"/>
      <c r="AB118" s="263"/>
      <c r="AC118" s="263"/>
      <c r="AD118" s="263"/>
      <c r="AE118" s="264"/>
      <c r="AF118" s="264"/>
      <c r="AG118" s="264"/>
      <c r="AH118" s="264"/>
      <c r="AI118" s="264"/>
      <c r="AJ118" s="265"/>
      <c r="AK118" s="265"/>
      <c r="AL118" s="265"/>
      <c r="AM118" s="265"/>
      <c r="AN118" s="284">
        <f t="shared" ref="AN118:BS118" si="183">AN117/AN104</f>
        <v>0.52825578384993765</v>
      </c>
      <c r="AO118" s="284">
        <f t="shared" si="183"/>
        <v>0.51320155436441584</v>
      </c>
      <c r="AP118" s="284">
        <f t="shared" si="183"/>
        <v>0.49889285670324318</v>
      </c>
      <c r="AQ118" s="284">
        <f t="shared" si="183"/>
        <v>0.47844496864845443</v>
      </c>
      <c r="AR118" s="284">
        <f t="shared" si="183"/>
        <v>0.5098925032313657</v>
      </c>
      <c r="AS118" s="284">
        <f t="shared" si="183"/>
        <v>0.50195060034291272</v>
      </c>
      <c r="AT118" s="284">
        <f t="shared" si="183"/>
        <v>0.47666666666666668</v>
      </c>
      <c r="AU118" s="284">
        <f t="shared" si="183"/>
        <v>0.47552689679860877</v>
      </c>
      <c r="AV118" s="284">
        <f t="shared" si="183"/>
        <v>0.51688738582760452</v>
      </c>
      <c r="AW118" s="284">
        <f t="shared" si="183"/>
        <v>0.51224287855284956</v>
      </c>
      <c r="AX118" s="284">
        <f t="shared" si="183"/>
        <v>0.51091089954103441</v>
      </c>
      <c r="AY118" s="284">
        <f t="shared" si="183"/>
        <v>0.49384874454934935</v>
      </c>
      <c r="AZ118" s="284">
        <f t="shared" si="183"/>
        <v>0.51968986425836705</v>
      </c>
      <c r="BA118" s="284">
        <f t="shared" si="183"/>
        <v>0.51190476190476186</v>
      </c>
      <c r="BB118" s="284">
        <f t="shared" si="183"/>
        <v>0.50632466007596777</v>
      </c>
      <c r="BC118" s="284">
        <f t="shared" si="183"/>
        <v>0.49878467301175816</v>
      </c>
      <c r="BD118" s="284">
        <f t="shared" si="183"/>
        <v>0.50813385131819622</v>
      </c>
      <c r="BE118" s="284">
        <f t="shared" si="183"/>
        <v>0.50216019182483751</v>
      </c>
      <c r="BF118" s="284">
        <f t="shared" si="183"/>
        <v>0.48587389807959752</v>
      </c>
      <c r="BG118" s="284">
        <f t="shared" si="183"/>
        <v>0.46892834495878249</v>
      </c>
      <c r="BH118" s="284">
        <f t="shared" si="183"/>
        <v>0.47336365350904852</v>
      </c>
      <c r="BI118" s="284">
        <f t="shared" si="183"/>
        <v>0.46052113295416552</v>
      </c>
      <c r="BJ118" s="284">
        <f t="shared" si="183"/>
        <v>0.45452842442163971</v>
      </c>
      <c r="BK118" s="284">
        <f t="shared" si="183"/>
        <v>0.4597280277814903</v>
      </c>
      <c r="BL118" s="284">
        <f t="shared" si="183"/>
        <v>0.47293648425785983</v>
      </c>
      <c r="BM118" s="284">
        <f t="shared" si="183"/>
        <v>0.46360842345517261</v>
      </c>
      <c r="BN118" s="284">
        <f t="shared" si="183"/>
        <v>0.45175356429270236</v>
      </c>
      <c r="BO118" s="284">
        <f t="shared" si="183"/>
        <v>0.45514007626286329</v>
      </c>
      <c r="BP118" s="272">
        <v>0.47499999999999998</v>
      </c>
      <c r="BQ118" s="272">
        <v>0.47499999999999998</v>
      </c>
      <c r="BR118" s="272">
        <v>0.47</v>
      </c>
      <c r="BS118" s="272" t="e">
        <f t="shared" si="183"/>
        <v>#DIV/0!</v>
      </c>
      <c r="BT118" s="272" t="e">
        <f>BT117/BT104</f>
        <v>#DIV/0!</v>
      </c>
      <c r="BU118" s="796"/>
      <c r="BV118" s="796"/>
      <c r="BW118" s="796"/>
      <c r="BX118" s="796">
        <f>BX117/BX104</f>
        <v>0.45377809490749194</v>
      </c>
      <c r="BY118" s="161"/>
      <c r="BZ118" s="161"/>
      <c r="CA118" s="264"/>
      <c r="CB118" s="264"/>
      <c r="CC118" s="264"/>
      <c r="CD118" s="264"/>
      <c r="CE118" s="264"/>
      <c r="CF118" s="264"/>
      <c r="CG118" s="264"/>
      <c r="CH118" s="264"/>
      <c r="CI118" s="264"/>
      <c r="CJ118" s="264"/>
      <c r="CK118" s="264"/>
      <c r="CL118" s="264"/>
      <c r="CM118" s="264"/>
      <c r="CN118" s="264"/>
      <c r="CO118" s="264"/>
      <c r="CP118" s="264"/>
      <c r="CQ118" s="264"/>
      <c r="CR118" s="264"/>
      <c r="CS118" s="264"/>
      <c r="CT118" s="264"/>
      <c r="CU118" s="285" t="s">
        <v>478</v>
      </c>
      <c r="CV118" s="161"/>
      <c r="CW118" s="161"/>
      <c r="CX118" s="161"/>
      <c r="CY118" s="285">
        <f>((AR117-40)/AN117)-1</f>
        <v>3.671854742201619E-2</v>
      </c>
      <c r="CZ118" s="285">
        <f t="shared" ref="CZ118:DH118" si="184">((AS117-54)/AO117)-1</f>
        <v>6.6776619600941167E-2</v>
      </c>
      <c r="DA118" s="285">
        <f t="shared" si="184"/>
        <v>2.0731728490843038E-2</v>
      </c>
      <c r="DB118" s="285">
        <f t="shared" si="184"/>
        <v>4.2913640778944551E-2</v>
      </c>
      <c r="DC118" s="285">
        <f t="shared" si="184"/>
        <v>7.1380075634125628E-2</v>
      </c>
      <c r="DD118" s="285">
        <f t="shared" si="184"/>
        <v>1.2273895225092923E-2</v>
      </c>
      <c r="DE118" s="285">
        <f t="shared" si="184"/>
        <v>0.12056949300699293</v>
      </c>
      <c r="DF118" s="285">
        <f t="shared" si="184"/>
        <v>0.10347710266711418</v>
      </c>
      <c r="DG118" s="285">
        <f t="shared" si="184"/>
        <v>7.4545382937844185E-2</v>
      </c>
      <c r="DH118" s="285">
        <f t="shared" si="184"/>
        <v>9.7307615448861462E-2</v>
      </c>
      <c r="DI118" s="161"/>
      <c r="DJ118" s="161"/>
      <c r="DK118" s="177"/>
      <c r="DL118" s="177"/>
      <c r="DM118" s="177"/>
      <c r="DN118" s="177"/>
      <c r="DO118" s="177"/>
      <c r="DP118" s="177"/>
      <c r="DQ118" s="177"/>
      <c r="DR118" s="177"/>
      <c r="DS118" s="177"/>
      <c r="DT118" s="177"/>
      <c r="DU118" s="177"/>
      <c r="DV118" s="177"/>
      <c r="DW118" s="177"/>
      <c r="DX118" s="177"/>
      <c r="DY118" s="177"/>
      <c r="DZ118" s="177"/>
      <c r="EA118" s="177"/>
      <c r="EB118" s="808"/>
      <c r="EC118" s="808"/>
      <c r="ED118" s="808"/>
      <c r="EF118" s="161"/>
      <c r="EH118" s="161"/>
      <c r="EM118" s="161"/>
      <c r="EN118" s="161"/>
      <c r="EO118" s="161"/>
      <c r="EP118" s="161"/>
      <c r="FL118" s="293">
        <v>0.46</v>
      </c>
      <c r="FM118" s="293">
        <v>0.45500000000000002</v>
      </c>
      <c r="FN118" s="323">
        <v>0.46</v>
      </c>
      <c r="FO118" s="443">
        <v>0.44284651955961191</v>
      </c>
      <c r="FP118" s="161"/>
      <c r="FQ118" s="161"/>
      <c r="FR118" s="430"/>
      <c r="FS118" s="655">
        <v>0.46968687541638909</v>
      </c>
      <c r="FT118" s="639"/>
      <c r="FU118" s="684">
        <v>0.4695081967213115</v>
      </c>
      <c r="FV118" s="667"/>
      <c r="FW118" s="684">
        <v>0.46018422021135202</v>
      </c>
      <c r="FX118" s="667"/>
      <c r="FY118" s="763">
        <v>0.47499999999999998</v>
      </c>
      <c r="FZ118" s="747"/>
      <c r="GA118" s="795">
        <v>0.47499999999999998</v>
      </c>
      <c r="GB118" s="795">
        <v>0.47</v>
      </c>
      <c r="GC118" s="808"/>
      <c r="GD118" s="796">
        <v>1.3594153272816207</v>
      </c>
      <c r="GE118" s="808"/>
    </row>
    <row r="119" spans="1:187">
      <c r="A119" s="161"/>
      <c r="B119" s="299" t="s">
        <v>479</v>
      </c>
      <c r="C119" s="161"/>
      <c r="D119" s="161"/>
      <c r="E119" s="161"/>
      <c r="F119" s="161"/>
      <c r="G119" s="161"/>
      <c r="H119" s="161"/>
      <c r="I119" s="161"/>
      <c r="J119" s="161"/>
      <c r="K119" s="161"/>
      <c r="L119" s="263"/>
      <c r="M119" s="161"/>
      <c r="N119" s="161"/>
      <c r="O119" s="161"/>
      <c r="P119" s="263"/>
      <c r="Q119" s="161"/>
      <c r="R119" s="161"/>
      <c r="S119" s="161"/>
      <c r="T119" s="161"/>
      <c r="U119" s="161"/>
      <c r="V119" s="161"/>
      <c r="W119" s="161"/>
      <c r="X119" s="161"/>
      <c r="Y119" s="161"/>
      <c r="Z119" s="161"/>
      <c r="AA119" s="161"/>
      <c r="AB119" s="263"/>
      <c r="AC119" s="263"/>
      <c r="AD119" s="263"/>
      <c r="AE119" s="264"/>
      <c r="AF119" s="264"/>
      <c r="AG119" s="264"/>
      <c r="AH119" s="264"/>
      <c r="AI119" s="264"/>
      <c r="AJ119" s="265"/>
      <c r="AK119" s="265"/>
      <c r="AL119" s="265"/>
      <c r="AM119" s="265"/>
      <c r="AN119" s="284"/>
      <c r="AO119" s="284"/>
      <c r="AP119" s="284"/>
      <c r="AQ119" s="284"/>
      <c r="AR119" s="284"/>
      <c r="AS119" s="284"/>
      <c r="AT119" s="284"/>
      <c r="AU119" s="284"/>
      <c r="AV119" s="300">
        <f t="shared" ref="AV119:BN119" si="185">AV117/(AV104-AV70)</f>
        <v>0.52029825803246821</v>
      </c>
      <c r="AW119" s="300">
        <f t="shared" si="185"/>
        <v>0.5162047048237044</v>
      </c>
      <c r="AX119" s="300">
        <f t="shared" si="185"/>
        <v>0.51908071347811346</v>
      </c>
      <c r="AY119" s="300">
        <f t="shared" si="185"/>
        <v>0.50119047376452919</v>
      </c>
      <c r="AZ119" s="300">
        <f t="shared" si="185"/>
        <v>0.52833230066421855</v>
      </c>
      <c r="BA119" s="300">
        <f t="shared" si="185"/>
        <v>0.52037939894966534</v>
      </c>
      <c r="BB119" s="300">
        <f t="shared" si="185"/>
        <v>0.51629567695115242</v>
      </c>
      <c r="BC119" s="300">
        <f t="shared" si="185"/>
        <v>0.50986513373552211</v>
      </c>
      <c r="BD119" s="300">
        <f t="shared" si="185"/>
        <v>0.5214977272952579</v>
      </c>
      <c r="BE119" s="300">
        <f t="shared" si="185"/>
        <v>0.51441060628465007</v>
      </c>
      <c r="BF119" s="300">
        <f t="shared" si="185"/>
        <v>0.49952753177047288</v>
      </c>
      <c r="BG119" s="300">
        <f t="shared" si="185"/>
        <v>0.48293825030992898</v>
      </c>
      <c r="BH119" s="300">
        <f t="shared" si="185"/>
        <v>0.48816774803097984</v>
      </c>
      <c r="BI119" s="300">
        <f t="shared" si="185"/>
        <v>0.47510620760483052</v>
      </c>
      <c r="BJ119" s="300">
        <f t="shared" si="185"/>
        <v>0.47093965585874026</v>
      </c>
      <c r="BK119" s="300">
        <f t="shared" si="185"/>
        <v>0.4735790456761001</v>
      </c>
      <c r="BL119" s="300">
        <f t="shared" si="185"/>
        <v>0.48805523930885031</v>
      </c>
      <c r="BM119" s="300">
        <f t="shared" si="185"/>
        <v>0.47498925189918795</v>
      </c>
      <c r="BN119" s="300">
        <f t="shared" si="185"/>
        <v>0.46441005510435507</v>
      </c>
      <c r="BO119" s="300">
        <f>BO117/(BO104-BO70)</f>
        <v>0.47282874979594708</v>
      </c>
      <c r="BP119" s="300"/>
      <c r="BQ119" s="300"/>
      <c r="BR119" s="300"/>
      <c r="BS119" s="300"/>
      <c r="BT119" s="300"/>
      <c r="BU119" s="797"/>
      <c r="BV119" s="797"/>
      <c r="BW119" s="797"/>
      <c r="BX119" s="797"/>
      <c r="BY119" s="161"/>
      <c r="BZ119" s="161"/>
      <c r="CA119" s="264"/>
      <c r="CB119" s="264"/>
      <c r="CC119" s="264"/>
      <c r="CD119" s="264"/>
      <c r="CE119" s="264"/>
      <c r="CF119" s="264"/>
      <c r="CG119" s="264"/>
      <c r="CH119" s="264"/>
      <c r="CI119" s="264"/>
      <c r="CJ119" s="264"/>
      <c r="CK119" s="264"/>
      <c r="CL119" s="264"/>
      <c r="CM119" s="264"/>
      <c r="CN119" s="264"/>
      <c r="CO119" s="264"/>
      <c r="CP119" s="264"/>
      <c r="CQ119" s="264"/>
      <c r="CR119" s="264"/>
      <c r="CS119" s="264"/>
      <c r="CT119" s="264"/>
      <c r="CU119" s="285"/>
      <c r="CV119" s="161"/>
      <c r="CW119" s="161"/>
      <c r="CX119" s="161"/>
      <c r="CY119" s="285"/>
      <c r="CZ119" s="285"/>
      <c r="DA119" s="285"/>
      <c r="DB119" s="285"/>
      <c r="DC119" s="285"/>
      <c r="DD119" s="285"/>
      <c r="DE119" s="285"/>
      <c r="DF119" s="285"/>
      <c r="DG119" s="285"/>
      <c r="DH119" s="285"/>
      <c r="DI119" s="161"/>
      <c r="DJ119" s="161"/>
      <c r="DK119" s="177"/>
      <c r="DL119" s="177"/>
      <c r="DM119" s="177"/>
      <c r="DN119" s="177"/>
      <c r="DO119" s="177"/>
      <c r="DP119" s="177"/>
      <c r="DQ119" s="177"/>
      <c r="DR119" s="177"/>
      <c r="DS119" s="177"/>
      <c r="DT119" s="177"/>
      <c r="DU119" s="177"/>
      <c r="DV119" s="177"/>
      <c r="DW119" s="177"/>
      <c r="DX119" s="177"/>
      <c r="DY119" s="177"/>
      <c r="DZ119" s="177"/>
      <c r="EA119" s="177"/>
      <c r="EB119" s="808"/>
      <c r="EC119" s="808"/>
      <c r="ED119" s="808"/>
      <c r="EF119" s="161"/>
      <c r="EH119" s="161"/>
      <c r="EM119" s="161"/>
      <c r="EN119" s="161"/>
      <c r="EO119" s="161"/>
      <c r="EP119" s="161"/>
      <c r="FL119" s="300">
        <v>0.47392561287970636</v>
      </c>
      <c r="FM119" s="300">
        <v>0.46872107799366175</v>
      </c>
      <c r="FN119" s="300">
        <v>0.47445645305184891</v>
      </c>
      <c r="FO119" s="444">
        <v>0.45543280746949122</v>
      </c>
      <c r="FP119" s="161"/>
      <c r="FQ119" s="161"/>
      <c r="FR119" s="430"/>
      <c r="FS119" s="656">
        <v>0.4845360824742268</v>
      </c>
      <c r="FT119" s="639"/>
      <c r="FU119" s="685">
        <v>0.4844384303112314</v>
      </c>
      <c r="FV119" s="667"/>
      <c r="FW119" s="685">
        <v>0.47486307910668468</v>
      </c>
      <c r="FX119" s="667"/>
      <c r="FY119" s="764"/>
      <c r="FZ119" s="747"/>
      <c r="GA119" s="797"/>
      <c r="GB119" s="797"/>
      <c r="GC119" s="808"/>
      <c r="GD119" s="797"/>
      <c r="GE119" s="808"/>
    </row>
    <row r="120" spans="1:187">
      <c r="A120" s="161"/>
      <c r="B120" s="299" t="s">
        <v>480</v>
      </c>
      <c r="C120" s="161"/>
      <c r="D120" s="161"/>
      <c r="E120" s="161"/>
      <c r="F120" s="161"/>
      <c r="G120" s="161"/>
      <c r="H120" s="161"/>
      <c r="I120" s="161"/>
      <c r="J120" s="161"/>
      <c r="K120" s="161"/>
      <c r="L120" s="263"/>
      <c r="M120" s="161"/>
      <c r="N120" s="161"/>
      <c r="O120" s="161"/>
      <c r="P120" s="263"/>
      <c r="Q120" s="161"/>
      <c r="R120" s="161"/>
      <c r="S120" s="161"/>
      <c r="T120" s="161"/>
      <c r="U120" s="161"/>
      <c r="V120" s="161"/>
      <c r="W120" s="161"/>
      <c r="X120" s="161"/>
      <c r="Y120" s="161"/>
      <c r="Z120" s="161"/>
      <c r="AA120" s="161"/>
      <c r="AB120" s="263"/>
      <c r="AC120" s="263"/>
      <c r="AD120" s="263"/>
      <c r="AE120" s="264"/>
      <c r="AF120" s="264"/>
      <c r="AG120" s="264"/>
      <c r="AH120" s="264"/>
      <c r="AI120" s="264"/>
      <c r="AJ120" s="265"/>
      <c r="AK120" s="265"/>
      <c r="AL120" s="265"/>
      <c r="AM120" s="265"/>
      <c r="AN120" s="284"/>
      <c r="AO120" s="284"/>
      <c r="AP120" s="284"/>
      <c r="AQ120" s="284"/>
      <c r="AR120" s="284"/>
      <c r="AS120" s="284"/>
      <c r="AT120" s="284"/>
      <c r="AU120" s="284"/>
      <c r="AV120" s="301">
        <f t="shared" ref="AV120:BO120" si="186">AV104-AV117</f>
        <v>2420.6430000000005</v>
      </c>
      <c r="AW120" s="301">
        <f t="shared" si="186"/>
        <v>2415.8420000000001</v>
      </c>
      <c r="AX120" s="301">
        <f t="shared" si="186"/>
        <v>2506.0499999999997</v>
      </c>
      <c r="AY120" s="301">
        <f t="shared" si="186"/>
        <v>2666.3789999999995</v>
      </c>
      <c r="AZ120" s="301">
        <f t="shared" si="186"/>
        <v>2621.9649999999997</v>
      </c>
      <c r="BA120" s="301">
        <f t="shared" si="186"/>
        <v>2706</v>
      </c>
      <c r="BB120" s="301">
        <f t="shared" si="186"/>
        <v>2776.6730000000002</v>
      </c>
      <c r="BC120" s="301">
        <f t="shared" si="186"/>
        <v>2963.5920000000001</v>
      </c>
      <c r="BD120" s="301">
        <f t="shared" si="186"/>
        <v>2962.0450000000001</v>
      </c>
      <c r="BE120" s="301">
        <f t="shared" si="186"/>
        <v>3038.9729999999995</v>
      </c>
      <c r="BF120" s="301">
        <f t="shared" si="186"/>
        <v>3153.4489999999996</v>
      </c>
      <c r="BG120" s="301">
        <f t="shared" si="186"/>
        <v>3350</v>
      </c>
      <c r="BH120" s="301">
        <f t="shared" si="186"/>
        <v>3431.8010000000004</v>
      </c>
      <c r="BI120" s="301">
        <f t="shared" si="186"/>
        <v>3623.9589999999998</v>
      </c>
      <c r="BJ120" s="301">
        <f t="shared" si="186"/>
        <v>3767.8700000000003</v>
      </c>
      <c r="BK120" s="301">
        <f t="shared" si="186"/>
        <v>3872.636</v>
      </c>
      <c r="BL120" s="301">
        <f t="shared" si="186"/>
        <v>3863.5299999999997</v>
      </c>
      <c r="BM120" s="301">
        <f t="shared" si="186"/>
        <v>3996.1209999999996</v>
      </c>
      <c r="BN120" s="301">
        <f t="shared" si="186"/>
        <v>4161.4240000000009</v>
      </c>
      <c r="BO120" s="301">
        <f t="shared" si="186"/>
        <v>4334.9960000000001</v>
      </c>
      <c r="BP120" s="301"/>
      <c r="BQ120" s="301"/>
      <c r="BR120" s="301"/>
      <c r="BS120" s="301"/>
      <c r="BT120" s="301"/>
      <c r="BU120" s="798"/>
      <c r="BV120" s="798"/>
      <c r="BW120" s="798"/>
      <c r="BX120" s="798"/>
      <c r="BY120" s="161"/>
      <c r="BZ120" s="161"/>
      <c r="CA120" s="264"/>
      <c r="CB120" s="264"/>
      <c r="CC120" s="264"/>
      <c r="CD120" s="264"/>
      <c r="CE120" s="264"/>
      <c r="CF120" s="264"/>
      <c r="CG120" s="264"/>
      <c r="CH120" s="264"/>
      <c r="CI120" s="264"/>
      <c r="CJ120" s="264"/>
      <c r="CK120" s="264"/>
      <c r="CL120" s="264"/>
      <c r="CM120" s="264"/>
      <c r="CN120" s="264"/>
      <c r="CO120" s="264"/>
      <c r="CP120" s="264"/>
      <c r="CQ120" s="264"/>
      <c r="CR120" s="264"/>
      <c r="CS120" s="264"/>
      <c r="CT120" s="264"/>
      <c r="CU120" s="285"/>
      <c r="CV120" s="161"/>
      <c r="CW120" s="161"/>
      <c r="CX120" s="161"/>
      <c r="CY120" s="285"/>
      <c r="CZ120" s="285"/>
      <c r="DA120" s="285"/>
      <c r="DB120" s="285"/>
      <c r="DC120" s="285"/>
      <c r="DD120" s="285"/>
      <c r="DE120" s="285"/>
      <c r="DF120" s="285"/>
      <c r="DG120" s="300">
        <f t="shared" ref="DG120:EA120" si="187">AZ120/AV120-1</f>
        <v>8.3168810931640635E-2</v>
      </c>
      <c r="DH120" s="300">
        <f t="shared" si="187"/>
        <v>0.1201063645718552</v>
      </c>
      <c r="DI120" s="300">
        <f t="shared" si="187"/>
        <v>0.10798786935615823</v>
      </c>
      <c r="DJ120" s="300">
        <f t="shared" si="187"/>
        <v>0.1114668994917829</v>
      </c>
      <c r="DK120" s="806">
        <f t="shared" si="187"/>
        <v>0.12970424853115903</v>
      </c>
      <c r="DL120" s="806">
        <f t="shared" si="187"/>
        <v>0.12304988913525472</v>
      </c>
      <c r="DM120" s="806">
        <f t="shared" si="187"/>
        <v>0.13569332795039224</v>
      </c>
      <c r="DN120" s="806">
        <f t="shared" si="187"/>
        <v>0.13038501926041102</v>
      </c>
      <c r="DO120" s="806">
        <f t="shared" si="187"/>
        <v>0.15859178371699301</v>
      </c>
      <c r="DP120" s="806">
        <f t="shared" si="187"/>
        <v>0.19249463552325086</v>
      </c>
      <c r="DQ120" s="806">
        <f t="shared" si="187"/>
        <v>0.19484095033723414</v>
      </c>
      <c r="DR120" s="806">
        <f t="shared" si="187"/>
        <v>0.15601074626865663</v>
      </c>
      <c r="DS120" s="806">
        <f t="shared" si="187"/>
        <v>0.12580245765998654</v>
      </c>
      <c r="DT120" s="806">
        <f t="shared" si="187"/>
        <v>0.10269487044417436</v>
      </c>
      <c r="DU120" s="806">
        <f t="shared" si="187"/>
        <v>0.10444999429385837</v>
      </c>
      <c r="DV120" s="806">
        <f t="shared" si="187"/>
        <v>0.11939154622329595</v>
      </c>
      <c r="DW120" s="806">
        <f t="shared" si="187"/>
        <v>-1</v>
      </c>
      <c r="DX120" s="806">
        <f t="shared" si="187"/>
        <v>-1</v>
      </c>
      <c r="DY120" s="806">
        <f t="shared" si="187"/>
        <v>-1</v>
      </c>
      <c r="DZ120" s="806">
        <f t="shared" si="187"/>
        <v>-1</v>
      </c>
      <c r="EA120" s="806" t="e">
        <f t="shared" si="187"/>
        <v>#DIV/0!</v>
      </c>
      <c r="EB120" s="1035"/>
      <c r="EC120" s="1035"/>
      <c r="ED120" s="1035"/>
      <c r="EF120" s="161"/>
      <c r="EH120" s="161"/>
      <c r="EM120" s="161"/>
      <c r="EN120" s="161"/>
      <c r="EO120" s="161"/>
      <c r="EP120" s="161"/>
      <c r="FL120" s="301">
        <v>3491.7506540999993</v>
      </c>
      <c r="FM120" s="301">
        <v>3630.4241246049996</v>
      </c>
      <c r="FN120" s="301">
        <v>3721.7539864800001</v>
      </c>
      <c r="FO120" s="445">
        <v>3921.6939856112085</v>
      </c>
      <c r="FP120" s="300">
        <v>0.19462203994737703</v>
      </c>
      <c r="FQ120" s="300">
        <v>0.18021695815597472</v>
      </c>
      <c r="FR120" s="444">
        <v>0.17065492107797264</v>
      </c>
      <c r="FS120" s="657">
        <v>3980</v>
      </c>
      <c r="FT120" s="656">
        <v>9.8246420558290026E-2</v>
      </c>
      <c r="FU120" s="686">
        <v>4045</v>
      </c>
      <c r="FV120" s="685">
        <v>7.3550839068226681E-2</v>
      </c>
      <c r="FW120" s="686">
        <v>4273.7391916443539</v>
      </c>
      <c r="FX120" s="685">
        <v>0.10357368770118192</v>
      </c>
      <c r="FY120" s="765"/>
      <c r="FZ120" s="764">
        <v>-1</v>
      </c>
      <c r="GA120" s="798"/>
      <c r="GB120" s="798"/>
      <c r="GC120" s="808"/>
      <c r="GD120" s="798"/>
      <c r="GE120" s="808"/>
    </row>
    <row r="121" spans="1:187">
      <c r="A121" s="161"/>
      <c r="B121" s="267"/>
      <c r="C121" s="161"/>
      <c r="D121" s="161"/>
      <c r="E121" s="161"/>
      <c r="F121" s="161"/>
      <c r="G121" s="161"/>
      <c r="H121" s="161"/>
      <c r="I121" s="161"/>
      <c r="J121" s="161"/>
      <c r="K121" s="161"/>
      <c r="L121" s="263"/>
      <c r="M121" s="161"/>
      <c r="N121" s="161"/>
      <c r="O121" s="161"/>
      <c r="P121" s="263"/>
      <c r="Q121" s="161"/>
      <c r="R121" s="161"/>
      <c r="S121" s="161"/>
      <c r="T121" s="161"/>
      <c r="U121" s="161"/>
      <c r="V121" s="161"/>
      <c r="W121" s="161"/>
      <c r="X121" s="161"/>
      <c r="Y121" s="161"/>
      <c r="Z121" s="161"/>
      <c r="AA121" s="161"/>
      <c r="AB121" s="263"/>
      <c r="AC121" s="263"/>
      <c r="AD121" s="263"/>
      <c r="AE121" s="264"/>
      <c r="AF121" s="264"/>
      <c r="AG121" s="264"/>
      <c r="AH121" s="264"/>
      <c r="AI121" s="264"/>
      <c r="AJ121" s="265"/>
      <c r="AK121" s="265"/>
      <c r="AL121" s="265"/>
      <c r="AM121" s="265"/>
      <c r="AN121" s="265"/>
      <c r="AO121" s="264"/>
      <c r="AP121" s="264"/>
      <c r="AQ121" s="264"/>
      <c r="AR121" s="264"/>
      <c r="AS121" s="265"/>
      <c r="AT121" s="265"/>
      <c r="AU121" s="265"/>
      <c r="AV121" s="265"/>
      <c r="AW121" s="265"/>
      <c r="AX121" s="264"/>
      <c r="AY121" s="264"/>
      <c r="AZ121" s="264"/>
      <c r="BA121" s="264"/>
      <c r="BB121" s="264"/>
      <c r="BC121" s="265"/>
      <c r="BD121" s="265"/>
      <c r="BE121" s="265"/>
      <c r="BF121" s="265"/>
      <c r="BG121" s="265"/>
      <c r="BH121" s="265"/>
      <c r="BI121" s="265"/>
      <c r="BJ121" s="265"/>
      <c r="BK121" s="264"/>
      <c r="BL121" s="264"/>
      <c r="BM121" s="264"/>
      <c r="BN121" s="264"/>
      <c r="BO121" s="264"/>
      <c r="BP121" s="264"/>
      <c r="BQ121" s="264"/>
      <c r="BR121" s="264"/>
      <c r="BS121" s="264"/>
      <c r="BT121" s="264"/>
      <c r="BU121" s="782"/>
      <c r="BV121" s="782"/>
      <c r="BW121" s="782"/>
      <c r="BX121" s="782"/>
      <c r="BY121" s="161"/>
      <c r="BZ121" s="161"/>
      <c r="CA121" s="264"/>
      <c r="CB121" s="264"/>
      <c r="CC121" s="264"/>
      <c r="CD121" s="264"/>
      <c r="CE121" s="264"/>
      <c r="CF121" s="264"/>
      <c r="CG121" s="264"/>
      <c r="CH121" s="264"/>
      <c r="CI121" s="264" t="s">
        <v>481</v>
      </c>
      <c r="CJ121" s="264">
        <f>AR117/AR140</f>
        <v>0.92805400537089477</v>
      </c>
      <c r="CK121" s="264"/>
      <c r="CL121" s="264"/>
      <c r="CM121" s="264"/>
      <c r="CN121" s="264"/>
      <c r="CO121" s="264"/>
      <c r="CP121" s="264"/>
      <c r="CQ121" s="264"/>
      <c r="CR121" s="264"/>
      <c r="CS121" s="264"/>
      <c r="CT121" s="264"/>
      <c r="CU121" s="264"/>
      <c r="CV121" s="161"/>
      <c r="CW121" s="161"/>
      <c r="CX121" s="161"/>
      <c r="CY121" s="161"/>
      <c r="CZ121" s="161"/>
      <c r="DA121" s="161"/>
      <c r="DB121" s="161"/>
      <c r="DC121" s="161"/>
      <c r="DD121" s="161"/>
      <c r="DE121" s="161"/>
      <c r="DF121" s="161"/>
      <c r="DG121" s="161"/>
      <c r="DH121" s="161"/>
      <c r="DI121" s="161"/>
      <c r="DJ121" s="161"/>
      <c r="DK121" s="177"/>
      <c r="DL121" s="177"/>
      <c r="DM121" s="177"/>
      <c r="DN121" s="177"/>
      <c r="DO121" s="177"/>
      <c r="DP121" s="177"/>
      <c r="DQ121" s="177"/>
      <c r="DR121" s="177"/>
      <c r="DS121" s="177"/>
      <c r="DT121" s="177"/>
      <c r="DU121" s="177"/>
      <c r="DV121" s="177"/>
      <c r="DW121" s="177"/>
      <c r="DX121" s="177"/>
      <c r="DY121" s="177"/>
      <c r="DZ121" s="177"/>
      <c r="EA121" s="177"/>
      <c r="EB121" s="808"/>
      <c r="EC121" s="808"/>
      <c r="ED121" s="808"/>
      <c r="EF121" s="161"/>
      <c r="EH121" s="161"/>
      <c r="EM121" s="161"/>
      <c r="EN121" s="161"/>
      <c r="EO121" s="161"/>
      <c r="EP121" s="161"/>
      <c r="FL121" s="265"/>
      <c r="FM121" s="265"/>
      <c r="FN121" s="265"/>
      <c r="FO121" s="432"/>
      <c r="FP121" s="161"/>
      <c r="FQ121" s="161"/>
      <c r="FR121" s="430"/>
      <c r="FS121" s="641"/>
      <c r="FT121" s="639"/>
      <c r="FU121" s="668"/>
      <c r="FV121" s="667"/>
      <c r="FW121" s="668"/>
      <c r="FX121" s="667"/>
      <c r="FY121" s="749"/>
      <c r="FZ121" s="747"/>
      <c r="GA121" s="782"/>
      <c r="GB121" s="782"/>
      <c r="GC121" s="808"/>
      <c r="GD121" s="782"/>
      <c r="GE121" s="808"/>
    </row>
    <row r="122" spans="1:187">
      <c r="A122" s="161"/>
      <c r="B122" s="267" t="str">
        <f>B77</f>
        <v xml:space="preserve"> - MCM</v>
      </c>
      <c r="C122" s="161"/>
      <c r="D122" s="161"/>
      <c r="E122" s="161"/>
      <c r="F122" s="161"/>
      <c r="G122" s="161"/>
      <c r="H122" s="161"/>
      <c r="I122" s="161"/>
      <c r="J122" s="161"/>
      <c r="K122" s="161"/>
      <c r="L122" s="263"/>
      <c r="M122" s="161"/>
      <c r="N122" s="161"/>
      <c r="O122" s="161"/>
      <c r="P122" s="263"/>
      <c r="Q122" s="161"/>
      <c r="R122" s="161"/>
      <c r="S122" s="161"/>
      <c r="T122" s="161"/>
      <c r="U122" s="161"/>
      <c r="V122" s="161"/>
      <c r="W122" s="161"/>
      <c r="X122" s="263">
        <f>X77-27.4-57.1</f>
        <v>33.20000000000001</v>
      </c>
      <c r="Y122" s="263">
        <f>Y77-29.2-59.2</f>
        <v>36.99499999999999</v>
      </c>
      <c r="Z122" s="263">
        <f>Z77-23.6-62.9</f>
        <v>56.900000000000013</v>
      </c>
      <c r="AA122" s="263">
        <f>AA77-42.5-72.6</f>
        <v>32.599999999999994</v>
      </c>
      <c r="AB122" s="263">
        <f>AB77-29.4-69.9</f>
        <v>48.799999999999983</v>
      </c>
      <c r="AC122" s="263">
        <f>AC77-26.1-74.5</f>
        <v>45.400000000000006</v>
      </c>
      <c r="AD122" s="263">
        <f>AD77-28.2-74.5</f>
        <v>57.300000000000011</v>
      </c>
      <c r="AE122" s="263">
        <f>AE77-27.8-81.6</f>
        <v>54.061000000000007</v>
      </c>
      <c r="AF122" s="263">
        <f>AF77-27.4-80.1</f>
        <v>58.474999999999994</v>
      </c>
      <c r="AG122" s="263">
        <f>AG77-34.326-84.962</f>
        <v>57.084000000000017</v>
      </c>
      <c r="AH122" s="263">
        <v>65</v>
      </c>
      <c r="AI122" s="263">
        <v>62.6</v>
      </c>
      <c r="AJ122" s="263">
        <v>69.8</v>
      </c>
      <c r="AK122" s="263">
        <v>66.063000000000002</v>
      </c>
      <c r="AL122" s="263">
        <v>78.2</v>
      </c>
      <c r="AM122" s="263">
        <v>93.6</v>
      </c>
      <c r="AN122" s="263">
        <v>99.8</v>
      </c>
      <c r="AO122" s="263">
        <v>101.7</v>
      </c>
      <c r="AP122" s="263">
        <v>105.1</v>
      </c>
      <c r="AQ122" s="263">
        <v>101.9</v>
      </c>
      <c r="AR122" s="263">
        <v>144.4</v>
      </c>
      <c r="AS122" s="263">
        <v>135.744</v>
      </c>
      <c r="AT122" s="263">
        <v>136</v>
      </c>
      <c r="AU122" s="263">
        <v>149.11799999999999</v>
      </c>
      <c r="AV122" s="263">
        <v>140.36699999999999</v>
      </c>
      <c r="AW122" s="263">
        <v>148.476</v>
      </c>
      <c r="AX122" s="263">
        <v>152.9</v>
      </c>
      <c r="AY122" s="263">
        <v>144.97800000000001</v>
      </c>
      <c r="AZ122" s="263">
        <v>130.102</v>
      </c>
      <c r="BA122" s="263">
        <v>136</v>
      </c>
      <c r="BB122" s="263">
        <v>135.828</v>
      </c>
      <c r="BC122" s="270">
        <v>126.70099999999999</v>
      </c>
      <c r="BD122" s="270">
        <v>142.71</v>
      </c>
      <c r="BE122" s="270">
        <v>149.477</v>
      </c>
      <c r="BF122" s="270">
        <v>137.012</v>
      </c>
      <c r="BG122" s="270">
        <v>70</v>
      </c>
      <c r="BH122" s="270">
        <v>137.27199999999999</v>
      </c>
      <c r="BI122" s="270">
        <v>139.017</v>
      </c>
      <c r="BJ122" s="270">
        <v>124.482</v>
      </c>
      <c r="BK122" s="270">
        <v>102.596</v>
      </c>
      <c r="BL122" s="270">
        <v>124.372</v>
      </c>
      <c r="BM122" s="270">
        <v>135.41900000000001</v>
      </c>
      <c r="BN122" s="270">
        <v>140.82499999999999</v>
      </c>
      <c r="BO122" s="270">
        <v>140.45500000000001</v>
      </c>
      <c r="BP122" s="263"/>
      <c r="BQ122" s="263"/>
      <c r="BR122" s="263"/>
      <c r="BS122" s="263"/>
      <c r="BT122" s="263"/>
      <c r="BU122" s="784"/>
      <c r="BV122" s="784"/>
      <c r="BW122" s="784"/>
      <c r="BX122" s="784"/>
      <c r="BY122" s="161"/>
      <c r="BZ122" s="161"/>
      <c r="CA122" s="264"/>
      <c r="CB122" s="264"/>
      <c r="CC122" s="264"/>
      <c r="CD122" s="264"/>
      <c r="CE122" s="264"/>
      <c r="CF122" s="264"/>
      <c r="CG122" s="264"/>
      <c r="CH122" s="264"/>
      <c r="CI122" s="264" t="s">
        <v>482</v>
      </c>
      <c r="CJ122" s="264">
        <f>100%-CJ121</f>
        <v>7.1945994629105225E-2</v>
      </c>
      <c r="CK122" s="264"/>
      <c r="CL122" s="264"/>
      <c r="CM122" s="264"/>
      <c r="CN122" s="264"/>
      <c r="CO122" s="264"/>
      <c r="CP122" s="264"/>
      <c r="CQ122" s="264"/>
      <c r="CR122" s="264"/>
      <c r="CS122" s="264"/>
      <c r="CT122" s="264"/>
      <c r="CU122" s="264"/>
      <c r="CV122" s="161"/>
      <c r="CW122" s="161"/>
      <c r="CX122" s="161"/>
      <c r="CY122" s="161"/>
      <c r="CZ122" s="161"/>
      <c r="DA122" s="161"/>
      <c r="DB122" s="161"/>
      <c r="DC122" s="161"/>
      <c r="DD122" s="161"/>
      <c r="DE122" s="161"/>
      <c r="DF122" s="161"/>
      <c r="DG122" s="161"/>
      <c r="DH122" s="161"/>
      <c r="DI122" s="161"/>
      <c r="DJ122" s="161"/>
      <c r="DK122" s="177"/>
      <c r="DL122" s="177"/>
      <c r="DM122" s="177"/>
      <c r="DN122" s="177"/>
      <c r="DO122" s="177"/>
      <c r="DP122" s="177"/>
      <c r="DQ122" s="177"/>
      <c r="DR122" s="177"/>
      <c r="DS122" s="177"/>
      <c r="DT122" s="177"/>
      <c r="DU122" s="177"/>
      <c r="DV122" s="177"/>
      <c r="DW122" s="177"/>
      <c r="DX122" s="177"/>
      <c r="DY122" s="177"/>
      <c r="DZ122" s="177"/>
      <c r="EA122" s="177"/>
      <c r="EB122" s="808"/>
      <c r="EC122" s="808"/>
      <c r="ED122" s="808"/>
      <c r="EF122" s="161"/>
      <c r="EH122" s="161"/>
      <c r="EM122" s="161"/>
      <c r="EN122" s="161"/>
      <c r="EO122" s="161"/>
      <c r="EP122" s="161"/>
      <c r="FL122" s="263"/>
      <c r="FM122" s="263"/>
      <c r="FN122" s="263"/>
      <c r="FO122" s="433"/>
      <c r="FP122" s="161"/>
      <c r="FQ122" s="161"/>
      <c r="FR122" s="430"/>
      <c r="FS122" s="643"/>
      <c r="FT122" s="639"/>
      <c r="FU122" s="670"/>
      <c r="FV122" s="667"/>
      <c r="FW122" s="670"/>
      <c r="FX122" s="667"/>
      <c r="FY122" s="751"/>
      <c r="FZ122" s="747"/>
      <c r="GA122" s="784"/>
      <c r="GB122" s="784"/>
      <c r="GC122" s="808"/>
      <c r="GD122" s="784"/>
      <c r="GE122" s="808"/>
    </row>
    <row r="123" spans="1:187">
      <c r="A123" s="161"/>
      <c r="B123" s="267" t="str">
        <f>B79</f>
        <v xml:space="preserve"> - Ho1a</v>
      </c>
      <c r="C123" s="161"/>
      <c r="D123" s="161"/>
      <c r="E123" s="161"/>
      <c r="F123" s="161"/>
      <c r="G123" s="161"/>
      <c r="H123" s="161"/>
      <c r="I123" s="161"/>
      <c r="J123" s="161"/>
      <c r="K123" s="161"/>
      <c r="L123" s="263"/>
      <c r="M123" s="161"/>
      <c r="N123" s="161"/>
      <c r="O123" s="161"/>
      <c r="P123" s="263"/>
      <c r="Q123" s="161"/>
      <c r="R123" s="161"/>
      <c r="S123" s="161"/>
      <c r="T123" s="161"/>
      <c r="U123" s="161"/>
      <c r="V123" s="161"/>
      <c r="W123" s="161"/>
      <c r="X123" s="263">
        <f>X79-55.1-26.3</f>
        <v>14.500000000000004</v>
      </c>
      <c r="Y123" s="263">
        <f>Y79-72.9-22.1</f>
        <v>16.279999999999994</v>
      </c>
      <c r="Z123" s="263">
        <f>Z79-86.9-26.3</f>
        <v>17.399999999999988</v>
      </c>
      <c r="AA123" s="263">
        <f>AA79-55.6-27.4</f>
        <v>21</v>
      </c>
      <c r="AB123" s="263">
        <f>AB79-111.2-27.4</f>
        <v>7.3000000000000043</v>
      </c>
      <c r="AC123" s="263">
        <f>AC79-439-26</f>
        <v>32</v>
      </c>
      <c r="AD123" s="263">
        <f>AD79-222.2-25</f>
        <v>24.800000000000011</v>
      </c>
      <c r="AE123" s="263">
        <f>AE79-228-22.6</f>
        <v>35.840999999999973</v>
      </c>
      <c r="AF123" s="263">
        <f>AF79-230-23.2</f>
        <v>48.8</v>
      </c>
      <c r="AG123" s="263">
        <f>AG79-278.64-21.964</f>
        <v>48.80400000000003</v>
      </c>
      <c r="AH123" s="263">
        <v>42</v>
      </c>
      <c r="AI123" s="263">
        <v>63.4</v>
      </c>
      <c r="AJ123" s="263">
        <v>46.7</v>
      </c>
      <c r="AK123" s="263">
        <v>21.91</v>
      </c>
      <c r="AL123" s="263">
        <v>28</v>
      </c>
      <c r="AM123" s="263">
        <v>62</v>
      </c>
      <c r="AN123" s="263">
        <v>26.6</v>
      </c>
      <c r="AO123" s="263">
        <v>19.8</v>
      </c>
      <c r="AP123" s="263">
        <v>11.3</v>
      </c>
      <c r="AQ123" s="263">
        <v>13.3</v>
      </c>
      <c r="AR123" s="263">
        <v>35</v>
      </c>
      <c r="AS123" s="263">
        <v>13.622</v>
      </c>
      <c r="AT123" s="263">
        <v>50.6</v>
      </c>
      <c r="AU123" s="263">
        <v>58.906999999999996</v>
      </c>
      <c r="AV123" s="263">
        <v>34.938000000000002</v>
      </c>
      <c r="AW123" s="263">
        <v>39.926000000000002</v>
      </c>
      <c r="AX123" s="263">
        <v>20.5</v>
      </c>
      <c r="AY123" s="263">
        <v>15.468999999999999</v>
      </c>
      <c r="AZ123" s="263">
        <v>27.463999999999999</v>
      </c>
      <c r="BA123" s="263">
        <v>28</v>
      </c>
      <c r="BB123" s="263">
        <v>21.673999999999999</v>
      </c>
      <c r="BC123" s="270">
        <v>10.497</v>
      </c>
      <c r="BD123" s="270">
        <v>18.716999999999999</v>
      </c>
      <c r="BE123" s="270">
        <v>32.707999999999998</v>
      </c>
      <c r="BF123" s="270">
        <v>48.231000000000002</v>
      </c>
      <c r="BG123" s="270">
        <v>82</v>
      </c>
      <c r="BH123" s="270">
        <v>44.024000000000001</v>
      </c>
      <c r="BI123" s="270">
        <v>50.09</v>
      </c>
      <c r="BJ123" s="270">
        <v>35.884</v>
      </c>
      <c r="BK123" s="270">
        <v>70.819999999999993</v>
      </c>
      <c r="BL123" s="270">
        <v>92.317999999999998</v>
      </c>
      <c r="BM123" s="270">
        <v>24.79</v>
      </c>
      <c r="BN123" s="270">
        <v>17.085999999999999</v>
      </c>
      <c r="BO123" s="270">
        <v>14.013999999999999</v>
      </c>
      <c r="BP123" s="263"/>
      <c r="BQ123" s="263"/>
      <c r="BR123" s="263"/>
      <c r="BS123" s="263"/>
      <c r="BT123" s="263"/>
      <c r="BU123" s="784"/>
      <c r="BV123" s="784"/>
      <c r="BW123" s="784"/>
      <c r="BX123" s="784"/>
      <c r="BY123" s="161"/>
      <c r="BZ123" s="161"/>
      <c r="CA123" s="264"/>
      <c r="CB123" s="264"/>
      <c r="CC123" s="264"/>
      <c r="CD123" s="264"/>
      <c r="CE123" s="264"/>
      <c r="CF123" s="264"/>
      <c r="CG123" s="264"/>
      <c r="CH123" s="264"/>
      <c r="CI123" s="264"/>
      <c r="CJ123" s="264"/>
      <c r="CK123" s="264"/>
      <c r="CL123" s="264"/>
      <c r="CM123" s="264"/>
      <c r="CN123" s="264"/>
      <c r="CO123" s="264"/>
      <c r="CP123" s="264"/>
      <c r="CQ123" s="264"/>
      <c r="CR123" s="264"/>
      <c r="CS123" s="264"/>
      <c r="CT123" s="264"/>
      <c r="CU123" s="264"/>
      <c r="CV123" s="161"/>
      <c r="CW123" s="161"/>
      <c r="CX123" s="161"/>
      <c r="CY123" s="161"/>
      <c r="CZ123" s="161"/>
      <c r="DA123" s="161"/>
      <c r="DB123" s="161"/>
      <c r="DC123" s="161"/>
      <c r="DD123" s="161"/>
      <c r="DE123" s="161"/>
      <c r="DF123" s="161"/>
      <c r="DG123" s="161"/>
      <c r="DH123" s="161"/>
      <c r="DI123" s="161"/>
      <c r="DJ123" s="161"/>
      <c r="DK123" s="177"/>
      <c r="DL123" s="177"/>
      <c r="DM123" s="177"/>
      <c r="DN123" s="177"/>
      <c r="DO123" s="177"/>
      <c r="DP123" s="177"/>
      <c r="DQ123" s="177"/>
      <c r="DR123" s="177"/>
      <c r="DS123" s="177"/>
      <c r="DT123" s="177"/>
      <c r="DU123" s="177"/>
      <c r="DV123" s="177"/>
      <c r="DW123" s="177"/>
      <c r="DX123" s="177"/>
      <c r="DY123" s="177"/>
      <c r="DZ123" s="177"/>
      <c r="EA123" s="177"/>
      <c r="EB123" s="808"/>
      <c r="EC123" s="808"/>
      <c r="ED123" s="808"/>
      <c r="EF123" s="161"/>
      <c r="EH123" s="161"/>
      <c r="EM123" s="161"/>
      <c r="EN123" s="161"/>
      <c r="EO123" s="161"/>
      <c r="EP123" s="161"/>
      <c r="FL123" s="263"/>
      <c r="FM123" s="263"/>
      <c r="FN123" s="263"/>
      <c r="FO123" s="433"/>
      <c r="FP123" s="161"/>
      <c r="FQ123" s="161"/>
      <c r="FR123" s="430"/>
      <c r="FS123" s="643"/>
      <c r="FT123" s="639"/>
      <c r="FU123" s="670"/>
      <c r="FV123" s="667"/>
      <c r="FW123" s="670"/>
      <c r="FX123" s="667"/>
      <c r="FY123" s="751"/>
      <c r="FZ123" s="747"/>
      <c r="GA123" s="784"/>
      <c r="GB123" s="784"/>
      <c r="GC123" s="808"/>
      <c r="GD123" s="784"/>
      <c r="GE123" s="808"/>
    </row>
    <row r="124" spans="1:187">
      <c r="A124" s="161"/>
      <c r="B124" s="861" t="str">
        <f>B80</f>
        <v xml:space="preserve"> - PCTV</v>
      </c>
      <c r="C124" s="855"/>
      <c r="D124" s="855"/>
      <c r="E124" s="855"/>
      <c r="F124" s="855"/>
      <c r="G124" s="855"/>
      <c r="H124" s="855"/>
      <c r="I124" s="855"/>
      <c r="J124" s="855"/>
      <c r="K124" s="855"/>
      <c r="L124" s="870"/>
      <c r="M124" s="855"/>
      <c r="N124" s="855"/>
      <c r="O124" s="855"/>
      <c r="P124" s="870"/>
      <c r="Q124" s="855"/>
      <c r="R124" s="855"/>
      <c r="S124" s="855"/>
      <c r="T124" s="855"/>
      <c r="U124" s="855"/>
      <c r="V124" s="855"/>
      <c r="W124" s="855"/>
      <c r="X124" s="855">
        <v>0</v>
      </c>
      <c r="Y124" s="855">
        <v>0</v>
      </c>
      <c r="Z124" s="855">
        <v>0</v>
      </c>
      <c r="AA124" s="870">
        <f>AA80-72.7-29.1</f>
        <v>9.1999999999999957</v>
      </c>
      <c r="AB124" s="870">
        <f>AB80-85-35</f>
        <v>15.400000000000006</v>
      </c>
      <c r="AC124" s="870">
        <f>AC80-89-35</f>
        <v>20</v>
      </c>
      <c r="AD124" s="870">
        <f>AD80-48.4-35</f>
        <v>6.6000000000000014</v>
      </c>
      <c r="AE124" s="870">
        <f>AE80-20.4-41.4</f>
        <v>26.17499999999999</v>
      </c>
      <c r="AF124" s="870">
        <f>AF80-33.6-30.6</f>
        <v>-2.7000000000000028</v>
      </c>
      <c r="AG124" s="870">
        <f>AG80-25.058-40.09</f>
        <v>1.1709999999999994</v>
      </c>
      <c r="AH124" s="870">
        <v>14</v>
      </c>
      <c r="AI124" s="870">
        <v>8.6</v>
      </c>
      <c r="AJ124" s="870">
        <v>1.3</v>
      </c>
      <c r="AK124" s="870">
        <v>-0.40899999999999997</v>
      </c>
      <c r="AL124" s="870">
        <v>6</v>
      </c>
      <c r="AM124" s="870">
        <v>17.3</v>
      </c>
      <c r="AN124" s="870">
        <v>2.5</v>
      </c>
      <c r="AO124" s="870">
        <v>4.5999999999999996</v>
      </c>
      <c r="AP124" s="870">
        <v>12.8</v>
      </c>
      <c r="AQ124" s="870">
        <v>3.6</v>
      </c>
      <c r="AR124" s="870">
        <v>4</v>
      </c>
      <c r="AS124" s="870">
        <v>10.061</v>
      </c>
      <c r="AT124" s="870">
        <v>9</v>
      </c>
      <c r="AU124" s="870">
        <v>1.53</v>
      </c>
      <c r="AV124" s="870">
        <v>1.46</v>
      </c>
      <c r="AW124" s="870">
        <v>5.4660000000000002</v>
      </c>
      <c r="AX124" s="870">
        <v>-8.9</v>
      </c>
      <c r="AY124" s="870">
        <v>5.242</v>
      </c>
      <c r="AZ124" s="870">
        <v>8.4779999999999998</v>
      </c>
      <c r="BA124" s="870">
        <v>8</v>
      </c>
      <c r="BB124" s="870">
        <v>10.303000000000001</v>
      </c>
      <c r="BC124" s="868">
        <v>0.747</v>
      </c>
      <c r="BD124" s="868">
        <v>7.0519999999999996</v>
      </c>
      <c r="BE124" s="868">
        <v>10.071</v>
      </c>
      <c r="BF124" s="868">
        <v>2.6219999999999999</v>
      </c>
      <c r="BG124" s="868">
        <v>6</v>
      </c>
      <c r="BH124" s="868">
        <v>2.7469999999999999</v>
      </c>
      <c r="BI124" s="868">
        <v>4.7069999999999999</v>
      </c>
      <c r="BJ124" s="868">
        <v>6.2060000000000004</v>
      </c>
      <c r="BK124" s="868">
        <v>-11.042</v>
      </c>
      <c r="BL124" s="868">
        <v>2.8479999999999999</v>
      </c>
      <c r="BM124" s="868">
        <v>8.5649999999999995</v>
      </c>
      <c r="BN124" s="868">
        <v>8.1370000000000005</v>
      </c>
      <c r="BO124" s="868">
        <v>13.696999999999999</v>
      </c>
      <c r="BP124" s="263"/>
      <c r="BQ124" s="263"/>
      <c r="BR124" s="263"/>
      <c r="BS124" s="263"/>
      <c r="BT124" s="263"/>
      <c r="BU124" s="784"/>
      <c r="BV124" s="784"/>
      <c r="BW124" s="784"/>
      <c r="BX124" s="784"/>
      <c r="BY124" s="161"/>
      <c r="BZ124" s="161"/>
      <c r="CA124" s="264"/>
      <c r="CB124" s="264"/>
      <c r="CC124" s="264"/>
      <c r="CD124" s="264"/>
      <c r="CE124" s="264"/>
      <c r="CF124" s="264"/>
      <c r="CG124" s="264"/>
      <c r="CH124" s="264"/>
      <c r="CI124" s="264"/>
      <c r="CJ124" s="264"/>
      <c r="CK124" s="264"/>
      <c r="CL124" s="264"/>
      <c r="CM124" s="264"/>
      <c r="CN124" s="264"/>
      <c r="CO124" s="264"/>
      <c r="CP124" s="264"/>
      <c r="CQ124" s="264"/>
      <c r="CR124" s="264"/>
      <c r="CS124" s="264"/>
      <c r="CT124" s="264"/>
      <c r="CU124" s="264"/>
      <c r="CV124" s="161"/>
      <c r="CW124" s="161"/>
      <c r="CX124" s="161"/>
      <c r="CY124" s="161"/>
      <c r="CZ124" s="161"/>
      <c r="DA124" s="161"/>
      <c r="DB124" s="161"/>
      <c r="DC124" s="161"/>
      <c r="DD124" s="161"/>
      <c r="DE124" s="161"/>
      <c r="DF124" s="161"/>
      <c r="DG124" s="161"/>
      <c r="DH124" s="161"/>
      <c r="DI124" s="161"/>
      <c r="DJ124" s="161"/>
      <c r="DK124" s="177"/>
      <c r="DL124" s="177"/>
      <c r="DM124" s="177"/>
      <c r="DN124" s="177"/>
      <c r="DO124" s="177"/>
      <c r="DP124" s="177"/>
      <c r="DQ124" s="177"/>
      <c r="DR124" s="177"/>
      <c r="DS124" s="177"/>
      <c r="DT124" s="177"/>
      <c r="DU124" s="177"/>
      <c r="DV124" s="177"/>
      <c r="DW124" s="177"/>
      <c r="DX124" s="177"/>
      <c r="DY124" s="177"/>
      <c r="DZ124" s="177"/>
      <c r="EA124" s="177"/>
      <c r="EB124" s="808"/>
      <c r="EC124" s="808"/>
      <c r="ED124" s="808"/>
      <c r="EF124" s="161"/>
      <c r="EH124" s="161"/>
      <c r="EM124" s="161"/>
      <c r="EN124" s="161"/>
      <c r="EO124" s="161"/>
      <c r="EP124" s="161"/>
      <c r="FL124" s="870"/>
      <c r="FM124" s="870"/>
      <c r="FN124" s="870"/>
      <c r="FO124" s="873"/>
      <c r="FP124" s="161"/>
      <c r="FQ124" s="161"/>
      <c r="FR124" s="430"/>
      <c r="FS124" s="874"/>
      <c r="FT124" s="639"/>
      <c r="FU124" s="678"/>
      <c r="FV124" s="667"/>
      <c r="FW124" s="670"/>
      <c r="FX124" s="667"/>
      <c r="FY124" s="751"/>
      <c r="FZ124" s="747"/>
      <c r="GA124" s="784"/>
      <c r="GB124" s="784"/>
      <c r="GC124" s="808"/>
      <c r="GD124" s="784"/>
      <c r="GE124" s="808"/>
    </row>
    <row r="125" spans="1:187">
      <c r="A125" s="161"/>
      <c r="B125" s="267" t="s">
        <v>483</v>
      </c>
      <c r="C125" s="161"/>
      <c r="D125" s="161"/>
      <c r="E125" s="161"/>
      <c r="F125" s="161"/>
      <c r="G125" s="161"/>
      <c r="H125" s="161"/>
      <c r="I125" s="161"/>
      <c r="J125" s="161">
        <f t="shared" ref="J125:AM125" si="188">J133-J111</f>
        <v>12</v>
      </c>
      <c r="K125" s="161">
        <f t="shared" si="188"/>
        <v>8</v>
      </c>
      <c r="L125" s="161">
        <f t="shared" si="188"/>
        <v>11</v>
      </c>
      <c r="M125" s="161">
        <f t="shared" si="188"/>
        <v>9</v>
      </c>
      <c r="N125" s="161">
        <f t="shared" si="188"/>
        <v>23</v>
      </c>
      <c r="O125" s="161">
        <f t="shared" si="188"/>
        <v>19</v>
      </c>
      <c r="P125" s="161">
        <f t="shared" si="188"/>
        <v>14</v>
      </c>
      <c r="Q125" s="161">
        <f t="shared" si="188"/>
        <v>14</v>
      </c>
      <c r="R125" s="161">
        <f t="shared" si="188"/>
        <v>16</v>
      </c>
      <c r="S125" s="161">
        <f t="shared" si="188"/>
        <v>38</v>
      </c>
      <c r="T125" s="161">
        <f t="shared" si="188"/>
        <v>22</v>
      </c>
      <c r="U125" s="161">
        <f t="shared" si="188"/>
        <v>17</v>
      </c>
      <c r="V125" s="161">
        <f t="shared" si="188"/>
        <v>37</v>
      </c>
      <c r="W125" s="161">
        <f t="shared" si="188"/>
        <v>57</v>
      </c>
      <c r="X125" s="161">
        <f t="shared" si="188"/>
        <v>48</v>
      </c>
      <c r="Y125" s="161">
        <f t="shared" si="188"/>
        <v>54</v>
      </c>
      <c r="Z125" s="161">
        <f t="shared" si="188"/>
        <v>65</v>
      </c>
      <c r="AA125" s="161">
        <f t="shared" si="188"/>
        <v>63</v>
      </c>
      <c r="AB125" s="263">
        <f t="shared" si="188"/>
        <v>71.5</v>
      </c>
      <c r="AC125" s="263">
        <f t="shared" si="188"/>
        <v>97.892000000000053</v>
      </c>
      <c r="AD125" s="263">
        <f t="shared" si="188"/>
        <v>90.299999999999955</v>
      </c>
      <c r="AE125" s="263">
        <f t="shared" si="188"/>
        <v>116.12099999999987</v>
      </c>
      <c r="AF125" s="263">
        <f t="shared" si="188"/>
        <v>104.30000000000018</v>
      </c>
      <c r="AG125" s="263">
        <f t="shared" si="188"/>
        <v>107.05799999999999</v>
      </c>
      <c r="AH125" s="263">
        <f t="shared" si="188"/>
        <v>120.97500000000014</v>
      </c>
      <c r="AI125" s="263">
        <f t="shared" si="188"/>
        <v>134.53099999999995</v>
      </c>
      <c r="AJ125" s="263">
        <f t="shared" si="188"/>
        <v>117.82899999999995</v>
      </c>
      <c r="AK125" s="263">
        <f t="shared" si="188"/>
        <v>87.564000000000078</v>
      </c>
      <c r="AL125" s="263">
        <f t="shared" si="188"/>
        <v>112.18500000000017</v>
      </c>
      <c r="AM125" s="263">
        <f t="shared" si="188"/>
        <v>173.04299999999989</v>
      </c>
      <c r="AN125" s="263">
        <f t="shared" ref="AN125:BD125" si="189">AN140-AN117</f>
        <v>129.029</v>
      </c>
      <c r="AO125" s="263">
        <f t="shared" si="189"/>
        <v>126.12699999999995</v>
      </c>
      <c r="AP125" s="263">
        <f t="shared" si="189"/>
        <v>129.11299999999983</v>
      </c>
      <c r="AQ125" s="263">
        <f t="shared" si="189"/>
        <v>118.79999999999973</v>
      </c>
      <c r="AR125" s="263">
        <f t="shared" si="189"/>
        <v>183.49200000000019</v>
      </c>
      <c r="AS125" s="263">
        <f t="shared" si="189"/>
        <v>159.42700000000013</v>
      </c>
      <c r="AT125" s="263">
        <f t="shared" si="189"/>
        <v>194.69999999999982</v>
      </c>
      <c r="AU125" s="263">
        <f t="shared" si="189"/>
        <v>206.49499999999989</v>
      </c>
      <c r="AV125" s="263">
        <f t="shared" si="189"/>
        <v>176.76500000000033</v>
      </c>
      <c r="AW125" s="263">
        <f t="shared" si="189"/>
        <v>182.93499999999995</v>
      </c>
      <c r="AX125" s="263">
        <f t="shared" si="189"/>
        <v>165.45900000000029</v>
      </c>
      <c r="AY125" s="263">
        <f t="shared" si="189"/>
        <v>165.6869999999999</v>
      </c>
      <c r="AZ125" s="263">
        <f t="shared" si="189"/>
        <v>166.04399999999987</v>
      </c>
      <c r="BA125" s="263">
        <f t="shared" si="189"/>
        <v>173</v>
      </c>
      <c r="BB125" s="263">
        <f t="shared" si="189"/>
        <v>167.80499999999984</v>
      </c>
      <c r="BC125" s="263">
        <f t="shared" si="189"/>
        <v>137.95400000000018</v>
      </c>
      <c r="BD125" s="263">
        <f t="shared" si="189"/>
        <v>168.47799999999961</v>
      </c>
      <c r="BE125" s="263">
        <f t="shared" ref="BE125:BO125" si="190">BE140-BE117</f>
        <v>192.25599999999986</v>
      </c>
      <c r="BF125" s="263">
        <f t="shared" si="190"/>
        <v>187.86499999999978</v>
      </c>
      <c r="BG125" s="263">
        <f t="shared" si="190"/>
        <v>156.90299999999979</v>
      </c>
      <c r="BH125" s="263">
        <f t="shared" si="190"/>
        <v>184.04300000000012</v>
      </c>
      <c r="BI125" s="263">
        <f t="shared" si="190"/>
        <v>193.8149999999996</v>
      </c>
      <c r="BJ125" s="263">
        <f t="shared" si="190"/>
        <v>166.57299999999987</v>
      </c>
      <c r="BK125" s="263">
        <f t="shared" si="190"/>
        <v>162.3739999999998</v>
      </c>
      <c r="BL125" s="263">
        <f t="shared" si="190"/>
        <v>213.84099999999989</v>
      </c>
      <c r="BM125" s="263">
        <f t="shared" si="190"/>
        <v>151.64400000000023</v>
      </c>
      <c r="BN125" s="263">
        <f t="shared" si="190"/>
        <v>149.77500000000009</v>
      </c>
      <c r="BO125" s="263">
        <f t="shared" si="190"/>
        <v>143.77099999999973</v>
      </c>
      <c r="BP125" s="271">
        <v>190</v>
      </c>
      <c r="BQ125" s="271">
        <v>180</v>
      </c>
      <c r="BR125" s="271">
        <v>180</v>
      </c>
      <c r="BS125" s="271">
        <f>Fixed!T135-BR125-BQ125-BP125</f>
        <v>138.53521280000007</v>
      </c>
      <c r="BT125" s="271">
        <v>190</v>
      </c>
      <c r="BU125" s="784"/>
      <c r="BV125" s="784"/>
      <c r="BW125" s="784"/>
      <c r="BX125" s="784">
        <f>Fixed!U135-BS125-BR125-BQ125</f>
        <v>298.19049734400005</v>
      </c>
      <c r="BY125" s="161"/>
      <c r="BZ125" s="161"/>
      <c r="CA125" s="264"/>
      <c r="CB125" s="264"/>
      <c r="CC125" s="264"/>
      <c r="CD125" s="264"/>
      <c r="CE125" s="264"/>
      <c r="CF125" s="264"/>
      <c r="CG125" s="264"/>
      <c r="CH125" s="264"/>
      <c r="CI125" s="264">
        <f t="shared" ref="CI125:EA125" si="191">AB125/X125-1</f>
        <v>0.48958333333333326</v>
      </c>
      <c r="CJ125" s="264">
        <f t="shared" si="191"/>
        <v>0.81281481481481577</v>
      </c>
      <c r="CK125" s="264">
        <f t="shared" si="191"/>
        <v>0.3892307692307686</v>
      </c>
      <c r="CL125" s="264">
        <f t="shared" si="191"/>
        <v>0.84319047619047405</v>
      </c>
      <c r="CM125" s="264">
        <f t="shared" si="191"/>
        <v>0.45874125874126137</v>
      </c>
      <c r="CN125" s="264">
        <f t="shared" si="191"/>
        <v>9.3633800514852483E-2</v>
      </c>
      <c r="CO125" s="264">
        <f t="shared" si="191"/>
        <v>0.33970099667774312</v>
      </c>
      <c r="CP125" s="264">
        <f t="shared" si="191"/>
        <v>0.15854152134411614</v>
      </c>
      <c r="CQ125" s="264">
        <f t="shared" si="191"/>
        <v>0.12971236816874154</v>
      </c>
      <c r="CR125" s="264">
        <f t="shared" si="191"/>
        <v>-0.18208821386538054</v>
      </c>
      <c r="CS125" s="264">
        <f t="shared" si="191"/>
        <v>-7.2659640421574356E-2</v>
      </c>
      <c r="CT125" s="264">
        <f t="shared" si="191"/>
        <v>0.28626859236904467</v>
      </c>
      <c r="CU125" s="264">
        <f t="shared" si="191"/>
        <v>9.5053000534673471E-2</v>
      </c>
      <c r="CV125" s="264">
        <f t="shared" si="191"/>
        <v>0.44039788040747152</v>
      </c>
      <c r="CW125" s="264">
        <f t="shared" si="191"/>
        <v>0.15089361322814665</v>
      </c>
      <c r="CX125" s="264">
        <f t="shared" si="191"/>
        <v>-0.31346543922608949</v>
      </c>
      <c r="CY125" s="265">
        <f t="shared" si="191"/>
        <v>0.42209890799742844</v>
      </c>
      <c r="CZ125" s="265">
        <f t="shared" si="191"/>
        <v>0.26401959929277785</v>
      </c>
      <c r="DA125" s="265">
        <f t="shared" si="191"/>
        <v>0.50798138065105825</v>
      </c>
      <c r="DB125" s="265">
        <f t="shared" si="191"/>
        <v>0.73817340067340376</v>
      </c>
      <c r="DC125" s="265">
        <f t="shared" si="191"/>
        <v>-3.6660998844635473E-2</v>
      </c>
      <c r="DD125" s="265">
        <f t="shared" si="191"/>
        <v>0.14745306629366284</v>
      </c>
      <c r="DE125" s="265">
        <f t="shared" si="191"/>
        <v>-0.15018489984591454</v>
      </c>
      <c r="DF125" s="265">
        <f t="shared" si="191"/>
        <v>-0.19762221845565275</v>
      </c>
      <c r="DG125" s="265">
        <f t="shared" si="191"/>
        <v>-6.0651147003085715E-2</v>
      </c>
      <c r="DH125" s="265">
        <f t="shared" si="191"/>
        <v>-5.4308907535463136E-2</v>
      </c>
      <c r="DI125" s="265">
        <f t="shared" si="191"/>
        <v>1.4178739143833496E-2</v>
      </c>
      <c r="DJ125" s="265">
        <f t="shared" si="191"/>
        <v>-0.1673818706355944</v>
      </c>
      <c r="DK125" s="491">
        <f t="shared" si="191"/>
        <v>1.465876514658615E-2</v>
      </c>
      <c r="DL125" s="491">
        <f t="shared" si="191"/>
        <v>0.11130635838150216</v>
      </c>
      <c r="DM125" s="491">
        <f t="shared" si="191"/>
        <v>0.11954351777360617</v>
      </c>
      <c r="DN125" s="491">
        <f t="shared" si="191"/>
        <v>0.13735737999622755</v>
      </c>
      <c r="DO125" s="491">
        <f t="shared" si="191"/>
        <v>9.2385949500828346E-2</v>
      </c>
      <c r="DP125" s="491">
        <f t="shared" si="191"/>
        <v>8.1089796937403591E-3</v>
      </c>
      <c r="DQ125" s="491">
        <f t="shared" si="191"/>
        <v>-0.11333670454847866</v>
      </c>
      <c r="DR125" s="491">
        <f t="shared" si="191"/>
        <v>3.4868676825809741E-2</v>
      </c>
      <c r="DS125" s="491">
        <f t="shared" si="191"/>
        <v>0.16190781502148832</v>
      </c>
      <c r="DT125" s="491">
        <f t="shared" si="191"/>
        <v>-0.2175837783453265</v>
      </c>
      <c r="DU125" s="491">
        <f t="shared" si="191"/>
        <v>-0.10084467470718417</v>
      </c>
      <c r="DV125" s="491">
        <f t="shared" si="191"/>
        <v>-0.11456883491199388</v>
      </c>
      <c r="DW125" s="491">
        <f t="shared" si="191"/>
        <v>-0.11148937762169042</v>
      </c>
      <c r="DX125" s="491">
        <f t="shared" si="191"/>
        <v>0.18699058320803807</v>
      </c>
      <c r="DY125" s="491">
        <f t="shared" si="191"/>
        <v>0.20180270405608347</v>
      </c>
      <c r="DZ125" s="491">
        <f t="shared" si="191"/>
        <v>-3.6417547349602342E-2</v>
      </c>
      <c r="EA125" s="491">
        <f t="shared" si="191"/>
        <v>0</v>
      </c>
      <c r="EB125" s="812"/>
      <c r="EC125" s="812"/>
      <c r="ED125" s="812"/>
      <c r="EF125" s="161"/>
      <c r="EH125" s="161"/>
      <c r="EM125" s="161"/>
      <c r="EN125" s="161"/>
      <c r="EO125" s="161"/>
      <c r="EP125" s="161"/>
      <c r="FL125" s="263">
        <v>168.47799999999961</v>
      </c>
      <c r="FM125" s="263">
        <v>203.79135999999986</v>
      </c>
      <c r="FN125" s="263">
        <v>199.13689999999977</v>
      </c>
      <c r="FO125" s="433">
        <v>148.56900000000053</v>
      </c>
      <c r="FP125" s="293">
        <v>0.06</v>
      </c>
      <c r="FQ125" s="293">
        <v>0.06</v>
      </c>
      <c r="FR125" s="434">
        <v>-5.3115619204217146E-2</v>
      </c>
      <c r="FS125" s="650">
        <v>190</v>
      </c>
      <c r="FT125" s="646">
        <v>-1.9683719010394451E-2</v>
      </c>
      <c r="FU125" s="677">
        <v>190</v>
      </c>
      <c r="FV125" s="673">
        <v>0.14064104026462965</v>
      </c>
      <c r="FW125" s="670">
        <v>156.7489999999998</v>
      </c>
      <c r="FX125" s="673">
        <v>-3.4642245679727068E-2</v>
      </c>
      <c r="FY125" s="750">
        <v>190</v>
      </c>
      <c r="FZ125" s="753">
        <v>-0.11148937762169042</v>
      </c>
      <c r="GA125" s="783">
        <v>180</v>
      </c>
      <c r="GB125" s="783">
        <v>180</v>
      </c>
      <c r="GC125" s="808"/>
      <c r="GD125" s="784">
        <v>138.53521280000007</v>
      </c>
      <c r="GE125" s="808"/>
    </row>
    <row r="126" spans="1:187">
      <c r="A126" s="161"/>
      <c r="B126" s="267"/>
      <c r="C126" s="161"/>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1"/>
      <c r="Z126" s="161"/>
      <c r="AA126" s="264">
        <f>AA125/AA133</f>
        <v>5.04E-2</v>
      </c>
      <c r="AB126" s="264"/>
      <c r="AC126" s="263"/>
      <c r="AD126" s="264"/>
      <c r="AE126" s="264">
        <f>AE125/AE133</f>
        <v>7.2708818466828834E-2</v>
      </c>
      <c r="AF126" s="263"/>
      <c r="AG126" s="264"/>
      <c r="AH126" s="264"/>
      <c r="AI126" s="264">
        <f>AI125/AI133</f>
        <v>7.301423965187015E-2</v>
      </c>
      <c r="AJ126" s="264"/>
      <c r="AK126" s="264"/>
      <c r="AL126" s="264"/>
      <c r="AM126" s="264">
        <f>AM125/AM133</f>
        <v>8.4868973777099163E-2</v>
      </c>
      <c r="AN126" s="264"/>
      <c r="AO126" s="264"/>
      <c r="AP126" s="264"/>
      <c r="AQ126" s="264"/>
      <c r="AR126" s="264"/>
      <c r="AS126" s="264"/>
      <c r="AT126" s="264"/>
      <c r="AU126" s="264"/>
      <c r="AV126" s="264"/>
      <c r="AW126" s="265"/>
      <c r="AX126" s="265"/>
      <c r="AY126" s="265"/>
      <c r="AZ126" s="265"/>
      <c r="BA126" s="265"/>
      <c r="BB126" s="264"/>
      <c r="BC126" s="264"/>
      <c r="BD126" s="264"/>
      <c r="BE126" s="264"/>
      <c r="BF126" s="264"/>
      <c r="BG126" s="264"/>
      <c r="BH126" s="264"/>
      <c r="BI126" s="264"/>
      <c r="BJ126" s="264"/>
      <c r="BK126" s="264"/>
      <c r="BL126" s="264"/>
      <c r="BM126" s="264"/>
      <c r="BN126" s="264"/>
      <c r="BO126" s="264"/>
      <c r="BP126" s="264"/>
      <c r="BQ126" s="264"/>
      <c r="BR126" s="264"/>
      <c r="BS126" s="264"/>
      <c r="BT126" s="264"/>
      <c r="BU126" s="782"/>
      <c r="BV126" s="782"/>
      <c r="BW126" s="782"/>
      <c r="BX126" s="782"/>
      <c r="BY126" s="161"/>
      <c r="BZ126" s="161"/>
      <c r="CA126" s="264"/>
      <c r="CB126" s="264"/>
      <c r="CC126" s="264"/>
      <c r="CD126" s="264"/>
      <c r="CE126" s="264"/>
      <c r="CF126" s="264"/>
      <c r="CG126" s="264"/>
      <c r="CH126" s="264"/>
      <c r="CI126" s="264"/>
      <c r="CJ126" s="264"/>
      <c r="CK126" s="264"/>
      <c r="CL126" s="264"/>
      <c r="CM126" s="264"/>
      <c r="CN126" s="264"/>
      <c r="CO126" s="264"/>
      <c r="CP126" s="264"/>
      <c r="CQ126" s="264"/>
      <c r="CR126" s="264"/>
      <c r="CS126" s="264"/>
      <c r="CT126" s="264"/>
      <c r="CU126" s="264"/>
      <c r="CV126" s="161"/>
      <c r="CW126" s="161"/>
      <c r="CX126" s="161"/>
      <c r="CY126" s="161"/>
      <c r="CZ126" s="161"/>
      <c r="DA126" s="161"/>
      <c r="DB126" s="161"/>
      <c r="DC126" s="161"/>
      <c r="DD126" s="161"/>
      <c r="DE126" s="161"/>
      <c r="DF126" s="161"/>
      <c r="DG126" s="161"/>
      <c r="DH126" s="161"/>
      <c r="DI126" s="161"/>
      <c r="DJ126" s="161"/>
      <c r="DK126" s="177"/>
      <c r="DL126" s="177"/>
      <c r="DM126" s="177"/>
      <c r="DN126" s="177"/>
      <c r="DO126" s="177"/>
      <c r="DP126" s="177"/>
      <c r="DQ126" s="177"/>
      <c r="DR126" s="177"/>
      <c r="DS126" s="177"/>
      <c r="DT126" s="177"/>
      <c r="DU126" s="177"/>
      <c r="DV126" s="177"/>
      <c r="DW126" s="177"/>
      <c r="DX126" s="177"/>
      <c r="DY126" s="177"/>
      <c r="DZ126" s="177"/>
      <c r="EA126" s="177"/>
      <c r="EB126" s="808"/>
      <c r="EC126" s="808"/>
      <c r="ED126" s="808"/>
      <c r="EF126" s="161"/>
      <c r="EH126" s="161"/>
      <c r="EM126" s="161"/>
      <c r="EN126" s="161"/>
      <c r="EO126" s="161"/>
      <c r="EP126" s="161"/>
      <c r="FL126" s="264"/>
      <c r="FM126" s="264"/>
      <c r="FN126" s="264"/>
      <c r="FO126" s="432"/>
      <c r="FP126" s="161"/>
      <c r="FQ126" s="161"/>
      <c r="FR126" s="430"/>
      <c r="FS126" s="641"/>
      <c r="FT126" s="639"/>
      <c r="FU126" s="668"/>
      <c r="FV126" s="667"/>
      <c r="FW126" s="668"/>
      <c r="FX126" s="667"/>
      <c r="FY126" s="749"/>
      <c r="FZ126" s="747"/>
      <c r="GA126" s="782"/>
      <c r="GB126" s="782"/>
      <c r="GC126" s="808"/>
      <c r="GD126" s="782"/>
      <c r="GE126" s="808"/>
    </row>
    <row r="127" spans="1:187">
      <c r="A127" s="161"/>
      <c r="B127" s="267" t="str">
        <f>B122</f>
        <v xml:space="preserve"> - MCM</v>
      </c>
      <c r="C127" s="161"/>
      <c r="D127" s="161"/>
      <c r="E127" s="161"/>
      <c r="F127" s="161"/>
      <c r="G127" s="161"/>
      <c r="H127" s="161"/>
      <c r="I127" s="161"/>
      <c r="J127" s="161"/>
      <c r="K127" s="161"/>
      <c r="L127" s="161"/>
      <c r="M127" s="161"/>
      <c r="N127" s="161"/>
      <c r="O127" s="161"/>
      <c r="P127" s="161"/>
      <c r="Q127" s="161"/>
      <c r="R127" s="161"/>
      <c r="S127" s="161"/>
      <c r="T127" s="161"/>
      <c r="U127" s="161"/>
      <c r="V127" s="161"/>
      <c r="W127" s="161"/>
      <c r="X127" s="265">
        <f t="shared" ref="X127:BN127" si="192">X122/X77</f>
        <v>0.28207306711979618</v>
      </c>
      <c r="Y127" s="265">
        <f t="shared" si="192"/>
        <v>0.29502771242872516</v>
      </c>
      <c r="Z127" s="265">
        <f t="shared" si="192"/>
        <v>0.39679218967921903</v>
      </c>
      <c r="AA127" s="265">
        <f t="shared" si="192"/>
        <v>0.22071767095463776</v>
      </c>
      <c r="AB127" s="265">
        <f t="shared" si="192"/>
        <v>0.32950708980418625</v>
      </c>
      <c r="AC127" s="265">
        <f t="shared" si="192"/>
        <v>0.3109589041095891</v>
      </c>
      <c r="AD127" s="265">
        <f t="shared" si="192"/>
        <v>0.35812500000000008</v>
      </c>
      <c r="AE127" s="265">
        <f t="shared" si="192"/>
        <v>0.33072720710138814</v>
      </c>
      <c r="AF127" s="265">
        <f t="shared" si="192"/>
        <v>0.35231209519505946</v>
      </c>
      <c r="AG127" s="265">
        <f t="shared" si="192"/>
        <v>0.32365681627469223</v>
      </c>
      <c r="AH127" s="265">
        <f t="shared" si="192"/>
        <v>0.34574468085106386</v>
      </c>
      <c r="AI127" s="265">
        <f t="shared" si="192"/>
        <v>0.32502596053997923</v>
      </c>
      <c r="AJ127" s="265">
        <f t="shared" si="192"/>
        <v>0.35620059502850115</v>
      </c>
      <c r="AK127" s="265">
        <f t="shared" si="192"/>
        <v>0.33200490496627838</v>
      </c>
      <c r="AL127" s="265">
        <f t="shared" si="192"/>
        <v>0.36834667922750824</v>
      </c>
      <c r="AM127" s="265">
        <f t="shared" si="192"/>
        <v>0.40344827586206894</v>
      </c>
      <c r="AN127" s="265">
        <f t="shared" si="192"/>
        <v>0.43580786026200874</v>
      </c>
      <c r="AO127" s="265">
        <f t="shared" si="192"/>
        <v>0.42899988610622497</v>
      </c>
      <c r="AP127" s="265">
        <f t="shared" si="192"/>
        <v>0.43162217659137575</v>
      </c>
      <c r="AQ127" s="265">
        <f t="shared" si="192"/>
        <v>0.40760000000000002</v>
      </c>
      <c r="AR127" s="265">
        <f t="shared" si="192"/>
        <v>0.54122938530734632</v>
      </c>
      <c r="AS127" s="265">
        <f t="shared" si="192"/>
        <v>0.5227397007062593</v>
      </c>
      <c r="AT127" s="265">
        <f t="shared" si="192"/>
        <v>0.52509652509652505</v>
      </c>
      <c r="AU127" s="265">
        <f t="shared" si="192"/>
        <v>0.57129831121463814</v>
      </c>
      <c r="AV127" s="265">
        <f t="shared" si="192"/>
        <v>0.52114396459546153</v>
      </c>
      <c r="AW127" s="265">
        <f t="shared" si="192"/>
        <v>0.5227383949161194</v>
      </c>
      <c r="AX127" s="265">
        <f t="shared" si="192"/>
        <v>0.54960460100647024</v>
      </c>
      <c r="AY127" s="265">
        <f t="shared" si="192"/>
        <v>0.54025108718739867</v>
      </c>
      <c r="AZ127" s="265">
        <f t="shared" si="192"/>
        <v>0.50821093750000002</v>
      </c>
      <c r="BA127" s="265">
        <f t="shared" si="192"/>
        <v>0.52509652509652505</v>
      </c>
      <c r="BB127" s="265">
        <f t="shared" si="192"/>
        <v>0.50384108908136582</v>
      </c>
      <c r="BC127" s="265">
        <f t="shared" si="192"/>
        <v>0.45600175633070844</v>
      </c>
      <c r="BD127" s="265">
        <f t="shared" si="192"/>
        <v>0.51651127776008343</v>
      </c>
      <c r="BE127" s="265">
        <f t="shared" si="192"/>
        <v>0.50182969408857736</v>
      </c>
      <c r="BF127" s="265">
        <f t="shared" si="192"/>
        <v>0.4368057946618718</v>
      </c>
      <c r="BG127" s="265">
        <f t="shared" si="192"/>
        <v>0.22012578616352202</v>
      </c>
      <c r="BH127" s="265">
        <f t="shared" si="192"/>
        <v>0.4356292365888953</v>
      </c>
      <c r="BI127" s="265">
        <f t="shared" si="192"/>
        <v>0.42867583119021629</v>
      </c>
      <c r="BJ127" s="265">
        <f t="shared" si="192"/>
        <v>0.37954606434617166</v>
      </c>
      <c r="BK127" s="265">
        <f t="shared" si="192"/>
        <v>0.3466081081081081</v>
      </c>
      <c r="BL127" s="265">
        <f t="shared" si="192"/>
        <v>0.43807766005410281</v>
      </c>
      <c r="BM127" s="265">
        <f t="shared" si="192"/>
        <v>0.46827323402077548</v>
      </c>
      <c r="BN127" s="265">
        <f t="shared" si="192"/>
        <v>0.45267959317500933</v>
      </c>
      <c r="BO127" s="265">
        <f>BO122/BO77</f>
        <v>0.46076199349149699</v>
      </c>
      <c r="BP127" s="265"/>
      <c r="BQ127" s="265"/>
      <c r="BR127" s="265"/>
      <c r="BS127" s="265"/>
      <c r="BT127" s="265"/>
      <c r="BU127" s="786"/>
      <c r="BV127" s="786"/>
      <c r="BW127" s="786"/>
      <c r="BX127" s="786"/>
      <c r="BY127" s="161"/>
      <c r="BZ127" s="161"/>
      <c r="CA127" s="264"/>
      <c r="CB127" s="264"/>
      <c r="CC127" s="264"/>
      <c r="CD127" s="264"/>
      <c r="CE127" s="264"/>
      <c r="CF127" s="264"/>
      <c r="CG127" s="264"/>
      <c r="CH127" s="264"/>
      <c r="CI127" s="264"/>
      <c r="CJ127" s="264"/>
      <c r="CK127" s="264"/>
      <c r="CL127" s="264"/>
      <c r="CM127" s="264"/>
      <c r="CN127" s="264"/>
      <c r="CO127" s="264"/>
      <c r="CP127" s="264"/>
      <c r="CQ127" s="264"/>
      <c r="CR127" s="264"/>
      <c r="CS127" s="264"/>
      <c r="CT127" s="264"/>
      <c r="CU127" s="264"/>
      <c r="CV127" s="161"/>
      <c r="CW127" s="161"/>
      <c r="CX127" s="161"/>
      <c r="CY127" s="161"/>
      <c r="CZ127" s="161"/>
      <c r="DA127" s="161"/>
      <c r="DB127" s="161"/>
      <c r="DC127" s="161"/>
      <c r="DD127" s="161"/>
      <c r="DE127" s="161"/>
      <c r="DF127" s="161"/>
      <c r="DG127" s="161"/>
      <c r="DH127" s="161"/>
      <c r="DI127" s="161"/>
      <c r="DJ127" s="161"/>
      <c r="DK127" s="177"/>
      <c r="DL127" s="177"/>
      <c r="DM127" s="177"/>
      <c r="DN127" s="177"/>
      <c r="DO127" s="177"/>
      <c r="DP127" s="177"/>
      <c r="DQ127" s="177"/>
      <c r="DR127" s="177"/>
      <c r="DS127" s="177"/>
      <c r="DT127" s="177"/>
      <c r="DU127" s="177"/>
      <c r="DV127" s="177"/>
      <c r="DW127" s="177"/>
      <c r="DX127" s="177"/>
      <c r="DY127" s="177"/>
      <c r="DZ127" s="177"/>
      <c r="EA127" s="177"/>
      <c r="EB127" s="808"/>
      <c r="EC127" s="808"/>
      <c r="ED127" s="808"/>
      <c r="EF127" s="161"/>
      <c r="EH127" s="161"/>
      <c r="EM127" s="161"/>
      <c r="EN127" s="161"/>
      <c r="EO127" s="161"/>
      <c r="EP127" s="161"/>
      <c r="FL127" s="265"/>
      <c r="FM127" s="265"/>
      <c r="FN127" s="265"/>
      <c r="FO127" s="434"/>
      <c r="FP127" s="161"/>
      <c r="FQ127" s="161"/>
      <c r="FR127" s="430"/>
      <c r="FS127" s="646"/>
      <c r="FT127" s="639"/>
      <c r="FU127" s="673"/>
      <c r="FV127" s="667"/>
      <c r="FW127" s="673"/>
      <c r="FX127" s="667"/>
      <c r="FY127" s="753"/>
      <c r="FZ127" s="747"/>
      <c r="GA127" s="786"/>
      <c r="GB127" s="786"/>
      <c r="GC127" s="808"/>
      <c r="GD127" s="786"/>
      <c r="GE127" s="808"/>
    </row>
    <row r="128" spans="1:187">
      <c r="A128" s="161"/>
      <c r="B128" s="267" t="str">
        <f>B123</f>
        <v xml:space="preserve"> - Ho1a</v>
      </c>
      <c r="C128" s="161"/>
      <c r="D128" s="161"/>
      <c r="E128" s="161"/>
      <c r="F128" s="161"/>
      <c r="G128" s="161"/>
      <c r="H128" s="161"/>
      <c r="I128" s="161"/>
      <c r="J128" s="161"/>
      <c r="K128" s="161"/>
      <c r="L128" s="161"/>
      <c r="M128" s="161"/>
      <c r="N128" s="161"/>
      <c r="O128" s="161"/>
      <c r="P128" s="161"/>
      <c r="Q128" s="161"/>
      <c r="R128" s="161"/>
      <c r="S128" s="161"/>
      <c r="T128" s="161"/>
      <c r="U128" s="161"/>
      <c r="V128" s="161"/>
      <c r="W128" s="161"/>
      <c r="X128" s="265">
        <f t="shared" ref="X128:BN128" si="193">X123/X79</f>
        <v>0.15119916579770598</v>
      </c>
      <c r="Y128" s="265">
        <f t="shared" si="193"/>
        <v>0.14629762760603876</v>
      </c>
      <c r="Z128" s="265">
        <f t="shared" si="193"/>
        <v>0.13323124042879012</v>
      </c>
      <c r="AA128" s="265">
        <f t="shared" si="193"/>
        <v>0.20192307692307693</v>
      </c>
      <c r="AB128" s="265">
        <f t="shared" si="193"/>
        <v>5.0034270047978092E-2</v>
      </c>
      <c r="AC128" s="265">
        <f t="shared" si="193"/>
        <v>6.4386317907444673E-2</v>
      </c>
      <c r="AD128" s="265">
        <f t="shared" si="193"/>
        <v>9.1176470588235331E-2</v>
      </c>
      <c r="AE128" s="265">
        <f t="shared" si="193"/>
        <v>0.12512524394203337</v>
      </c>
      <c r="AF128" s="265">
        <f t="shared" si="193"/>
        <v>0.16158940397350993</v>
      </c>
      <c r="AG128" s="265">
        <f t="shared" si="193"/>
        <v>0.13967625240406639</v>
      </c>
      <c r="AH128" s="265">
        <f t="shared" si="193"/>
        <v>0.12477718360071301</v>
      </c>
      <c r="AI128" s="265">
        <f t="shared" si="193"/>
        <v>0.13475026567481402</v>
      </c>
      <c r="AJ128" s="265">
        <f t="shared" si="193"/>
        <v>0.17025092872428466</v>
      </c>
      <c r="AK128" s="265">
        <f t="shared" si="193"/>
        <v>0.16872275870566311</v>
      </c>
      <c r="AL128" s="265">
        <f t="shared" si="193"/>
        <v>0.18494055482166447</v>
      </c>
      <c r="AM128" s="265">
        <f t="shared" si="193"/>
        <v>0.34636871508379891</v>
      </c>
      <c r="AN128" s="265">
        <f t="shared" si="193"/>
        <v>0.18082936777702244</v>
      </c>
      <c r="AO128" s="265">
        <f t="shared" si="193"/>
        <v>0.13613112590066553</v>
      </c>
      <c r="AP128" s="265">
        <f t="shared" si="193"/>
        <v>7.8690807799442902E-2</v>
      </c>
      <c r="AQ128" s="265">
        <f t="shared" si="193"/>
        <v>6.5517241379310351E-2</v>
      </c>
      <c r="AR128" s="265">
        <f t="shared" si="193"/>
        <v>0.21084337349397592</v>
      </c>
      <c r="AS128" s="265">
        <f t="shared" si="193"/>
        <v>6.9695574315681769E-2</v>
      </c>
      <c r="AT128" s="265">
        <f t="shared" si="193"/>
        <v>0.19022556390977444</v>
      </c>
      <c r="AU128" s="265">
        <f t="shared" si="193"/>
        <v>0.13880981780136295</v>
      </c>
      <c r="AV128" s="265">
        <f t="shared" si="193"/>
        <v>0.21202687203014911</v>
      </c>
      <c r="AW128" s="265">
        <f t="shared" si="193"/>
        <v>0.26835596182282567</v>
      </c>
      <c r="AX128" s="265">
        <f t="shared" si="193"/>
        <v>0.13917175831636117</v>
      </c>
      <c r="AY128" s="265">
        <f t="shared" si="193"/>
        <v>9.5006172422476221E-2</v>
      </c>
      <c r="AZ128" s="265">
        <f t="shared" si="193"/>
        <v>0.17492993630573248</v>
      </c>
      <c r="BA128" s="265">
        <f t="shared" si="193"/>
        <v>0.15469613259668508</v>
      </c>
      <c r="BB128" s="265">
        <f t="shared" si="193"/>
        <v>0.12983652123905998</v>
      </c>
      <c r="BC128" s="265">
        <f t="shared" si="193"/>
        <v>5.1780015094488534E-2</v>
      </c>
      <c r="BD128" s="265">
        <f t="shared" si="193"/>
        <v>0.10107626757102664</v>
      </c>
      <c r="BE128" s="265">
        <f t="shared" si="193"/>
        <v>0.17961066417726038</v>
      </c>
      <c r="BF128" s="265">
        <f t="shared" si="193"/>
        <v>0.24659110081752228</v>
      </c>
      <c r="BG128" s="265">
        <f t="shared" si="193"/>
        <v>0.18101545253863136</v>
      </c>
      <c r="BH128" s="265">
        <f t="shared" si="193"/>
        <v>0.19199218494467971</v>
      </c>
      <c r="BI128" s="265">
        <f t="shared" si="193"/>
        <v>0.21043654344638679</v>
      </c>
      <c r="BJ128" s="265">
        <f t="shared" si="193"/>
        <v>0.22280864063382863</v>
      </c>
      <c r="BK128" s="265">
        <f t="shared" si="193"/>
        <v>0.23512616201859229</v>
      </c>
      <c r="BL128" s="265">
        <f t="shared" si="193"/>
        <v>0.32645425934438982</v>
      </c>
      <c r="BM128" s="265">
        <f t="shared" si="193"/>
        <v>8.1970194460150705E-2</v>
      </c>
      <c r="BN128" s="265">
        <f t="shared" si="193"/>
        <v>7.7700367446429219E-2</v>
      </c>
      <c r="BO128" s="265">
        <f>BO123/BO79</f>
        <v>5.9867142277377869E-2</v>
      </c>
      <c r="BP128" s="265"/>
      <c r="BQ128" s="265"/>
      <c r="BR128" s="265"/>
      <c r="BS128" s="265"/>
      <c r="BT128" s="265"/>
      <c r="BU128" s="786"/>
      <c r="BV128" s="786"/>
      <c r="BW128" s="786"/>
      <c r="BX128" s="786"/>
      <c r="BY128" s="161"/>
      <c r="BZ128" s="161"/>
      <c r="CA128" s="264"/>
      <c r="CB128" s="264"/>
      <c r="CC128" s="264"/>
      <c r="CD128" s="264"/>
      <c r="CE128" s="264"/>
      <c r="CF128" s="264"/>
      <c r="CG128" s="264"/>
      <c r="CH128" s="264"/>
      <c r="CI128" s="264"/>
      <c r="CJ128" s="264"/>
      <c r="CK128" s="264"/>
      <c r="CL128" s="264"/>
      <c r="CM128" s="264"/>
      <c r="CN128" s="264"/>
      <c r="CO128" s="264"/>
      <c r="CP128" s="264"/>
      <c r="CQ128" s="264"/>
      <c r="CR128" s="264"/>
      <c r="CS128" s="264"/>
      <c r="CT128" s="264"/>
      <c r="CU128" s="264"/>
      <c r="CV128" s="161"/>
      <c r="CW128" s="161"/>
      <c r="CX128" s="161"/>
      <c r="CY128" s="161"/>
      <c r="CZ128" s="161"/>
      <c r="DA128" s="161"/>
      <c r="DB128" s="161"/>
      <c r="DC128" s="161"/>
      <c r="DD128" s="161"/>
      <c r="DE128" s="161"/>
      <c r="DF128" s="161"/>
      <c r="DG128" s="161"/>
      <c r="DH128" s="161"/>
      <c r="DI128" s="161"/>
      <c r="DJ128" s="161"/>
      <c r="DK128" s="177"/>
      <c r="DL128" s="177"/>
      <c r="DM128" s="177"/>
      <c r="DN128" s="177"/>
      <c r="DO128" s="177"/>
      <c r="DP128" s="177"/>
      <c r="DQ128" s="177"/>
      <c r="DR128" s="177"/>
      <c r="DS128" s="177"/>
      <c r="DT128" s="177"/>
      <c r="DU128" s="177"/>
      <c r="DV128" s="177"/>
      <c r="DW128" s="177"/>
      <c r="DX128" s="177"/>
      <c r="DY128" s="177"/>
      <c r="DZ128" s="177"/>
      <c r="EA128" s="177"/>
      <c r="EB128" s="808"/>
      <c r="EC128" s="808"/>
      <c r="ED128" s="808"/>
      <c r="EF128" s="161"/>
      <c r="EH128" s="161"/>
      <c r="EM128" s="161"/>
      <c r="EN128" s="161"/>
      <c r="EO128" s="161"/>
      <c r="EP128" s="161"/>
      <c r="FL128" s="265"/>
      <c r="FM128" s="265"/>
      <c r="FN128" s="265"/>
      <c r="FO128" s="434"/>
      <c r="FP128" s="161"/>
      <c r="FQ128" s="161"/>
      <c r="FR128" s="430"/>
      <c r="FS128" s="646"/>
      <c r="FT128" s="639"/>
      <c r="FU128" s="673"/>
      <c r="FV128" s="667"/>
      <c r="FW128" s="673"/>
      <c r="FX128" s="667"/>
      <c r="FY128" s="753"/>
      <c r="FZ128" s="747"/>
      <c r="GA128" s="786"/>
      <c r="GB128" s="786"/>
      <c r="GC128" s="808"/>
      <c r="GD128" s="786"/>
      <c r="GE128" s="808"/>
    </row>
    <row r="129" spans="1:187">
      <c r="A129" s="161"/>
      <c r="B129" s="861" t="str">
        <f>B124</f>
        <v xml:space="preserve"> - PCTV</v>
      </c>
      <c r="C129" s="855"/>
      <c r="D129" s="855"/>
      <c r="E129" s="855"/>
      <c r="F129" s="855"/>
      <c r="G129" s="855"/>
      <c r="H129" s="855"/>
      <c r="I129" s="855"/>
      <c r="J129" s="855"/>
      <c r="K129" s="855"/>
      <c r="L129" s="855"/>
      <c r="M129" s="855"/>
      <c r="N129" s="855"/>
      <c r="O129" s="855"/>
      <c r="P129" s="855"/>
      <c r="Q129" s="855"/>
      <c r="R129" s="855"/>
      <c r="S129" s="855"/>
      <c r="T129" s="855"/>
      <c r="U129" s="855"/>
      <c r="V129" s="855"/>
      <c r="W129" s="855"/>
      <c r="X129" s="855"/>
      <c r="Y129" s="867"/>
      <c r="Z129" s="855"/>
      <c r="AA129" s="867">
        <f t="shared" ref="AA129:BN129" si="194">AA124/AA80</f>
        <v>8.2882882882882841E-2</v>
      </c>
      <c r="AB129" s="867">
        <f t="shared" si="194"/>
        <v>0.11373707533234863</v>
      </c>
      <c r="AC129" s="867">
        <f t="shared" si="194"/>
        <v>0.1388888888888889</v>
      </c>
      <c r="AD129" s="867">
        <f t="shared" si="194"/>
        <v>7.3333333333333348E-2</v>
      </c>
      <c r="AE129" s="867">
        <f t="shared" si="194"/>
        <v>0.29752770673486778</v>
      </c>
      <c r="AF129" s="867">
        <f t="shared" si="194"/>
        <v>-4.390243902439029E-2</v>
      </c>
      <c r="AG129" s="867">
        <f t="shared" si="194"/>
        <v>1.7657081680966229E-2</v>
      </c>
      <c r="AH129" s="867">
        <f t="shared" si="194"/>
        <v>0.1851851851851852</v>
      </c>
      <c r="AI129" s="867">
        <f t="shared" si="194"/>
        <v>0.10177514792899407</v>
      </c>
      <c r="AJ129" s="867">
        <f t="shared" si="194"/>
        <v>1.7649135192375574E-2</v>
      </c>
      <c r="AK129" s="867">
        <f t="shared" si="194"/>
        <v>-5.9605351365530912E-3</v>
      </c>
      <c r="AL129" s="867">
        <f t="shared" si="194"/>
        <v>7.8023407022106625E-2</v>
      </c>
      <c r="AM129" s="867">
        <f t="shared" si="194"/>
        <v>0.21706398996235884</v>
      </c>
      <c r="AN129" s="867">
        <f t="shared" si="194"/>
        <v>3.5714285714285712E-2</v>
      </c>
      <c r="AO129" s="867">
        <f t="shared" si="194"/>
        <v>6.7008507166996856E-2</v>
      </c>
      <c r="AP129" s="867">
        <f t="shared" si="194"/>
        <v>0.16644993498049415</v>
      </c>
      <c r="AQ129" s="867">
        <f t="shared" si="194"/>
        <v>4.2105263157894736E-2</v>
      </c>
      <c r="AR129" s="867">
        <f t="shared" si="194"/>
        <v>5.305039787798408E-2</v>
      </c>
      <c r="AS129" s="867">
        <f t="shared" si="194"/>
        <v>0.12270559681924068</v>
      </c>
      <c r="AT129" s="867">
        <f t="shared" si="194"/>
        <v>0.1125</v>
      </c>
      <c r="AU129" s="867">
        <f t="shared" si="194"/>
        <v>1.8090880068106843E-2</v>
      </c>
      <c r="AV129" s="867">
        <f t="shared" si="194"/>
        <v>1.9350819759042532E-2</v>
      </c>
      <c r="AW129" s="867">
        <f t="shared" si="194"/>
        <v>7.3174649923692742E-2</v>
      </c>
      <c r="AX129" s="867">
        <f t="shared" si="194"/>
        <v>-0.12364545707140873</v>
      </c>
      <c r="AY129" s="867">
        <f t="shared" si="194"/>
        <v>6.4129384274721382E-2</v>
      </c>
      <c r="AZ129" s="867">
        <f t="shared" si="194"/>
        <v>0.10492574257425742</v>
      </c>
      <c r="BA129" s="867">
        <f t="shared" si="194"/>
        <v>0.10126582278481013</v>
      </c>
      <c r="BB129" s="867">
        <f t="shared" si="194"/>
        <v>0.12277753944420612</v>
      </c>
      <c r="BC129" s="867">
        <f t="shared" si="194"/>
        <v>9.3375000000000003E-3</v>
      </c>
      <c r="BD129" s="867">
        <f t="shared" si="194"/>
        <v>8.9381226393571447E-2</v>
      </c>
      <c r="BE129" s="867">
        <f t="shared" si="194"/>
        <v>0.10383651754322655</v>
      </c>
      <c r="BF129" s="867">
        <f t="shared" si="194"/>
        <v>2.7889166622347496E-2</v>
      </c>
      <c r="BG129" s="867">
        <f t="shared" si="194"/>
        <v>6.25E-2</v>
      </c>
      <c r="BH129" s="867">
        <f t="shared" si="194"/>
        <v>3.008037493703598E-2</v>
      </c>
      <c r="BI129" s="867">
        <f t="shared" si="194"/>
        <v>5.0152898681981396E-2</v>
      </c>
      <c r="BJ129" s="867">
        <f t="shared" si="194"/>
        <v>6.5911890904456441E-2</v>
      </c>
      <c r="BK129" s="867">
        <f t="shared" si="194"/>
        <v>-0.12448001803731469</v>
      </c>
      <c r="BL129" s="867">
        <f t="shared" si="194"/>
        <v>3.2505478451424395E-2</v>
      </c>
      <c r="BM129" s="867">
        <f t="shared" si="194"/>
        <v>9.1029865022850459E-2</v>
      </c>
      <c r="BN129" s="867">
        <f t="shared" si="194"/>
        <v>8.6140458597107838E-2</v>
      </c>
      <c r="BO129" s="867">
        <f>BO124/BO80</f>
        <v>0.13777737541996096</v>
      </c>
      <c r="BP129" s="265"/>
      <c r="BQ129" s="265"/>
      <c r="BR129" s="265"/>
      <c r="BS129" s="265"/>
      <c r="BT129" s="265"/>
      <c r="BU129" s="786"/>
      <c r="BV129" s="786"/>
      <c r="BW129" s="786"/>
      <c r="BX129" s="786"/>
      <c r="BY129" s="161"/>
      <c r="BZ129" s="161"/>
      <c r="CA129" s="264"/>
      <c r="CB129" s="264"/>
      <c r="CC129" s="264"/>
      <c r="CD129" s="264"/>
      <c r="CE129" s="264"/>
      <c r="CF129" s="264"/>
      <c r="CG129" s="264"/>
      <c r="CH129" s="264"/>
      <c r="CI129" s="264"/>
      <c r="CJ129" s="264"/>
      <c r="CK129" s="264"/>
      <c r="CL129" s="264"/>
      <c r="CM129" s="264"/>
      <c r="CN129" s="264"/>
      <c r="CO129" s="264"/>
      <c r="CP129" s="264"/>
      <c r="CQ129" s="264"/>
      <c r="CR129" s="264"/>
      <c r="CS129" s="264"/>
      <c r="CT129" s="264"/>
      <c r="CU129" s="264"/>
      <c r="CV129" s="161"/>
      <c r="CW129" s="161"/>
      <c r="CX129" s="161"/>
      <c r="CY129" s="161"/>
      <c r="CZ129" s="161"/>
      <c r="DA129" s="161"/>
      <c r="DB129" s="161"/>
      <c r="DC129" s="161"/>
      <c r="DD129" s="161"/>
      <c r="DE129" s="161"/>
      <c r="DF129" s="161"/>
      <c r="DG129" s="161"/>
      <c r="DH129" s="161"/>
      <c r="DI129" s="161"/>
      <c r="DJ129" s="161"/>
      <c r="DK129" s="177"/>
      <c r="DL129" s="177"/>
      <c r="DM129" s="177"/>
      <c r="DN129" s="177"/>
      <c r="DO129" s="177"/>
      <c r="DP129" s="177"/>
      <c r="DQ129" s="177"/>
      <c r="DR129" s="177"/>
      <c r="DS129" s="177"/>
      <c r="DT129" s="177"/>
      <c r="DU129" s="177"/>
      <c r="DV129" s="177"/>
      <c r="DW129" s="177"/>
      <c r="DX129" s="177"/>
      <c r="DY129" s="177"/>
      <c r="DZ129" s="177"/>
      <c r="EA129" s="177"/>
      <c r="EB129" s="808"/>
      <c r="EC129" s="808"/>
      <c r="ED129" s="808"/>
      <c r="EF129" s="161"/>
      <c r="EH129" s="161"/>
      <c r="EM129" s="161"/>
      <c r="EN129" s="161"/>
      <c r="EO129" s="161"/>
      <c r="EP129" s="161"/>
      <c r="FL129" s="867"/>
      <c r="FM129" s="867"/>
      <c r="FN129" s="867"/>
      <c r="FO129" s="883"/>
      <c r="FP129" s="161"/>
      <c r="FQ129" s="161"/>
      <c r="FR129" s="430"/>
      <c r="FS129" s="884"/>
      <c r="FT129" s="639"/>
      <c r="FU129" s="687"/>
      <c r="FV129" s="667"/>
      <c r="FW129" s="673"/>
      <c r="FX129" s="667"/>
      <c r="FY129" s="753"/>
      <c r="FZ129" s="747"/>
      <c r="GA129" s="786"/>
      <c r="GB129" s="786"/>
      <c r="GC129" s="808"/>
      <c r="GD129" s="786"/>
      <c r="GE129" s="808"/>
    </row>
    <row r="130" spans="1:187">
      <c r="A130" s="161"/>
      <c r="B130" s="267" t="s">
        <v>484</v>
      </c>
      <c r="C130" s="161"/>
      <c r="D130" s="161"/>
      <c r="E130" s="161"/>
      <c r="F130" s="161"/>
      <c r="G130" s="161"/>
      <c r="H130" s="161"/>
      <c r="I130" s="265"/>
      <c r="J130" s="265"/>
      <c r="K130" s="265"/>
      <c r="L130" s="265"/>
      <c r="M130" s="265"/>
      <c r="N130" s="265"/>
      <c r="O130" s="265"/>
      <c r="P130" s="265"/>
      <c r="Q130" s="265"/>
      <c r="R130" s="265"/>
      <c r="S130" s="265"/>
      <c r="T130" s="265">
        <f t="shared" ref="T130:AM130" si="195">T125/T81</f>
        <v>0.1778496362166532</v>
      </c>
      <c r="U130" s="265">
        <f t="shared" si="195"/>
        <v>0.13742926434923203</v>
      </c>
      <c r="V130" s="265">
        <f t="shared" si="195"/>
        <v>0.26093088857545838</v>
      </c>
      <c r="W130" s="265">
        <f t="shared" si="195"/>
        <v>0.1884297520661157</v>
      </c>
      <c r="X130" s="265">
        <f t="shared" si="195"/>
        <v>0.18072289156626503</v>
      </c>
      <c r="Y130" s="265">
        <f t="shared" si="195"/>
        <v>0.17556693489392827</v>
      </c>
      <c r="Z130" s="265">
        <f t="shared" si="195"/>
        <v>0.19685039370078738</v>
      </c>
      <c r="AA130" s="265">
        <f t="shared" si="195"/>
        <v>0.14658116874051877</v>
      </c>
      <c r="AB130" s="265">
        <f t="shared" si="195"/>
        <v>0.14345906902086678</v>
      </c>
      <c r="AC130" s="265">
        <f t="shared" si="195"/>
        <v>0.11251954022988511</v>
      </c>
      <c r="AD130" s="265">
        <f t="shared" si="195"/>
        <v>0.14555125725338486</v>
      </c>
      <c r="AE130" s="265">
        <f t="shared" si="195"/>
        <v>0.17047711747580921</v>
      </c>
      <c r="AF130" s="265">
        <f t="shared" si="195"/>
        <v>0.15289331916297166</v>
      </c>
      <c r="AG130" s="265">
        <f t="shared" si="195"/>
        <v>0.14209472185095567</v>
      </c>
      <c r="AH130" s="265">
        <f t="shared" si="195"/>
        <v>0.15778661797313176</v>
      </c>
      <c r="AI130" s="265">
        <f t="shared" si="195"/>
        <v>0.1459438055977435</v>
      </c>
      <c r="AJ130" s="265">
        <f t="shared" si="195"/>
        <v>0.15496475353779782</v>
      </c>
      <c r="AK130" s="265">
        <f t="shared" si="195"/>
        <v>0.14419998682563745</v>
      </c>
      <c r="AL130" s="265">
        <f t="shared" si="195"/>
        <v>0.16063144329896933</v>
      </c>
      <c r="AM130" s="265">
        <f t="shared" si="195"/>
        <v>0.23112461600106837</v>
      </c>
      <c r="AN130" s="265">
        <f t="shared" ref="AN130:BS130" si="196">AN125/(AN77+AN79+AN80)</f>
        <v>0.28923783904954042</v>
      </c>
      <c r="AO130" s="265">
        <f t="shared" si="196"/>
        <v>0.27956219425967332</v>
      </c>
      <c r="AP130" s="265">
        <f t="shared" si="196"/>
        <v>0.2782607758620686</v>
      </c>
      <c r="AQ130" s="265">
        <f t="shared" si="196"/>
        <v>0.22061281337047303</v>
      </c>
      <c r="AR130" s="265">
        <f t="shared" si="196"/>
        <v>0.36106257378984685</v>
      </c>
      <c r="AS130" s="265">
        <f t="shared" si="196"/>
        <v>0.29681766305916196</v>
      </c>
      <c r="AT130" s="265">
        <f t="shared" si="196"/>
        <v>0.3218181818181815</v>
      </c>
      <c r="AU130" s="265">
        <f t="shared" si="196"/>
        <v>0.26818890826937974</v>
      </c>
      <c r="AV130" s="265">
        <f t="shared" si="196"/>
        <v>0.34688779254828606</v>
      </c>
      <c r="AW130" s="265">
        <f t="shared" si="196"/>
        <v>0.36045382088734662</v>
      </c>
      <c r="AX130" s="265">
        <f t="shared" si="196"/>
        <v>0.33259427514674011</v>
      </c>
      <c r="AY130" s="265">
        <f t="shared" si="196"/>
        <v>0.32303013169823441</v>
      </c>
      <c r="AZ130" s="265">
        <f t="shared" si="196"/>
        <v>0.33625759416767897</v>
      </c>
      <c r="BA130" s="265">
        <f t="shared" si="196"/>
        <v>0.33333333333333331</v>
      </c>
      <c r="BB130" s="265">
        <f t="shared" si="196"/>
        <v>0.32243281568844434</v>
      </c>
      <c r="BC130" s="265">
        <f t="shared" si="196"/>
        <v>0.24609374303170881</v>
      </c>
      <c r="BD130" s="265">
        <f t="shared" si="196"/>
        <v>0.31178209045266975</v>
      </c>
      <c r="BE130" s="265">
        <f t="shared" si="196"/>
        <v>0.33322356220036792</v>
      </c>
      <c r="BF130" s="265">
        <f t="shared" si="196"/>
        <v>0.31140907779881077</v>
      </c>
      <c r="BG130" s="265">
        <f t="shared" si="196"/>
        <v>0.1809723183391001</v>
      </c>
      <c r="BH130" s="265">
        <f t="shared" si="196"/>
        <v>0.28949640966755036</v>
      </c>
      <c r="BI130" s="265">
        <f t="shared" si="196"/>
        <v>0.29537044939162604</v>
      </c>
      <c r="BJ130" s="265">
        <f t="shared" si="196"/>
        <v>0.28562634498486739</v>
      </c>
      <c r="BK130" s="265">
        <f t="shared" si="196"/>
        <v>0.2367295762532709</v>
      </c>
      <c r="BL130" s="265">
        <f t="shared" si="196"/>
        <v>0.32681909186776897</v>
      </c>
      <c r="BM130" s="265">
        <f t="shared" si="196"/>
        <v>0.22115049474628334</v>
      </c>
      <c r="BN130" s="265">
        <f t="shared" si="196"/>
        <v>0.23946758333999538</v>
      </c>
      <c r="BO130" s="265">
        <f t="shared" si="196"/>
        <v>0.22522954392000347</v>
      </c>
      <c r="BP130" s="265">
        <f t="shared" si="196"/>
        <v>0.27930217967421012</v>
      </c>
      <c r="BQ130" s="265" t="e">
        <f t="shared" si="196"/>
        <v>#DIV/0!</v>
      </c>
      <c r="BR130" s="265" t="e">
        <f>BR125/(BR77+BR79+BR80)</f>
        <v>#DIV/0!</v>
      </c>
      <c r="BS130" s="265" t="e">
        <f t="shared" si="196"/>
        <v>#DIV/0!</v>
      </c>
      <c r="BT130" s="265">
        <f>BT125/(BT77+BT79+BT80)</f>
        <v>0.27930217967421012</v>
      </c>
      <c r="BU130" s="786"/>
      <c r="BV130" s="786"/>
      <c r="BW130" s="786"/>
      <c r="BX130" s="786">
        <f>BX125/(BX77+BX79+BX80)</f>
        <v>0.43834345192797886</v>
      </c>
      <c r="BY130" s="161"/>
      <c r="BZ130" s="161"/>
      <c r="CA130" s="161"/>
      <c r="CB130" s="161"/>
      <c r="CC130" s="161"/>
      <c r="CD130" s="161"/>
      <c r="CE130" s="161"/>
      <c r="CF130" s="161"/>
      <c r="CG130" s="161"/>
      <c r="CH130" s="161"/>
      <c r="CI130" s="161"/>
      <c r="CJ130" s="161"/>
      <c r="CK130" s="161"/>
      <c r="CL130" s="161"/>
      <c r="CM130" s="161"/>
      <c r="CN130" s="161"/>
      <c r="CO130" s="161"/>
      <c r="CP130" s="161"/>
      <c r="CQ130" s="161"/>
      <c r="CR130" s="161"/>
      <c r="CS130" s="161"/>
      <c r="CT130" s="161"/>
      <c r="CU130" s="161"/>
      <c r="CV130" s="161"/>
      <c r="CW130" s="161"/>
      <c r="CX130" s="161"/>
      <c r="CY130" s="161"/>
      <c r="CZ130" s="161"/>
      <c r="DA130" s="161"/>
      <c r="DB130" s="161"/>
      <c r="DC130" s="161"/>
      <c r="DD130" s="161"/>
      <c r="DE130" s="161"/>
      <c r="DF130" s="161"/>
      <c r="DG130" s="161"/>
      <c r="DH130" s="161"/>
      <c r="DI130" s="161"/>
      <c r="DJ130" s="161"/>
      <c r="DK130" s="177"/>
      <c r="DL130" s="177"/>
      <c r="DM130" s="177"/>
      <c r="DN130" s="177"/>
      <c r="DO130" s="177"/>
      <c r="DP130" s="177"/>
      <c r="DQ130" s="177"/>
      <c r="DR130" s="177"/>
      <c r="DS130" s="177"/>
      <c r="DT130" s="177"/>
      <c r="DU130" s="177"/>
      <c r="DV130" s="177"/>
      <c r="DW130" s="177"/>
      <c r="DX130" s="177"/>
      <c r="DY130" s="177"/>
      <c r="DZ130" s="177"/>
      <c r="EA130" s="177"/>
      <c r="EB130" s="808"/>
      <c r="EC130" s="808"/>
      <c r="ED130" s="808"/>
      <c r="EF130" s="161"/>
      <c r="EH130" s="161"/>
      <c r="EM130" s="161"/>
      <c r="EN130" s="161"/>
      <c r="EO130" s="161"/>
      <c r="EP130" s="161"/>
      <c r="FL130" s="265">
        <v>0.29337182502809617</v>
      </c>
      <c r="FM130" s="265">
        <v>0.30876125384382752</v>
      </c>
      <c r="FN130" s="265">
        <v>0.30937803203425229</v>
      </c>
      <c r="FO130" s="434">
        <v>0.24765462473995928</v>
      </c>
      <c r="FP130" s="161"/>
      <c r="FQ130" s="161"/>
      <c r="FR130" s="430"/>
      <c r="FS130" s="646">
        <v>0.28358208955223879</v>
      </c>
      <c r="FT130" s="639"/>
      <c r="FU130" s="673">
        <v>0.28400597907324365</v>
      </c>
      <c r="FV130" s="667"/>
      <c r="FW130" s="673">
        <v>0.216932315301887</v>
      </c>
      <c r="FX130" s="667"/>
      <c r="FY130" s="753">
        <v>0.28241256432689338</v>
      </c>
      <c r="FZ130" s="747"/>
      <c r="GA130" s="786">
        <v>0.25488790030144742</v>
      </c>
      <c r="GB130" s="786">
        <v>0.282748522992403</v>
      </c>
      <c r="GC130" s="808"/>
      <c r="GD130" s="786">
        <v>0.21265063703761017</v>
      </c>
      <c r="GE130" s="808"/>
    </row>
    <row r="131" spans="1:187">
      <c r="A131" s="161"/>
      <c r="B131" s="267"/>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1"/>
      <c r="Z131" s="161"/>
      <c r="AA131" s="161"/>
      <c r="AB131" s="263"/>
      <c r="AC131" s="263"/>
      <c r="AD131" s="263"/>
      <c r="AE131" s="264"/>
      <c r="AF131" s="264"/>
      <c r="AG131" s="264"/>
      <c r="AH131" s="264"/>
      <c r="AI131" s="264"/>
      <c r="AJ131" s="264"/>
      <c r="AK131" s="161"/>
      <c r="AL131" s="264">
        <f>SUM(AJ133:AM133)/SUM(AF133:AI133)-1</f>
        <v>0.11577881136293211</v>
      </c>
      <c r="AM131" s="264"/>
      <c r="AN131" s="264"/>
      <c r="AO131" s="264"/>
      <c r="AP131" s="264"/>
      <c r="AQ131" s="264"/>
      <c r="AR131" s="264"/>
      <c r="AS131" s="264"/>
      <c r="AT131" s="264"/>
      <c r="AU131" s="264"/>
      <c r="AV131" s="264"/>
      <c r="AW131" s="264"/>
      <c r="AX131" s="264"/>
      <c r="AY131" s="264"/>
      <c r="AZ131" s="264"/>
      <c r="BA131" s="264"/>
      <c r="BB131" s="264"/>
      <c r="BC131" s="264"/>
      <c r="BD131" s="264"/>
      <c r="BE131" s="264"/>
      <c r="BF131" s="264"/>
      <c r="BG131" s="264"/>
      <c r="BH131" s="264"/>
      <c r="BI131" s="264"/>
      <c r="BJ131" s="264"/>
      <c r="BK131" s="264"/>
      <c r="BL131" s="264"/>
      <c r="BM131" s="264"/>
      <c r="BN131" s="264"/>
      <c r="BO131" s="264"/>
      <c r="BP131" s="264"/>
      <c r="BQ131" s="264"/>
      <c r="BR131" s="264"/>
      <c r="BS131" s="264"/>
      <c r="BT131" s="264"/>
      <c r="BU131" s="782"/>
      <c r="BV131" s="782"/>
      <c r="BW131" s="782"/>
      <c r="BX131" s="782"/>
      <c r="BY131" s="161"/>
      <c r="BZ131" s="161"/>
      <c r="CA131" s="264"/>
      <c r="CB131" s="264"/>
      <c r="CC131" s="264"/>
      <c r="CD131" s="264"/>
      <c r="CE131" s="264"/>
      <c r="CF131" s="264"/>
      <c r="CG131" s="264"/>
      <c r="CH131" s="264"/>
      <c r="CI131" s="264"/>
      <c r="CJ131" s="264"/>
      <c r="CK131" s="264"/>
      <c r="CL131" s="264"/>
      <c r="CM131" s="264"/>
      <c r="CN131" s="264"/>
      <c r="CO131" s="264"/>
      <c r="CP131" s="264"/>
      <c r="CQ131" s="264"/>
      <c r="CR131" s="264"/>
      <c r="CS131" s="264"/>
      <c r="CT131" s="264"/>
      <c r="CU131" s="264"/>
      <c r="CV131" s="161"/>
      <c r="CW131" s="161"/>
      <c r="CX131" s="161"/>
      <c r="CY131" s="161"/>
      <c r="CZ131" s="161"/>
      <c r="DA131" s="161"/>
      <c r="DB131" s="161"/>
      <c r="DC131" s="161"/>
      <c r="DD131" s="161"/>
      <c r="DE131" s="161"/>
      <c r="DF131" s="161"/>
      <c r="DG131" s="161"/>
      <c r="DH131" s="161"/>
      <c r="DI131" s="161"/>
      <c r="DJ131" s="161"/>
      <c r="DK131" s="177"/>
      <c r="DL131" s="177"/>
      <c r="DM131" s="177"/>
      <c r="DN131" s="177"/>
      <c r="DO131" s="177"/>
      <c r="DP131" s="177"/>
      <c r="DQ131" s="177"/>
      <c r="DR131" s="177"/>
      <c r="DS131" s="177"/>
      <c r="DT131" s="177"/>
      <c r="DU131" s="177"/>
      <c r="DV131" s="177"/>
      <c r="DW131" s="177"/>
      <c r="DX131" s="177"/>
      <c r="DY131" s="177"/>
      <c r="DZ131" s="177"/>
      <c r="EA131" s="177"/>
      <c r="EB131" s="808"/>
      <c r="EC131" s="808"/>
      <c r="ED131" s="808"/>
      <c r="EF131" s="161"/>
      <c r="EH131" s="161"/>
      <c r="EM131" s="161"/>
      <c r="EN131" s="161"/>
      <c r="EO131" s="161"/>
      <c r="EP131" s="161"/>
      <c r="FL131" s="264"/>
      <c r="FM131" s="264"/>
      <c r="FN131" s="264"/>
      <c r="FO131" s="432"/>
      <c r="FP131" s="161"/>
      <c r="FQ131" s="161"/>
      <c r="FR131" s="430"/>
      <c r="FS131" s="641"/>
      <c r="FT131" s="639"/>
      <c r="FU131" s="668"/>
      <c r="FV131" s="667"/>
      <c r="FW131" s="668"/>
      <c r="FX131" s="667"/>
      <c r="FY131" s="749"/>
      <c r="FZ131" s="747"/>
      <c r="GA131" s="782"/>
      <c r="GB131" s="782"/>
      <c r="GC131" s="808"/>
      <c r="GD131" s="782"/>
      <c r="GE131" s="808"/>
    </row>
    <row r="132" spans="1:187">
      <c r="A132" s="161"/>
      <c r="B132" s="267"/>
      <c r="C132" s="161"/>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1"/>
      <c r="Z132" s="161"/>
      <c r="AA132" s="161"/>
      <c r="AB132" s="263"/>
      <c r="AC132" s="263"/>
      <c r="AD132" s="263"/>
      <c r="AE132" s="264"/>
      <c r="AF132" s="264"/>
      <c r="AG132" s="264"/>
      <c r="AH132" s="264"/>
      <c r="AI132" s="264"/>
      <c r="AJ132" s="264"/>
      <c r="AK132" s="161"/>
      <c r="AL132" s="264"/>
      <c r="AM132" s="264"/>
      <c r="AN132" s="264"/>
      <c r="AO132" s="264"/>
      <c r="AP132" s="264"/>
      <c r="AQ132" s="264"/>
      <c r="AR132" s="264"/>
      <c r="AS132" s="264"/>
      <c r="AT132" s="264"/>
      <c r="AU132" s="264"/>
      <c r="AV132" s="264"/>
      <c r="AW132" s="264"/>
      <c r="AX132" s="264"/>
      <c r="AY132" s="264"/>
      <c r="AZ132" s="264"/>
      <c r="BA132" s="264"/>
      <c r="BB132" s="264"/>
      <c r="BC132" s="264"/>
      <c r="BD132" s="264"/>
      <c r="BE132" s="264"/>
      <c r="BF132" s="264"/>
      <c r="BG132" s="264"/>
      <c r="BH132" s="264"/>
      <c r="BI132" s="264"/>
      <c r="BJ132" s="264"/>
      <c r="BK132" s="264"/>
      <c r="BL132" s="264"/>
      <c r="BM132" s="264"/>
      <c r="BN132" s="264"/>
      <c r="BO132" s="264"/>
      <c r="BP132" s="264"/>
      <c r="BQ132" s="264"/>
      <c r="BR132" s="264"/>
      <c r="BS132" s="264"/>
      <c r="BT132" s="264"/>
      <c r="BU132" s="782"/>
      <c r="BV132" s="782"/>
      <c r="BW132" s="782"/>
      <c r="BX132" s="782"/>
      <c r="BY132" s="161"/>
      <c r="BZ132" s="161"/>
      <c r="CA132" s="264"/>
      <c r="CB132" s="264"/>
      <c r="CC132" s="264"/>
      <c r="CD132" s="264"/>
      <c r="CE132" s="264"/>
      <c r="CF132" s="264"/>
      <c r="CG132" s="264"/>
      <c r="CH132" s="264"/>
      <c r="CI132" s="264"/>
      <c r="CJ132" s="264"/>
      <c r="CK132" s="264"/>
      <c r="CL132" s="264"/>
      <c r="CM132" s="264"/>
      <c r="CN132" s="264"/>
      <c r="CO132" s="264"/>
      <c r="CP132" s="264"/>
      <c r="CQ132" s="264"/>
      <c r="CR132" s="264"/>
      <c r="CS132" s="264"/>
      <c r="CT132" s="264"/>
      <c r="CU132" s="264"/>
      <c r="CV132" s="161"/>
      <c r="CW132" s="161"/>
      <c r="CX132" s="161"/>
      <c r="CY132" s="161"/>
      <c r="CZ132" s="161"/>
      <c r="DA132" s="161"/>
      <c r="DB132" s="161"/>
      <c r="DC132" s="161"/>
      <c r="DD132" s="161"/>
      <c r="DE132" s="161"/>
      <c r="DF132" s="161"/>
      <c r="DG132" s="161"/>
      <c r="DH132" s="161"/>
      <c r="DI132" s="161"/>
      <c r="DJ132" s="161"/>
      <c r="DK132" s="177"/>
      <c r="DL132" s="177"/>
      <c r="DM132" s="177"/>
      <c r="DN132" s="177"/>
      <c r="DO132" s="177"/>
      <c r="DP132" s="177"/>
      <c r="DQ132" s="177"/>
      <c r="DR132" s="177"/>
      <c r="DS132" s="177"/>
      <c r="DT132" s="177"/>
      <c r="DU132" s="177"/>
      <c r="DV132" s="177"/>
      <c r="DW132" s="177"/>
      <c r="DX132" s="177"/>
      <c r="DY132" s="177"/>
      <c r="DZ132" s="177"/>
      <c r="EA132" s="177"/>
      <c r="EB132" s="808"/>
      <c r="EC132" s="808"/>
      <c r="ED132" s="808"/>
      <c r="EF132" s="161"/>
      <c r="EH132" s="161"/>
      <c r="EM132" s="161"/>
      <c r="EN132" s="161"/>
      <c r="EO132" s="161"/>
      <c r="EP132" s="161"/>
      <c r="FL132" s="264"/>
      <c r="FM132" s="264"/>
      <c r="FN132" s="264"/>
      <c r="FO132" s="432"/>
      <c r="FP132" s="161"/>
      <c r="FQ132" s="161"/>
      <c r="FR132" s="430"/>
      <c r="FS132" s="641"/>
      <c r="FT132" s="639"/>
      <c r="FU132" s="668"/>
      <c r="FV132" s="667"/>
      <c r="FW132" s="668"/>
      <c r="FX132" s="667"/>
      <c r="FY132" s="749"/>
      <c r="FZ132" s="747"/>
      <c r="GA132" s="782"/>
      <c r="GB132" s="782"/>
      <c r="GC132" s="808"/>
      <c r="GD132" s="782"/>
      <c r="GE132" s="808"/>
    </row>
    <row r="133" spans="1:187">
      <c r="A133" s="161"/>
      <c r="B133" s="268" t="s">
        <v>485</v>
      </c>
      <c r="C133" s="163"/>
      <c r="D133" s="163"/>
      <c r="E133" s="163"/>
      <c r="F133" s="163"/>
      <c r="G133" s="163"/>
      <c r="H133" s="163"/>
      <c r="I133" s="163"/>
      <c r="J133" s="295">
        <v>774</v>
      </c>
      <c r="K133" s="295">
        <v>753</v>
      </c>
      <c r="L133" s="296">
        <v>928</v>
      </c>
      <c r="M133" s="295">
        <v>884</v>
      </c>
      <c r="N133" s="295">
        <v>859</v>
      </c>
      <c r="O133" s="295">
        <v>891</v>
      </c>
      <c r="P133" s="296">
        <v>996</v>
      </c>
      <c r="Q133" s="295">
        <v>919</v>
      </c>
      <c r="R133" s="295">
        <v>915</v>
      </c>
      <c r="S133" s="295">
        <v>947</v>
      </c>
      <c r="T133" s="295">
        <v>1036</v>
      </c>
      <c r="U133" s="295">
        <v>1062</v>
      </c>
      <c r="V133" s="295">
        <v>1064</v>
      </c>
      <c r="W133" s="295">
        <v>1188</v>
      </c>
      <c r="X133" s="295">
        <v>1194</v>
      </c>
      <c r="Y133" s="295">
        <v>1195</v>
      </c>
      <c r="Z133" s="295">
        <v>1203</v>
      </c>
      <c r="AA133" s="295">
        <f>1214+36</f>
        <v>1250</v>
      </c>
      <c r="AB133" s="295">
        <v>1464</v>
      </c>
      <c r="AC133" s="296">
        <v>1386.8920000000001</v>
      </c>
      <c r="AD133" s="296">
        <v>1395.3</v>
      </c>
      <c r="AE133" s="296">
        <v>1597.069</v>
      </c>
      <c r="AF133" s="296">
        <v>1768.4</v>
      </c>
      <c r="AG133" s="296">
        <v>1703.028</v>
      </c>
      <c r="AH133" s="296">
        <f>1576.7+24</f>
        <v>1600.7</v>
      </c>
      <c r="AI133" s="296">
        <v>1842.5309999999999</v>
      </c>
      <c r="AJ133" s="296">
        <v>1871.501</v>
      </c>
      <c r="AK133" s="296">
        <v>1866.684</v>
      </c>
      <c r="AL133" s="296">
        <v>1938.1020000000001</v>
      </c>
      <c r="AM133" s="296">
        <v>2038.943</v>
      </c>
      <c r="AN133" s="296">
        <v>2220.5</v>
      </c>
      <c r="AO133" s="296">
        <f>2286.535-99</f>
        <v>2187.5349999999999</v>
      </c>
      <c r="AP133" s="264"/>
      <c r="AQ133" s="264"/>
      <c r="AR133" s="264"/>
      <c r="AS133" s="264"/>
      <c r="AT133" s="264"/>
      <c r="AU133" s="264"/>
      <c r="AV133" s="264"/>
      <c r="AW133" s="264"/>
      <c r="AX133" s="264"/>
      <c r="AY133" s="264"/>
      <c r="AZ133" s="264"/>
      <c r="BA133" s="264"/>
      <c r="BB133" s="264"/>
      <c r="BC133" s="264"/>
      <c r="BD133" s="264"/>
      <c r="BE133" s="264"/>
      <c r="BF133" s="264"/>
      <c r="BG133" s="264"/>
      <c r="BH133" s="264"/>
      <c r="BI133" s="264"/>
      <c r="BJ133" s="264"/>
      <c r="BK133" s="294"/>
      <c r="BL133" s="294"/>
      <c r="BM133" s="294"/>
      <c r="BN133" s="294"/>
      <c r="BO133" s="294"/>
      <c r="BP133" s="294"/>
      <c r="BQ133" s="294"/>
      <c r="BR133" s="294"/>
      <c r="BS133" s="294"/>
      <c r="BT133" s="294"/>
      <c r="BU133" s="792"/>
      <c r="BV133" s="792"/>
      <c r="BW133" s="792"/>
      <c r="BX133" s="792"/>
      <c r="BY133" s="161"/>
      <c r="BZ133" s="161"/>
      <c r="CA133" s="264">
        <f t="shared" ref="CA133:CV133" si="197">T133/P133-1</f>
        <v>4.016064257028118E-2</v>
      </c>
      <c r="CB133" s="264">
        <f t="shared" si="197"/>
        <v>0.15560391730141454</v>
      </c>
      <c r="CC133" s="264">
        <f t="shared" si="197"/>
        <v>0.16284153005464486</v>
      </c>
      <c r="CD133" s="264">
        <f t="shared" si="197"/>
        <v>0.2544878563885955</v>
      </c>
      <c r="CE133" s="264">
        <f t="shared" si="197"/>
        <v>0.15250965250965254</v>
      </c>
      <c r="CF133" s="264">
        <f t="shared" si="197"/>
        <v>0.12523540489642193</v>
      </c>
      <c r="CG133" s="264">
        <f t="shared" si="197"/>
        <v>0.130639097744361</v>
      </c>
      <c r="CH133" s="264">
        <f t="shared" si="197"/>
        <v>5.2188552188552118E-2</v>
      </c>
      <c r="CI133" s="264">
        <f t="shared" si="197"/>
        <v>0.22613065326633164</v>
      </c>
      <c r="CJ133" s="264">
        <f t="shared" si="197"/>
        <v>0.16057907949790806</v>
      </c>
      <c r="CK133" s="264">
        <f t="shared" si="197"/>
        <v>0.15985037406483782</v>
      </c>
      <c r="CL133" s="264">
        <f t="shared" si="197"/>
        <v>0.27765519999999988</v>
      </c>
      <c r="CM133" s="264">
        <f t="shared" si="197"/>
        <v>0.20792349726775972</v>
      </c>
      <c r="CN133" s="264">
        <f t="shared" si="197"/>
        <v>0.22794565113938203</v>
      </c>
      <c r="CO133" s="264">
        <f t="shared" si="197"/>
        <v>0.1472084856303304</v>
      </c>
      <c r="CP133" s="264">
        <f t="shared" si="197"/>
        <v>0.15369530057874758</v>
      </c>
      <c r="CQ133" s="264">
        <f t="shared" si="197"/>
        <v>5.8301854783985529E-2</v>
      </c>
      <c r="CR133" s="264">
        <f t="shared" si="197"/>
        <v>9.6097069455111761E-2</v>
      </c>
      <c r="CS133" s="264">
        <f t="shared" si="197"/>
        <v>0.21078403198600615</v>
      </c>
      <c r="CT133" s="264">
        <f t="shared" si="197"/>
        <v>0.10659902058635651</v>
      </c>
      <c r="CU133" s="264">
        <f t="shared" si="197"/>
        <v>0.18648079803323636</v>
      </c>
      <c r="CV133" s="264">
        <f t="shared" si="197"/>
        <v>0.17188286823050913</v>
      </c>
      <c r="CW133" s="264"/>
      <c r="CX133" s="264"/>
      <c r="CY133" s="264"/>
      <c r="CZ133" s="264"/>
      <c r="DA133" s="264"/>
      <c r="DB133" s="264"/>
      <c r="DC133" s="264"/>
      <c r="DD133" s="264"/>
      <c r="DE133" s="264"/>
      <c r="DF133" s="264"/>
      <c r="DG133" s="264"/>
      <c r="DH133" s="264"/>
      <c r="DI133" s="161"/>
      <c r="DJ133" s="161"/>
      <c r="DK133" s="177"/>
      <c r="DL133" s="177"/>
      <c r="DM133" s="177"/>
      <c r="DN133" s="177"/>
      <c r="DO133" s="177"/>
      <c r="DP133" s="177"/>
      <c r="DQ133" s="177"/>
      <c r="DR133" s="177"/>
      <c r="DS133" s="177"/>
      <c r="DT133" s="177"/>
      <c r="DU133" s="177"/>
      <c r="DV133" s="177"/>
      <c r="DW133" s="177"/>
      <c r="DX133" s="177"/>
      <c r="DY133" s="177"/>
      <c r="DZ133" s="177"/>
      <c r="EA133" s="177"/>
      <c r="EB133" s="808"/>
      <c r="EC133" s="808"/>
      <c r="ED133" s="808"/>
      <c r="EF133" s="161"/>
      <c r="EH133" s="161"/>
      <c r="EM133" s="161"/>
      <c r="EN133" s="161"/>
      <c r="EO133" s="161"/>
      <c r="EP133" s="161"/>
      <c r="FL133" s="264"/>
      <c r="FM133" s="264"/>
      <c r="FN133" s="264"/>
      <c r="FO133" s="441"/>
      <c r="FP133" s="161"/>
      <c r="FQ133" s="161"/>
      <c r="FR133" s="430"/>
      <c r="FS133" s="653"/>
      <c r="FT133" s="639"/>
      <c r="FU133" s="682"/>
      <c r="FV133" s="667"/>
      <c r="FW133" s="682"/>
      <c r="FX133" s="667"/>
      <c r="FY133" s="760"/>
      <c r="FZ133" s="747"/>
      <c r="GA133" s="792"/>
      <c r="GB133" s="792"/>
      <c r="GC133" s="808"/>
      <c r="GD133" s="792"/>
      <c r="GE133" s="808"/>
    </row>
    <row r="134" spans="1:187">
      <c r="A134" s="161"/>
      <c r="B134" s="267" t="s">
        <v>45</v>
      </c>
      <c r="C134" s="161"/>
      <c r="D134" s="161"/>
      <c r="E134" s="161"/>
      <c r="F134" s="161"/>
      <c r="G134" s="161"/>
      <c r="H134" s="161"/>
      <c r="I134" s="265">
        <f>I133/I72</f>
        <v>0</v>
      </c>
      <c r="J134" s="265">
        <f>J133/J72</f>
        <v>0.40909090909090912</v>
      </c>
      <c r="K134" s="265">
        <f>K133/K72</f>
        <v>0.3839877613462519</v>
      </c>
      <c r="L134" s="265">
        <f t="shared" ref="L134:AO134" si="198">L133/L73</f>
        <v>0.45401174168297453</v>
      </c>
      <c r="M134" s="265">
        <f t="shared" si="198"/>
        <v>0.44001991040318567</v>
      </c>
      <c r="N134" s="265">
        <f t="shared" si="198"/>
        <v>0.42149165848871445</v>
      </c>
      <c r="O134" s="265">
        <f t="shared" si="198"/>
        <v>0.41269106067623901</v>
      </c>
      <c r="P134" s="265">
        <f t="shared" si="198"/>
        <v>0.44266666666666665</v>
      </c>
      <c r="Q134" s="265">
        <f t="shared" si="198"/>
        <v>0.41944317663167502</v>
      </c>
      <c r="R134" s="265">
        <f t="shared" si="198"/>
        <v>0.40540540540540543</v>
      </c>
      <c r="S134" s="265">
        <f t="shared" si="198"/>
        <v>0.41553312856516017</v>
      </c>
      <c r="T134" s="265">
        <f t="shared" si="198"/>
        <v>0.43148688046647232</v>
      </c>
      <c r="U134" s="265">
        <f t="shared" si="198"/>
        <v>0.43453355155482815</v>
      </c>
      <c r="V134" s="265">
        <f t="shared" si="198"/>
        <v>0.42989898989898989</v>
      </c>
      <c r="W134" s="265">
        <f t="shared" si="198"/>
        <v>0.43231441048034935</v>
      </c>
      <c r="X134" s="265">
        <f t="shared" si="198"/>
        <v>0.44287833827893175</v>
      </c>
      <c r="Y134" s="265">
        <f t="shared" si="198"/>
        <v>0.42816194912217842</v>
      </c>
      <c r="Z134" s="265">
        <f t="shared" si="198"/>
        <v>0.41770833333333335</v>
      </c>
      <c r="AA134" s="265">
        <f t="shared" si="198"/>
        <v>0.40212929067931863</v>
      </c>
      <c r="AB134" s="265">
        <f t="shared" si="198"/>
        <v>0.43848089133820534</v>
      </c>
      <c r="AC134" s="265">
        <f t="shared" si="198"/>
        <v>0.3740269687162891</v>
      </c>
      <c r="AD134" s="265">
        <f t="shared" si="198"/>
        <v>0.38942227183924083</v>
      </c>
      <c r="AE134" s="265">
        <f t="shared" si="198"/>
        <v>0.40663724508930987</v>
      </c>
      <c r="AF134" s="265">
        <f t="shared" si="198"/>
        <v>0.43564547661842146</v>
      </c>
      <c r="AG134" s="265">
        <f t="shared" si="198"/>
        <v>0.40330634722234721</v>
      </c>
      <c r="AH134" s="265">
        <f t="shared" si="198"/>
        <v>0.37935774380850812</v>
      </c>
      <c r="AI134" s="265">
        <f t="shared" si="198"/>
        <v>0.41351749682601202</v>
      </c>
      <c r="AJ134" s="265">
        <f t="shared" si="198"/>
        <v>0.43625260725771031</v>
      </c>
      <c r="AK134" s="265">
        <f t="shared" si="198"/>
        <v>0.45199910892431666</v>
      </c>
      <c r="AL134" s="265">
        <f t="shared" si="198"/>
        <v>0.45308671875876677</v>
      </c>
      <c r="AM134" s="265">
        <f t="shared" si="198"/>
        <v>0.45154322922007073</v>
      </c>
      <c r="AN134" s="265">
        <f t="shared" si="198"/>
        <v>0.47294994675186369</v>
      </c>
      <c r="AO134" s="265">
        <f t="shared" si="198"/>
        <v>0.45261127179559962</v>
      </c>
      <c r="AP134" s="265"/>
      <c r="AQ134" s="265"/>
      <c r="AR134" s="265"/>
      <c r="AS134" s="265"/>
      <c r="AT134" s="265"/>
      <c r="AU134" s="265"/>
      <c r="AV134" s="265"/>
      <c r="AW134" s="265"/>
      <c r="AX134" s="265"/>
      <c r="AY134" s="265"/>
      <c r="AZ134" s="265"/>
      <c r="BA134" s="265"/>
      <c r="BB134" s="265"/>
      <c r="BC134" s="265"/>
      <c r="BD134" s="265"/>
      <c r="BE134" s="265"/>
      <c r="BF134" s="265"/>
      <c r="BG134" s="265"/>
      <c r="BH134" s="265"/>
      <c r="BI134" s="265"/>
      <c r="BJ134" s="265"/>
      <c r="BK134" s="265"/>
      <c r="BL134" s="265"/>
      <c r="BM134" s="265"/>
      <c r="BN134" s="265"/>
      <c r="BO134" s="265"/>
      <c r="BP134" s="265"/>
      <c r="BQ134" s="265"/>
      <c r="BR134" s="265"/>
      <c r="BS134" s="265"/>
      <c r="BT134" s="265"/>
      <c r="BU134" s="786"/>
      <c r="BV134" s="786"/>
      <c r="BW134" s="786"/>
      <c r="BX134" s="786"/>
      <c r="BY134" s="161"/>
      <c r="BZ134" s="161"/>
      <c r="CA134" s="161"/>
      <c r="CB134" s="161"/>
      <c r="CC134" s="161"/>
      <c r="CD134" s="161"/>
      <c r="CE134" s="161"/>
      <c r="CF134" s="161"/>
      <c r="CG134" s="161"/>
      <c r="CH134" s="161"/>
      <c r="CI134" s="161"/>
      <c r="CJ134" s="161"/>
      <c r="CK134" s="161"/>
      <c r="CL134" s="161"/>
      <c r="CM134" s="161"/>
      <c r="CN134" s="161"/>
      <c r="CO134" s="161"/>
      <c r="CP134" s="161"/>
      <c r="CQ134" s="161"/>
      <c r="CR134" s="161"/>
      <c r="CS134" s="161"/>
      <c r="CT134" s="161"/>
      <c r="CU134" s="161"/>
      <c r="CV134" s="161"/>
      <c r="CW134" s="161"/>
      <c r="CX134" s="161"/>
      <c r="CY134" s="161"/>
      <c r="CZ134" s="161"/>
      <c r="DA134" s="161"/>
      <c r="DB134" s="161"/>
      <c r="DC134" s="161"/>
      <c r="DD134" s="161"/>
      <c r="DE134" s="161"/>
      <c r="DF134" s="161"/>
      <c r="DG134" s="161"/>
      <c r="DH134" s="161"/>
      <c r="DI134" s="161"/>
      <c r="DJ134" s="161"/>
      <c r="DK134" s="177"/>
      <c r="DL134" s="177"/>
      <c r="DM134" s="177"/>
      <c r="DN134" s="177"/>
      <c r="DO134" s="177"/>
      <c r="DP134" s="177"/>
      <c r="DQ134" s="177"/>
      <c r="DR134" s="177"/>
      <c r="DS134" s="177"/>
      <c r="DT134" s="177"/>
      <c r="DU134" s="177"/>
      <c r="DV134" s="177"/>
      <c r="DW134" s="177"/>
      <c r="DX134" s="177"/>
      <c r="DY134" s="177"/>
      <c r="DZ134" s="177"/>
      <c r="EA134" s="177"/>
      <c r="EB134" s="808"/>
      <c r="EC134" s="808"/>
      <c r="ED134" s="808"/>
      <c r="EF134" s="161"/>
      <c r="EH134" s="161"/>
      <c r="EM134" s="161"/>
      <c r="EN134" s="161"/>
      <c r="EO134" s="161"/>
      <c r="EP134" s="161"/>
      <c r="FL134" s="265"/>
      <c r="FM134" s="265"/>
      <c r="FN134" s="265"/>
      <c r="FO134" s="434"/>
      <c r="FP134" s="161"/>
      <c r="FQ134" s="161"/>
      <c r="FR134" s="430"/>
      <c r="FS134" s="646"/>
      <c r="FT134" s="639"/>
      <c r="FU134" s="673"/>
      <c r="FV134" s="667"/>
      <c r="FW134" s="673"/>
      <c r="FX134" s="667"/>
      <c r="FY134" s="753"/>
      <c r="FZ134" s="747"/>
      <c r="GA134" s="786"/>
      <c r="GB134" s="786"/>
      <c r="GC134" s="808"/>
      <c r="GD134" s="786"/>
      <c r="GE134" s="808"/>
    </row>
    <row r="135" spans="1:187">
      <c r="A135" s="161"/>
      <c r="B135" s="267"/>
      <c r="C135" s="161"/>
      <c r="D135" s="161"/>
      <c r="E135" s="161"/>
      <c r="F135" s="161"/>
      <c r="G135" s="161"/>
      <c r="H135" s="161"/>
      <c r="I135" s="265"/>
      <c r="J135" s="265"/>
      <c r="K135" s="265"/>
      <c r="L135" s="265"/>
      <c r="M135" s="265"/>
      <c r="N135" s="265"/>
      <c r="O135" s="265"/>
      <c r="P135" s="265"/>
      <c r="Q135" s="265"/>
      <c r="R135" s="265"/>
      <c r="S135" s="265"/>
      <c r="T135" s="265"/>
      <c r="U135" s="265"/>
      <c r="V135" s="265"/>
      <c r="W135" s="265"/>
      <c r="X135" s="265"/>
      <c r="Y135" s="265"/>
      <c r="Z135" s="265"/>
      <c r="AA135" s="302"/>
      <c r="AB135" s="264"/>
      <c r="AC135" s="263">
        <v>1397</v>
      </c>
      <c r="AD135" s="263"/>
      <c r="AE135" s="263"/>
      <c r="AF135" s="263"/>
      <c r="AG135" s="263"/>
      <c r="AH135" s="263"/>
      <c r="AI135" s="265"/>
      <c r="AJ135" s="284"/>
      <c r="AK135" s="284"/>
      <c r="AL135" s="284"/>
      <c r="AM135" s="284"/>
      <c r="AN135" s="284"/>
      <c r="AO135" s="265"/>
      <c r="AP135" s="265"/>
      <c r="AQ135" s="265"/>
      <c r="AR135" s="265"/>
      <c r="AS135" s="265"/>
      <c r="AT135" s="265"/>
      <c r="AU135" s="265"/>
      <c r="AV135" s="265"/>
      <c r="AW135" s="265"/>
      <c r="AX135" s="265"/>
      <c r="AY135" s="265"/>
      <c r="AZ135" s="265"/>
      <c r="BA135" s="265"/>
      <c r="BB135" s="265"/>
      <c r="BC135" s="265"/>
      <c r="BD135" s="265"/>
      <c r="BE135" s="265"/>
      <c r="BF135" s="265"/>
      <c r="BG135" s="265"/>
      <c r="BH135" s="265"/>
      <c r="BI135" s="265"/>
      <c r="BJ135" s="265"/>
      <c r="BK135" s="265"/>
      <c r="BL135" s="265"/>
      <c r="BM135" s="265"/>
      <c r="BN135" s="265"/>
      <c r="BO135" s="265"/>
      <c r="BP135" s="265"/>
      <c r="BQ135" s="265"/>
      <c r="BR135" s="265"/>
      <c r="BS135" s="265"/>
      <c r="BT135" s="265"/>
      <c r="BU135" s="786"/>
      <c r="BV135" s="786"/>
      <c r="BW135" s="786"/>
      <c r="BX135" s="786"/>
      <c r="BY135" s="161"/>
      <c r="BZ135" s="161"/>
      <c r="CA135" s="161"/>
      <c r="CB135" s="161"/>
      <c r="CC135" s="161"/>
      <c r="CD135" s="161"/>
      <c r="CE135" s="161"/>
      <c r="CF135" s="161"/>
      <c r="CG135" s="161"/>
      <c r="CH135" s="161"/>
      <c r="CI135" s="161"/>
      <c r="CJ135" s="161"/>
      <c r="CK135" s="161"/>
      <c r="CL135" s="161"/>
      <c r="CM135" s="161"/>
      <c r="CN135" s="161"/>
      <c r="CO135" s="161"/>
      <c r="CP135" s="161"/>
      <c r="CQ135" s="161"/>
      <c r="CR135" s="161"/>
      <c r="CS135" s="161"/>
      <c r="CT135" s="161"/>
      <c r="CU135" s="161"/>
      <c r="CV135" s="161"/>
      <c r="CW135" s="161"/>
      <c r="CX135" s="161"/>
      <c r="CY135" s="161"/>
      <c r="CZ135" s="161"/>
      <c r="DA135" s="161"/>
      <c r="DB135" s="161"/>
      <c r="DC135" s="161"/>
      <c r="DD135" s="161"/>
      <c r="DE135" s="161"/>
      <c r="DF135" s="161"/>
      <c r="DG135" s="161"/>
      <c r="DH135" s="161"/>
      <c r="DI135" s="161"/>
      <c r="DJ135" s="161"/>
      <c r="DK135" s="177"/>
      <c r="DL135" s="177"/>
      <c r="DM135" s="177"/>
      <c r="DN135" s="177"/>
      <c r="DO135" s="177"/>
      <c r="DP135" s="177"/>
      <c r="DQ135" s="177"/>
      <c r="DR135" s="177"/>
      <c r="DS135" s="177"/>
      <c r="DT135" s="177"/>
      <c r="DU135" s="177"/>
      <c r="DV135" s="177"/>
      <c r="DW135" s="177"/>
      <c r="DX135" s="177"/>
      <c r="DY135" s="177"/>
      <c r="DZ135" s="177"/>
      <c r="EA135" s="177"/>
      <c r="EB135" s="808"/>
      <c r="EC135" s="808"/>
      <c r="ED135" s="808"/>
      <c r="EF135" s="161"/>
      <c r="EH135" s="161"/>
      <c r="EM135" s="161"/>
      <c r="EN135" s="161"/>
      <c r="EO135" s="161"/>
      <c r="EP135" s="161"/>
      <c r="FL135" s="265"/>
      <c r="FM135" s="265"/>
      <c r="FN135" s="265"/>
      <c r="FO135" s="434"/>
      <c r="FP135" s="161"/>
      <c r="FQ135" s="161"/>
      <c r="FR135" s="430"/>
      <c r="FS135" s="646"/>
      <c r="FT135" s="639"/>
      <c r="FU135" s="673"/>
      <c r="FV135" s="667"/>
      <c r="FW135" s="673"/>
      <c r="FX135" s="667"/>
      <c r="FY135" s="753"/>
      <c r="FZ135" s="747"/>
      <c r="GA135" s="786"/>
      <c r="GB135" s="786"/>
      <c r="GC135" s="808"/>
      <c r="GD135" s="786"/>
      <c r="GE135" s="808"/>
    </row>
    <row r="136" spans="1:187">
      <c r="A136" s="161"/>
      <c r="B136" s="267" t="s">
        <v>486</v>
      </c>
      <c r="C136" s="161"/>
      <c r="D136" s="161"/>
      <c r="E136" s="161"/>
      <c r="F136" s="161"/>
      <c r="G136" s="161"/>
      <c r="H136" s="161"/>
      <c r="I136" s="265"/>
      <c r="J136" s="265"/>
      <c r="K136" s="265"/>
      <c r="L136" s="265"/>
      <c r="M136" s="265"/>
      <c r="N136" s="265"/>
      <c r="O136" s="265"/>
      <c r="P136" s="263">
        <f>P87-P111</f>
        <v>1118.9471000000003</v>
      </c>
      <c r="Q136" s="263">
        <f>Q87-Q111</f>
        <v>1158.2047000000002</v>
      </c>
      <c r="R136" s="263">
        <f>R87-R111</f>
        <v>1223.6022999999996</v>
      </c>
      <c r="S136" s="263">
        <f>S87-S111</f>
        <v>1234.2875999999997</v>
      </c>
      <c r="T136" s="263">
        <f t="shared" ref="T136:AO136" si="199">T89-T111</f>
        <v>1263.3000000000002</v>
      </c>
      <c r="U136" s="263">
        <f t="shared" si="199"/>
        <v>1275.3000000000002</v>
      </c>
      <c r="V136" s="263">
        <f t="shared" si="199"/>
        <v>1306.1999999999998</v>
      </c>
      <c r="W136" s="263">
        <f t="shared" si="199"/>
        <v>1324.1379999999999</v>
      </c>
      <c r="X136" s="263">
        <f t="shared" si="199"/>
        <v>1284.4000000000001</v>
      </c>
      <c r="Y136" s="263">
        <f t="shared" si="199"/>
        <v>1342.4250000000002</v>
      </c>
      <c r="Z136" s="263">
        <f t="shared" si="199"/>
        <v>1411.8000000000002</v>
      </c>
      <c r="AA136" s="263">
        <f t="shared" si="199"/>
        <v>1491.6570000000002</v>
      </c>
      <c r="AB136" s="263">
        <f t="shared" si="199"/>
        <v>1447.9</v>
      </c>
      <c r="AC136" s="263">
        <f t="shared" si="199"/>
        <v>1549</v>
      </c>
      <c r="AD136" s="263">
        <f t="shared" si="199"/>
        <v>1657.6</v>
      </c>
      <c r="AE136" s="263">
        <f t="shared" si="199"/>
        <v>1765.4020000000003</v>
      </c>
      <c r="AF136" s="263">
        <f t="shared" si="199"/>
        <v>1712.989</v>
      </c>
      <c r="AG136" s="263">
        <f t="shared" si="199"/>
        <v>1873.269</v>
      </c>
      <c r="AH136" s="263">
        <f t="shared" si="199"/>
        <v>1973.0750000000003</v>
      </c>
      <c r="AI136" s="263">
        <f t="shared" si="199"/>
        <v>1825.951</v>
      </c>
      <c r="AJ136" s="263">
        <f t="shared" si="199"/>
        <v>1775.9160000000002</v>
      </c>
      <c r="AK136" s="263">
        <f t="shared" si="199"/>
        <v>1743.4800000000005</v>
      </c>
      <c r="AL136" s="263">
        <f t="shared" si="199"/>
        <v>1753.2349999999997</v>
      </c>
      <c r="AM136" s="263">
        <f t="shared" si="199"/>
        <v>1900.8989999999999</v>
      </c>
      <c r="AN136" s="263">
        <f t="shared" si="199"/>
        <v>1803.8000000000002</v>
      </c>
      <c r="AO136" s="263">
        <f t="shared" si="199"/>
        <v>3937.3020000000001</v>
      </c>
      <c r="AP136" s="263"/>
      <c r="AQ136" s="263"/>
      <c r="AR136" s="263"/>
      <c r="AS136" s="263"/>
      <c r="AT136" s="263"/>
      <c r="AU136" s="263"/>
      <c r="AV136" s="263"/>
      <c r="AW136" s="263"/>
      <c r="AX136" s="263"/>
      <c r="AY136" s="263"/>
      <c r="AZ136" s="263"/>
      <c r="BA136" s="263"/>
      <c r="BB136" s="263"/>
      <c r="BC136" s="263"/>
      <c r="BD136" s="263"/>
      <c r="BE136" s="263"/>
      <c r="BF136" s="263"/>
      <c r="BG136" s="263"/>
      <c r="BH136" s="263"/>
      <c r="BI136" s="263"/>
      <c r="BJ136" s="263"/>
      <c r="BK136" s="263"/>
      <c r="BL136" s="263"/>
      <c r="BM136" s="263"/>
      <c r="BN136" s="263"/>
      <c r="BO136" s="263"/>
      <c r="BP136" s="263"/>
      <c r="BQ136" s="263"/>
      <c r="BR136" s="263"/>
      <c r="BS136" s="263"/>
      <c r="BT136" s="263"/>
      <c r="BU136" s="784"/>
      <c r="BV136" s="784"/>
      <c r="BW136" s="784"/>
      <c r="BX136" s="784"/>
      <c r="BY136" s="161"/>
      <c r="BZ136" s="161"/>
      <c r="CA136" s="264">
        <f t="shared" ref="CA136:CJ138" si="200">T136/P136-1</f>
        <v>0.12900779670459839</v>
      </c>
      <c r="CB136" s="264">
        <f t="shared" si="200"/>
        <v>0.10110069489443441</v>
      </c>
      <c r="CC136" s="264">
        <f t="shared" si="200"/>
        <v>6.7503714237869827E-2</v>
      </c>
      <c r="CD136" s="264">
        <f t="shared" si="200"/>
        <v>7.2795351747842574E-2</v>
      </c>
      <c r="CE136" s="264">
        <f t="shared" si="200"/>
        <v>1.6702287659304815E-2</v>
      </c>
      <c r="CF136" s="264">
        <f t="shared" si="200"/>
        <v>5.2634674194307118E-2</v>
      </c>
      <c r="CG136" s="264">
        <f t="shared" si="200"/>
        <v>8.0845199816261148E-2</v>
      </c>
      <c r="CH136" s="264">
        <f t="shared" si="200"/>
        <v>0.12651173820251382</v>
      </c>
      <c r="CI136" s="264">
        <f t="shared" si="200"/>
        <v>0.12729679227654933</v>
      </c>
      <c r="CJ136" s="264">
        <f t="shared" si="200"/>
        <v>0.15388196733523274</v>
      </c>
      <c r="CK136" s="264">
        <f t="shared" ref="CK136:CT138" si="201">AD136/Z136-1</f>
        <v>0.17410398073381472</v>
      </c>
      <c r="CL136" s="264">
        <f t="shared" si="201"/>
        <v>0.18351739039202708</v>
      </c>
      <c r="CM136" s="264">
        <f t="shared" si="201"/>
        <v>0.18308515781476609</v>
      </c>
      <c r="CN136" s="264">
        <f t="shared" si="201"/>
        <v>0.20934086507424143</v>
      </c>
      <c r="CO136" s="264">
        <f t="shared" si="201"/>
        <v>0.19032034266409292</v>
      </c>
      <c r="CP136" s="264">
        <f t="shared" si="201"/>
        <v>3.4297570751590678E-2</v>
      </c>
      <c r="CQ136" s="264">
        <f t="shared" si="201"/>
        <v>3.6735203787064741E-2</v>
      </c>
      <c r="CR136" s="264">
        <f t="shared" si="201"/>
        <v>-6.9284763693841955E-2</v>
      </c>
      <c r="CS136" s="264">
        <f t="shared" si="201"/>
        <v>-0.111419991637419</v>
      </c>
      <c r="CT136" s="264">
        <f t="shared" si="201"/>
        <v>4.1046008354002961E-2</v>
      </c>
      <c r="CU136" s="264"/>
      <c r="CV136" s="161"/>
      <c r="CW136" s="161"/>
      <c r="CX136" s="161"/>
      <c r="CY136" s="161"/>
      <c r="CZ136" s="161"/>
      <c r="DA136" s="161"/>
      <c r="DB136" s="161"/>
      <c r="DC136" s="161"/>
      <c r="DD136" s="161"/>
      <c r="DE136" s="161"/>
      <c r="DF136" s="161"/>
      <c r="DG136" s="161"/>
      <c r="DH136" s="161"/>
      <c r="DI136" s="161"/>
      <c r="DJ136" s="161"/>
      <c r="DK136" s="177"/>
      <c r="DL136" s="177"/>
      <c r="DM136" s="177"/>
      <c r="DN136" s="177"/>
      <c r="DO136" s="177"/>
      <c r="DP136" s="177"/>
      <c r="DQ136" s="177"/>
      <c r="DR136" s="177"/>
      <c r="DS136" s="177"/>
      <c r="DT136" s="177"/>
      <c r="DU136" s="177"/>
      <c r="DV136" s="177"/>
      <c r="DW136" s="177"/>
      <c r="DX136" s="177"/>
      <c r="DY136" s="177"/>
      <c r="DZ136" s="177"/>
      <c r="EA136" s="177"/>
      <c r="EB136" s="808"/>
      <c r="EC136" s="808"/>
      <c r="ED136" s="808"/>
      <c r="EF136" s="161"/>
      <c r="EH136" s="161"/>
      <c r="EM136" s="161"/>
      <c r="EN136" s="161"/>
      <c r="EO136" s="161"/>
      <c r="EP136" s="161"/>
      <c r="FL136" s="263"/>
      <c r="FM136" s="263"/>
      <c r="FN136" s="263"/>
      <c r="FO136" s="433"/>
      <c r="FP136" s="161"/>
      <c r="FQ136" s="161"/>
      <c r="FR136" s="430"/>
      <c r="FS136" s="643"/>
      <c r="FT136" s="639"/>
      <c r="FU136" s="670"/>
      <c r="FV136" s="667"/>
      <c r="FW136" s="670"/>
      <c r="FX136" s="667"/>
      <c r="FY136" s="751"/>
      <c r="FZ136" s="747"/>
      <c r="GA136" s="784"/>
      <c r="GB136" s="784"/>
      <c r="GC136" s="808"/>
      <c r="GD136" s="784"/>
      <c r="GE136" s="808"/>
    </row>
    <row r="137" spans="1:187">
      <c r="A137" s="161"/>
      <c r="B137" s="861" t="s">
        <v>487</v>
      </c>
      <c r="C137" s="855"/>
      <c r="D137" s="855"/>
      <c r="E137" s="855"/>
      <c r="F137" s="855"/>
      <c r="G137" s="855"/>
      <c r="H137" s="855"/>
      <c r="I137" s="867"/>
      <c r="J137" s="867"/>
      <c r="K137" s="867"/>
      <c r="L137" s="867"/>
      <c r="M137" s="867"/>
      <c r="N137" s="867"/>
      <c r="O137" s="867"/>
      <c r="P137" s="870">
        <f t="shared" ref="P137:AO137" si="202">P138-P136</f>
        <v>135.05289999999968</v>
      </c>
      <c r="Q137" s="870">
        <f t="shared" si="202"/>
        <v>113.79529999999977</v>
      </c>
      <c r="R137" s="870">
        <f t="shared" si="202"/>
        <v>118.39770000000044</v>
      </c>
      <c r="S137" s="870">
        <f t="shared" si="202"/>
        <v>97.712400000000343</v>
      </c>
      <c r="T137" s="870">
        <f t="shared" si="202"/>
        <v>101.69999999999982</v>
      </c>
      <c r="U137" s="870">
        <f t="shared" si="202"/>
        <v>106.69999999999982</v>
      </c>
      <c r="V137" s="870">
        <f t="shared" si="202"/>
        <v>104.80000000000018</v>
      </c>
      <c r="W137" s="870">
        <f t="shared" si="202"/>
        <v>245.5</v>
      </c>
      <c r="X137" s="870">
        <f t="shared" si="202"/>
        <v>217.59999999999991</v>
      </c>
      <c r="Y137" s="870">
        <f t="shared" si="202"/>
        <v>253.57499999999982</v>
      </c>
      <c r="Z137" s="870">
        <f t="shared" si="202"/>
        <v>265.19999999999982</v>
      </c>
      <c r="AA137" s="870">
        <f t="shared" si="202"/>
        <v>366.79599999999982</v>
      </c>
      <c r="AB137" s="870">
        <f t="shared" si="202"/>
        <v>426.90000000000009</v>
      </c>
      <c r="AC137" s="870">
        <f t="shared" si="202"/>
        <v>772.10800000000017</v>
      </c>
      <c r="AD137" s="870">
        <f t="shared" si="202"/>
        <v>530.09999999999991</v>
      </c>
      <c r="AE137" s="870">
        <f t="shared" si="202"/>
        <v>565.03199999999993</v>
      </c>
      <c r="AF137" s="870">
        <f t="shared" si="202"/>
        <v>577.875</v>
      </c>
      <c r="AG137" s="870">
        <f t="shared" si="202"/>
        <v>646.36899999999991</v>
      </c>
      <c r="AH137" s="870">
        <f t="shared" si="202"/>
        <v>645.72499999999991</v>
      </c>
      <c r="AI137" s="870">
        <f t="shared" si="202"/>
        <v>787.26900000000023</v>
      </c>
      <c r="AJ137" s="870">
        <f t="shared" si="202"/>
        <v>642.53099999999995</v>
      </c>
      <c r="AK137" s="870">
        <f t="shared" si="202"/>
        <v>519.67599999999948</v>
      </c>
      <c r="AL137" s="870">
        <f t="shared" si="202"/>
        <v>586.21500000000015</v>
      </c>
      <c r="AM137" s="870">
        <f t="shared" si="202"/>
        <v>575.6569999999997</v>
      </c>
      <c r="AN137" s="870">
        <f t="shared" si="202"/>
        <v>670.69999999999982</v>
      </c>
      <c r="AO137" s="870">
        <f t="shared" si="202"/>
        <v>-1291.694</v>
      </c>
      <c r="AP137" s="870"/>
      <c r="AQ137" s="870"/>
      <c r="AR137" s="870"/>
      <c r="AS137" s="870"/>
      <c r="AT137" s="870"/>
      <c r="AU137" s="870"/>
      <c r="AV137" s="870"/>
      <c r="AW137" s="870"/>
      <c r="AX137" s="870"/>
      <c r="AY137" s="870"/>
      <c r="AZ137" s="870"/>
      <c r="BA137" s="870"/>
      <c r="BB137" s="870"/>
      <c r="BC137" s="870"/>
      <c r="BD137" s="870"/>
      <c r="BE137" s="870"/>
      <c r="BF137" s="870"/>
      <c r="BG137" s="870"/>
      <c r="BH137" s="870"/>
      <c r="BI137" s="870"/>
      <c r="BJ137" s="870"/>
      <c r="BK137" s="870"/>
      <c r="BL137" s="870"/>
      <c r="BM137" s="870"/>
      <c r="BN137" s="870"/>
      <c r="BO137" s="870"/>
      <c r="BP137" s="870"/>
      <c r="BQ137" s="870"/>
      <c r="BR137" s="870"/>
      <c r="BS137" s="870"/>
      <c r="BT137" s="870"/>
      <c r="BU137" s="784"/>
      <c r="BV137" s="784"/>
      <c r="BW137" s="784"/>
      <c r="BX137" s="784"/>
      <c r="BY137" s="161"/>
      <c r="BZ137" s="161"/>
      <c r="CA137" s="875">
        <f t="shared" si="200"/>
        <v>-0.24696174610097188</v>
      </c>
      <c r="CB137" s="875">
        <f t="shared" si="200"/>
        <v>-6.2351432792039474E-2</v>
      </c>
      <c r="CC137" s="875">
        <f t="shared" si="200"/>
        <v>-0.11484767018278408</v>
      </c>
      <c r="CD137" s="875">
        <f t="shared" si="200"/>
        <v>1.5124753869519032</v>
      </c>
      <c r="CE137" s="875">
        <f t="shared" si="200"/>
        <v>1.1396263520157355</v>
      </c>
      <c r="CF137" s="875">
        <f t="shared" si="200"/>
        <v>1.3765229615745103</v>
      </c>
      <c r="CG137" s="875">
        <f t="shared" si="200"/>
        <v>1.530534351145032</v>
      </c>
      <c r="CH137" s="875">
        <f t="shared" si="200"/>
        <v>0.4940773930753557</v>
      </c>
      <c r="CI137" s="875">
        <f t="shared" si="200"/>
        <v>0.96185661764705999</v>
      </c>
      <c r="CJ137" s="875">
        <f t="shared" si="200"/>
        <v>2.0448900719708201</v>
      </c>
      <c r="CK137" s="875">
        <f t="shared" si="201"/>
        <v>0.9988687782805441</v>
      </c>
      <c r="CL137" s="875">
        <f t="shared" si="201"/>
        <v>0.54045300384955186</v>
      </c>
      <c r="CM137" s="875">
        <f t="shared" si="201"/>
        <v>0.35365425158116626</v>
      </c>
      <c r="CN137" s="875">
        <f t="shared" si="201"/>
        <v>-0.16285156998761863</v>
      </c>
      <c r="CO137" s="875">
        <f t="shared" si="201"/>
        <v>0.21811922278815321</v>
      </c>
      <c r="CP137" s="875">
        <f t="shared" si="201"/>
        <v>0.39331754661682927</v>
      </c>
      <c r="CQ137" s="875">
        <f t="shared" si="201"/>
        <v>0.11188578844905894</v>
      </c>
      <c r="CR137" s="875">
        <f t="shared" si="201"/>
        <v>-0.19600723425783173</v>
      </c>
      <c r="CS137" s="875">
        <f t="shared" si="201"/>
        <v>-9.2159975221649759E-2</v>
      </c>
      <c r="CT137" s="875">
        <f t="shared" si="201"/>
        <v>-0.26879249659265192</v>
      </c>
      <c r="CU137" s="264"/>
      <c r="CV137" s="161"/>
      <c r="CW137" s="161"/>
      <c r="CX137" s="161"/>
      <c r="CY137" s="161"/>
      <c r="CZ137" s="161"/>
      <c r="DA137" s="161"/>
      <c r="DB137" s="161"/>
      <c r="DC137" s="161"/>
      <c r="DD137" s="161"/>
      <c r="DE137" s="161"/>
      <c r="DF137" s="161"/>
      <c r="DG137" s="161"/>
      <c r="DH137" s="161"/>
      <c r="DI137" s="161"/>
      <c r="DJ137" s="161"/>
      <c r="DK137" s="177"/>
      <c r="DL137" s="177"/>
      <c r="DM137" s="177"/>
      <c r="DN137" s="177"/>
      <c r="DO137" s="177"/>
      <c r="DP137" s="177"/>
      <c r="DQ137" s="177"/>
      <c r="DR137" s="177"/>
      <c r="DS137" s="177"/>
      <c r="DT137" s="177"/>
      <c r="DU137" s="177"/>
      <c r="DV137" s="177"/>
      <c r="DW137" s="177"/>
      <c r="DX137" s="177"/>
      <c r="DY137" s="177"/>
      <c r="DZ137" s="177"/>
      <c r="EA137" s="177"/>
      <c r="EB137" s="808"/>
      <c r="EC137" s="808"/>
      <c r="ED137" s="808"/>
      <c r="EF137" s="161"/>
      <c r="EH137" s="161"/>
      <c r="EM137" s="161"/>
      <c r="EN137" s="161"/>
      <c r="EO137" s="161"/>
      <c r="EP137" s="161"/>
      <c r="FL137" s="870"/>
      <c r="FM137" s="870"/>
      <c r="FN137" s="870"/>
      <c r="FO137" s="873"/>
      <c r="FP137" s="161"/>
      <c r="FQ137" s="161"/>
      <c r="FR137" s="430"/>
      <c r="FS137" s="874"/>
      <c r="FT137" s="639"/>
      <c r="FU137" s="678"/>
      <c r="FV137" s="667"/>
      <c r="FW137" s="670"/>
      <c r="FX137" s="667"/>
      <c r="FY137" s="751"/>
      <c r="FZ137" s="747"/>
      <c r="GA137" s="784"/>
      <c r="GB137" s="784"/>
      <c r="GC137" s="808"/>
      <c r="GD137" s="784"/>
      <c r="GE137" s="808"/>
    </row>
    <row r="138" spans="1:187">
      <c r="A138" s="161"/>
      <c r="B138" s="267" t="s">
        <v>488</v>
      </c>
      <c r="C138" s="161"/>
      <c r="D138" s="161"/>
      <c r="E138" s="161"/>
      <c r="F138" s="161"/>
      <c r="G138" s="161"/>
      <c r="H138" s="161"/>
      <c r="I138" s="265"/>
      <c r="J138" s="265"/>
      <c r="K138" s="265"/>
      <c r="L138" s="265"/>
      <c r="M138" s="265"/>
      <c r="N138" s="265"/>
      <c r="O138" s="265"/>
      <c r="P138" s="263">
        <f t="shared" ref="P138:AO138" si="203">P72-P133</f>
        <v>1254</v>
      </c>
      <c r="Q138" s="263">
        <f t="shared" si="203"/>
        <v>1272</v>
      </c>
      <c r="R138" s="263">
        <f t="shared" si="203"/>
        <v>1342</v>
      </c>
      <c r="S138" s="263">
        <f t="shared" si="203"/>
        <v>1332</v>
      </c>
      <c r="T138" s="263">
        <f t="shared" si="203"/>
        <v>1365</v>
      </c>
      <c r="U138" s="263">
        <f t="shared" si="203"/>
        <v>1382</v>
      </c>
      <c r="V138" s="263">
        <f t="shared" si="203"/>
        <v>1411</v>
      </c>
      <c r="W138" s="263">
        <f t="shared" si="203"/>
        <v>1569.6379999999999</v>
      </c>
      <c r="X138" s="263">
        <f t="shared" si="203"/>
        <v>1502</v>
      </c>
      <c r="Y138" s="263">
        <f t="shared" si="203"/>
        <v>1596</v>
      </c>
      <c r="Z138" s="263">
        <f t="shared" si="203"/>
        <v>1677</v>
      </c>
      <c r="AA138" s="263">
        <f t="shared" si="203"/>
        <v>1858.453</v>
      </c>
      <c r="AB138" s="263">
        <f t="shared" si="203"/>
        <v>1874.8000000000002</v>
      </c>
      <c r="AC138" s="263">
        <f t="shared" si="203"/>
        <v>2321.1080000000002</v>
      </c>
      <c r="AD138" s="263">
        <f t="shared" si="203"/>
        <v>2187.6999999999998</v>
      </c>
      <c r="AE138" s="263">
        <f t="shared" si="203"/>
        <v>2330.4340000000002</v>
      </c>
      <c r="AF138" s="263">
        <f t="shared" si="203"/>
        <v>2290.864</v>
      </c>
      <c r="AG138" s="263">
        <f t="shared" si="203"/>
        <v>2519.6379999999999</v>
      </c>
      <c r="AH138" s="263">
        <f t="shared" si="203"/>
        <v>2618.8000000000002</v>
      </c>
      <c r="AI138" s="263">
        <f t="shared" si="203"/>
        <v>2613.2200000000003</v>
      </c>
      <c r="AJ138" s="263">
        <f t="shared" si="203"/>
        <v>2418.4470000000001</v>
      </c>
      <c r="AK138" s="263">
        <f t="shared" si="203"/>
        <v>2263.1559999999999</v>
      </c>
      <c r="AL138" s="263">
        <f t="shared" si="203"/>
        <v>2339.4499999999998</v>
      </c>
      <c r="AM138" s="263">
        <f t="shared" si="203"/>
        <v>2476.5559999999996</v>
      </c>
      <c r="AN138" s="263">
        <f t="shared" si="203"/>
        <v>2474.5</v>
      </c>
      <c r="AO138" s="263">
        <f t="shared" si="203"/>
        <v>2645.6080000000002</v>
      </c>
      <c r="AP138" s="263"/>
      <c r="AQ138" s="263"/>
      <c r="AR138" s="263"/>
      <c r="AS138" s="263"/>
      <c r="AT138" s="263"/>
      <c r="AU138" s="263"/>
      <c r="AV138" s="263"/>
      <c r="AW138" s="263"/>
      <c r="AX138" s="263"/>
      <c r="AY138" s="263"/>
      <c r="AZ138" s="263"/>
      <c r="BA138" s="263"/>
      <c r="BB138" s="263"/>
      <c r="BC138" s="263"/>
      <c r="BD138" s="263"/>
      <c r="BE138" s="263"/>
      <c r="BF138" s="263"/>
      <c r="BG138" s="263"/>
      <c r="BH138" s="263"/>
      <c r="BI138" s="263"/>
      <c r="BJ138" s="263"/>
      <c r="BK138" s="263"/>
      <c r="BL138" s="263"/>
      <c r="BM138" s="263"/>
      <c r="BN138" s="263"/>
      <c r="BO138" s="263"/>
      <c r="BP138" s="263"/>
      <c r="BQ138" s="263"/>
      <c r="BR138" s="263"/>
      <c r="BS138" s="263"/>
      <c r="BT138" s="263"/>
      <c r="BU138" s="784"/>
      <c r="BV138" s="784"/>
      <c r="BW138" s="784"/>
      <c r="BX138" s="784"/>
      <c r="BY138" s="161"/>
      <c r="BZ138" s="161"/>
      <c r="CA138" s="264">
        <f t="shared" si="200"/>
        <v>8.8516746411483327E-2</v>
      </c>
      <c r="CB138" s="264">
        <f t="shared" si="200"/>
        <v>8.6477987421383684E-2</v>
      </c>
      <c r="CC138" s="264">
        <f t="shared" si="200"/>
        <v>5.1415797317436729E-2</v>
      </c>
      <c r="CD138" s="264">
        <f t="shared" si="200"/>
        <v>0.17840690690690675</v>
      </c>
      <c r="CE138" s="264">
        <f t="shared" si="200"/>
        <v>0.10036630036630045</v>
      </c>
      <c r="CF138" s="264">
        <f t="shared" si="200"/>
        <v>0.15484804630969617</v>
      </c>
      <c r="CG138" s="264">
        <f t="shared" si="200"/>
        <v>0.18851878100637842</v>
      </c>
      <c r="CH138" s="264">
        <f t="shared" si="200"/>
        <v>0.18400102444003008</v>
      </c>
      <c r="CI138" s="264">
        <f t="shared" si="200"/>
        <v>0.24820239680426104</v>
      </c>
      <c r="CJ138" s="264">
        <f t="shared" si="200"/>
        <v>0.45432832080200503</v>
      </c>
      <c r="CK138" s="264">
        <f t="shared" si="201"/>
        <v>0.30453190220632065</v>
      </c>
      <c r="CL138" s="264">
        <f t="shared" si="201"/>
        <v>0.25396445323072481</v>
      </c>
      <c r="CM138" s="264">
        <f t="shared" si="201"/>
        <v>0.22192447194367393</v>
      </c>
      <c r="CN138" s="264">
        <f t="shared" si="201"/>
        <v>8.5532426754808322E-2</v>
      </c>
      <c r="CO138" s="264">
        <f t="shared" si="201"/>
        <v>0.1970562691411073</v>
      </c>
      <c r="CP138" s="264">
        <f t="shared" si="201"/>
        <v>0.12134477955608269</v>
      </c>
      <c r="CQ138" s="264">
        <f t="shared" si="201"/>
        <v>5.5692088225228531E-2</v>
      </c>
      <c r="CR138" s="264">
        <f t="shared" si="201"/>
        <v>-0.10179319410169241</v>
      </c>
      <c r="CS138" s="264">
        <f t="shared" si="201"/>
        <v>-0.10667099434855676</v>
      </c>
      <c r="CT138" s="264">
        <f t="shared" si="201"/>
        <v>-5.2297165948523516E-2</v>
      </c>
      <c r="CU138" s="264"/>
      <c r="CV138" s="161"/>
      <c r="CW138" s="161"/>
      <c r="CX138" s="161"/>
      <c r="CY138" s="161"/>
      <c r="CZ138" s="161"/>
      <c r="DA138" s="161"/>
      <c r="DB138" s="161"/>
      <c r="DC138" s="161"/>
      <c r="DD138" s="161"/>
      <c r="DE138" s="161"/>
      <c r="DF138" s="161"/>
      <c r="DG138" s="161"/>
      <c r="DH138" s="161"/>
      <c r="DI138" s="161"/>
      <c r="DJ138" s="161"/>
      <c r="DK138" s="177"/>
      <c r="DL138" s="177"/>
      <c r="DM138" s="177"/>
      <c r="DN138" s="177"/>
      <c r="DO138" s="177"/>
      <c r="DP138" s="177"/>
      <c r="DQ138" s="177"/>
      <c r="DR138" s="177"/>
      <c r="DS138" s="177"/>
      <c r="DT138" s="177"/>
      <c r="DU138" s="177"/>
      <c r="DV138" s="177"/>
      <c r="DW138" s="177"/>
      <c r="DX138" s="177"/>
      <c r="DY138" s="177"/>
      <c r="DZ138" s="177"/>
      <c r="EA138" s="177"/>
      <c r="EB138" s="808"/>
      <c r="EC138" s="808"/>
      <c r="ED138" s="808"/>
      <c r="EF138" s="161"/>
      <c r="EH138" s="161"/>
      <c r="EM138" s="161"/>
      <c r="EN138" s="161"/>
      <c r="EO138" s="161"/>
      <c r="EP138" s="161"/>
      <c r="FL138" s="263"/>
      <c r="FM138" s="263"/>
      <c r="FN138" s="263"/>
      <c r="FO138" s="433"/>
      <c r="FP138" s="161"/>
      <c r="FQ138" s="161"/>
      <c r="FR138" s="430"/>
      <c r="FS138" s="643"/>
      <c r="FT138" s="639"/>
      <c r="FU138" s="670"/>
      <c r="FV138" s="667"/>
      <c r="FW138" s="670"/>
      <c r="FX138" s="667"/>
      <c r="FY138" s="751"/>
      <c r="FZ138" s="747"/>
      <c r="GA138" s="784"/>
      <c r="GB138" s="784"/>
      <c r="GC138" s="808"/>
      <c r="GD138" s="784"/>
      <c r="GE138" s="808"/>
    </row>
    <row r="139" spans="1:187">
      <c r="A139" s="161"/>
      <c r="B139" s="267"/>
      <c r="C139" s="161"/>
      <c r="D139" s="161"/>
      <c r="E139" s="161"/>
      <c r="F139" s="161"/>
      <c r="G139" s="161"/>
      <c r="H139" s="161"/>
      <c r="I139" s="265"/>
      <c r="J139" s="265"/>
      <c r="K139" s="265"/>
      <c r="L139" s="265"/>
      <c r="M139" s="265"/>
      <c r="N139" s="265"/>
      <c r="O139" s="265"/>
      <c r="P139" s="265"/>
      <c r="Q139" s="265"/>
      <c r="R139" s="265"/>
      <c r="S139" s="265"/>
      <c r="T139" s="265"/>
      <c r="U139" s="265"/>
      <c r="V139" s="265"/>
      <c r="W139" s="265"/>
      <c r="X139" s="265"/>
      <c r="Y139" s="265"/>
      <c r="Z139" s="265"/>
      <c r="AA139" s="265"/>
      <c r="AB139" s="265"/>
      <c r="AC139" s="265"/>
      <c r="AD139" s="265"/>
      <c r="AE139" s="265"/>
      <c r="AF139" s="265"/>
      <c r="AG139" s="265"/>
      <c r="AH139" s="265"/>
      <c r="AI139" s="265"/>
      <c r="AJ139" s="265"/>
      <c r="AK139" s="265"/>
      <c r="AL139" s="265"/>
      <c r="AM139" s="265"/>
      <c r="AN139" s="265"/>
      <c r="AO139" s="265"/>
      <c r="AP139" s="265"/>
      <c r="AQ139" s="265"/>
      <c r="AR139" s="265"/>
      <c r="AS139" s="265"/>
      <c r="AT139" s="265"/>
      <c r="AU139" s="265"/>
      <c r="AV139" s="265"/>
      <c r="AW139" s="265"/>
      <c r="AX139" s="265"/>
      <c r="AY139" s="265"/>
      <c r="AZ139" s="265"/>
      <c r="BA139" s="265"/>
      <c r="BB139" s="265"/>
      <c r="BC139" s="265"/>
      <c r="BD139" s="265"/>
      <c r="BE139" s="265"/>
      <c r="BF139" s="265"/>
      <c r="BG139" s="265"/>
      <c r="BH139" s="265"/>
      <c r="BI139" s="265"/>
      <c r="BJ139" s="265"/>
      <c r="BK139" s="265"/>
      <c r="BL139" s="265"/>
      <c r="BM139" s="265"/>
      <c r="BN139" s="265"/>
      <c r="BO139" s="265"/>
      <c r="BP139" s="265"/>
      <c r="BQ139" s="265"/>
      <c r="BR139" s="265"/>
      <c r="BS139" s="265"/>
      <c r="BT139" s="265"/>
      <c r="BU139" s="786"/>
      <c r="BV139" s="786"/>
      <c r="BW139" s="786"/>
      <c r="BX139" s="786"/>
      <c r="BY139" s="161"/>
      <c r="BZ139" s="161"/>
      <c r="CA139" s="161"/>
      <c r="CB139" s="161"/>
      <c r="CC139" s="161"/>
      <c r="CD139" s="161"/>
      <c r="CE139" s="161"/>
      <c r="CF139" s="161"/>
      <c r="CG139" s="161"/>
      <c r="CH139" s="161"/>
      <c r="CI139" s="161"/>
      <c r="CJ139" s="161"/>
      <c r="CK139" s="161"/>
      <c r="CL139" s="161"/>
      <c r="CM139" s="161"/>
      <c r="CN139" s="161"/>
      <c r="CO139" s="161"/>
      <c r="CP139" s="161"/>
      <c r="CQ139" s="161"/>
      <c r="CR139" s="161"/>
      <c r="CS139" s="161"/>
      <c r="CT139" s="161"/>
      <c r="CU139" s="161"/>
      <c r="CV139" s="161"/>
      <c r="CW139" s="161"/>
      <c r="CX139" s="161"/>
      <c r="CY139" s="161"/>
      <c r="CZ139" s="161"/>
      <c r="DA139" s="161"/>
      <c r="DB139" s="161"/>
      <c r="DC139" s="161"/>
      <c r="DD139" s="161"/>
      <c r="DE139" s="161"/>
      <c r="DF139" s="161"/>
      <c r="DG139" s="161"/>
      <c r="DH139" s="161"/>
      <c r="DI139" s="161"/>
      <c r="DJ139" s="161"/>
      <c r="DK139" s="177"/>
      <c r="DL139" s="177"/>
      <c r="DM139" s="177"/>
      <c r="DN139" s="177"/>
      <c r="DO139" s="177"/>
      <c r="DP139" s="177"/>
      <c r="DQ139" s="177"/>
      <c r="DR139" s="177"/>
      <c r="DS139" s="177"/>
      <c r="DT139" s="177"/>
      <c r="DU139" s="177"/>
      <c r="DV139" s="177"/>
      <c r="DW139" s="177"/>
      <c r="DX139" s="177"/>
      <c r="DY139" s="177"/>
      <c r="DZ139" s="177"/>
      <c r="EA139" s="177"/>
      <c r="EB139" s="808"/>
      <c r="EC139" s="808"/>
      <c r="ED139" s="808"/>
      <c r="EF139" s="161"/>
      <c r="EH139" s="161"/>
      <c r="EM139" s="161"/>
      <c r="EN139" s="161"/>
      <c r="EO139" s="161"/>
      <c r="EP139" s="161"/>
      <c r="FL139" s="265"/>
      <c r="FM139" s="265"/>
      <c r="FN139" s="265"/>
      <c r="FO139" s="434"/>
      <c r="FP139" s="161"/>
      <c r="FQ139" s="161"/>
      <c r="FR139" s="430"/>
      <c r="FS139" s="646"/>
      <c r="FT139" s="639"/>
      <c r="FU139" s="673"/>
      <c r="FV139" s="667"/>
      <c r="FW139" s="673"/>
      <c r="FX139" s="667"/>
      <c r="FY139" s="753"/>
      <c r="FZ139" s="747"/>
      <c r="GA139" s="786"/>
      <c r="GB139" s="786"/>
      <c r="GC139" s="808"/>
      <c r="GD139" s="786"/>
      <c r="GE139" s="808"/>
    </row>
    <row r="140" spans="1:187">
      <c r="A140" s="161"/>
      <c r="B140" s="268" t="s">
        <v>489</v>
      </c>
      <c r="C140" s="163"/>
      <c r="D140" s="163"/>
      <c r="E140" s="163"/>
      <c r="F140" s="163"/>
      <c r="G140" s="163"/>
      <c r="H140" s="163"/>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308">
        <v>2042.096</v>
      </c>
      <c r="AK140" s="308">
        <v>2031.662</v>
      </c>
      <c r="AL140" s="308">
        <v>2086.2820000000002</v>
      </c>
      <c r="AM140" s="308">
        <v>2146.7750000000001</v>
      </c>
      <c r="AN140" s="813">
        <f>4847.503-99-AO140</f>
        <v>2373.5349999999999</v>
      </c>
      <c r="AO140" s="813">
        <f>2473.968-99</f>
        <v>2374.9679999999998</v>
      </c>
      <c r="AP140" s="813">
        <v>2317.739</v>
      </c>
      <c r="AQ140" s="813">
        <v>2280.6999999999998</v>
      </c>
      <c r="AR140" s="813">
        <v>2550.413</v>
      </c>
      <c r="AS140" s="813">
        <f>2691.438-79</f>
        <v>2612.4380000000001</v>
      </c>
      <c r="AT140" s="813">
        <v>2482.6999999999998</v>
      </c>
      <c r="AU140" s="813">
        <v>2515.17</v>
      </c>
      <c r="AV140" s="813">
        <v>2766.6370000000002</v>
      </c>
      <c r="AW140" s="813">
        <v>2720.0540000000001</v>
      </c>
      <c r="AX140" s="813">
        <v>2783.3220000000001</v>
      </c>
      <c r="AY140" s="813">
        <v>2767.2570000000001</v>
      </c>
      <c r="AZ140" s="813">
        <v>3002.9789999999998</v>
      </c>
      <c r="BA140" s="813">
        <v>3011</v>
      </c>
      <c r="BB140" s="813">
        <v>3015.6239999999998</v>
      </c>
      <c r="BC140" s="813">
        <v>3087.174</v>
      </c>
      <c r="BD140" s="813">
        <v>3228.4879999999998</v>
      </c>
      <c r="BE140" s="813">
        <v>3257.6019999999999</v>
      </c>
      <c r="BF140" s="813">
        <v>3168.0259999999998</v>
      </c>
      <c r="BG140" s="813">
        <v>3114.9029999999998</v>
      </c>
      <c r="BH140" s="813">
        <v>3268.6950000000002</v>
      </c>
      <c r="BI140" s="813">
        <v>3287.3739999999998</v>
      </c>
      <c r="BJ140" s="813">
        <v>3306.2489999999998</v>
      </c>
      <c r="BK140" s="813">
        <v>3457.6759999999999</v>
      </c>
      <c r="BL140" s="813">
        <v>3680.6039999999998</v>
      </c>
      <c r="BM140" s="813">
        <v>3605.53</v>
      </c>
      <c r="BN140" s="813">
        <v>3578.777</v>
      </c>
      <c r="BO140" s="813">
        <v>3764.9409999999998</v>
      </c>
      <c r="BP140" s="813">
        <v>3983.6610000000001</v>
      </c>
      <c r="BQ140" s="813">
        <v>3953.5949999999998</v>
      </c>
      <c r="BR140" s="813">
        <v>3945.53</v>
      </c>
      <c r="BS140" s="813">
        <v>4053.248</v>
      </c>
      <c r="BT140" s="813">
        <v>4322.3559999999998</v>
      </c>
      <c r="BU140" s="1037">
        <f>45%*BU72</f>
        <v>4267.1140695000004</v>
      </c>
      <c r="BV140" s="1037">
        <f>44%*BV72</f>
        <v>4278.5202328000005</v>
      </c>
      <c r="BW140" s="1037">
        <f>BX140-BT140-BU140-BV140</f>
        <v>4449.9588637000061</v>
      </c>
      <c r="BX140" s="1037">
        <f>Master!Z18</f>
        <v>17317.949166000006</v>
      </c>
      <c r="BY140" s="1046"/>
      <c r="BZ140" s="163"/>
      <c r="CA140" s="163"/>
      <c r="CB140" s="163"/>
      <c r="CC140" s="163"/>
      <c r="CD140" s="163"/>
      <c r="CE140" s="163"/>
      <c r="CF140" s="163"/>
      <c r="CG140" s="163"/>
      <c r="CH140" s="163"/>
      <c r="CI140" s="163"/>
      <c r="CJ140" s="163"/>
      <c r="CK140" s="163"/>
      <c r="CL140" s="163"/>
      <c r="CM140" s="163"/>
      <c r="CN140" s="163"/>
      <c r="CO140" s="163"/>
      <c r="CP140" s="163"/>
      <c r="CQ140" s="163"/>
      <c r="CR140" s="163"/>
      <c r="CS140" s="163"/>
      <c r="CT140" s="285"/>
      <c r="CU140" s="285">
        <f t="shared" ref="CU140:EB140" si="204">AN140/AJ140-1</f>
        <v>0.16230333931411645</v>
      </c>
      <c r="CV140" s="285">
        <f t="shared" si="204"/>
        <v>0.16897791069577517</v>
      </c>
      <c r="CW140" s="285">
        <f t="shared" si="204"/>
        <v>0.11094233665439268</v>
      </c>
      <c r="CX140" s="285">
        <f t="shared" si="204"/>
        <v>6.2384274085546698E-2</v>
      </c>
      <c r="CY140" s="285">
        <f t="shared" si="204"/>
        <v>7.4520915006519806E-2</v>
      </c>
      <c r="CZ140" s="285">
        <f t="shared" si="204"/>
        <v>9.9988715637431946E-2</v>
      </c>
      <c r="DA140" s="285">
        <f t="shared" si="204"/>
        <v>7.1173242543703052E-2</v>
      </c>
      <c r="DB140" s="285">
        <f t="shared" si="204"/>
        <v>0.10280615600473553</v>
      </c>
      <c r="DC140" s="285">
        <f t="shared" si="204"/>
        <v>8.4779994455799867E-2</v>
      </c>
      <c r="DD140" s="285">
        <f t="shared" si="204"/>
        <v>4.1193704884096682E-2</v>
      </c>
      <c r="DE140" s="285">
        <f t="shared" si="204"/>
        <v>0.12108672010311361</v>
      </c>
      <c r="DF140" s="285">
        <f t="shared" si="204"/>
        <v>0.10022662484046796</v>
      </c>
      <c r="DG140" s="285">
        <f t="shared" si="204"/>
        <v>8.5425735288004789E-2</v>
      </c>
      <c r="DH140" s="285">
        <f t="shared" si="204"/>
        <v>0.10696331764001732</v>
      </c>
      <c r="DI140" s="284">
        <f t="shared" si="204"/>
        <v>8.3462136253009689E-2</v>
      </c>
      <c r="DJ140" s="284">
        <f t="shared" si="204"/>
        <v>0.11560798292316177</v>
      </c>
      <c r="DK140" s="804">
        <f t="shared" si="204"/>
        <v>7.5095097235112318E-2</v>
      </c>
      <c r="DL140" s="804">
        <f t="shared" si="204"/>
        <v>8.190036532713374E-2</v>
      </c>
      <c r="DM140" s="804">
        <f t="shared" si="204"/>
        <v>5.0537467535740621E-2</v>
      </c>
      <c r="DN140" s="804">
        <f t="shared" si="204"/>
        <v>8.982001014520069E-3</v>
      </c>
      <c r="DO140" s="804">
        <f t="shared" si="204"/>
        <v>1.2453817390679633E-2</v>
      </c>
      <c r="DP140" s="804">
        <f t="shared" si="204"/>
        <v>9.1392380039059251E-3</v>
      </c>
      <c r="DQ140" s="804">
        <f t="shared" si="204"/>
        <v>4.3630639395005E-2</v>
      </c>
      <c r="DR140" s="804">
        <f t="shared" si="204"/>
        <v>0.11004291305379343</v>
      </c>
      <c r="DS140" s="804">
        <f t="shared" si="204"/>
        <v>0.12601634597293399</v>
      </c>
      <c r="DT140" s="804">
        <f t="shared" si="204"/>
        <v>9.6781199826974529E-2</v>
      </c>
      <c r="DU140" s="804">
        <f t="shared" si="204"/>
        <v>8.2428153475434085E-2</v>
      </c>
      <c r="DV140" s="804">
        <f t="shared" si="204"/>
        <v>8.8864601541613464E-2</v>
      </c>
      <c r="DW140" s="804">
        <f t="shared" si="204"/>
        <v>8.2338931327575748E-2</v>
      </c>
      <c r="DX140" s="804">
        <f t="shared" si="204"/>
        <v>9.6536431537110889E-2</v>
      </c>
      <c r="DY140" s="804">
        <f t="shared" si="204"/>
        <v>0.10247998128969771</v>
      </c>
      <c r="DZ140" s="988">
        <v>0.153</v>
      </c>
      <c r="EA140" s="804">
        <f t="shared" si="204"/>
        <v>8.502103969188135E-2</v>
      </c>
      <c r="EB140" s="811">
        <f t="shared" si="204"/>
        <v>7.9299743524564592E-2</v>
      </c>
      <c r="EC140" s="811">
        <f t="shared" ref="EC140" si="205">BV140/BR140-1</f>
        <v>8.4396832060585014E-2</v>
      </c>
      <c r="ED140" s="811">
        <f t="shared" ref="ED140" si="206">BW140/BS140-1</f>
        <v>9.787480650086211E-2</v>
      </c>
      <c r="EF140" s="161"/>
      <c r="EH140" s="161"/>
      <c r="EM140" s="161"/>
      <c r="EN140" s="161"/>
      <c r="EO140" s="161"/>
      <c r="EP140" s="161"/>
      <c r="FL140" s="294">
        <f>3143+FL143</f>
        <v>3203</v>
      </c>
      <c r="FM140" s="294">
        <v>3234.6959043949996</v>
      </c>
      <c r="FN140" s="294">
        <v>3369.51992552</v>
      </c>
      <c r="FO140" s="441">
        <v>3265.6787251928654</v>
      </c>
      <c r="FP140" s="265">
        <v>-7.0315820057208489E-3</v>
      </c>
      <c r="FQ140" s="265">
        <v>6.3602358541249515E-2</v>
      </c>
      <c r="FR140" s="434">
        <v>4.8404629355349282E-2</v>
      </c>
      <c r="FS140" s="653">
        <v>3715</v>
      </c>
      <c r="FT140" s="646">
        <v>0.13008133543673472</v>
      </c>
      <c r="FU140" s="670">
        <v>3770</v>
      </c>
      <c r="FV140" s="673">
        <v>0.14026499516521596</v>
      </c>
      <c r="FW140" s="670">
        <v>3800.0425288841843</v>
      </c>
      <c r="FX140" s="673">
        <v>9.9016370788987951E-2</v>
      </c>
      <c r="FY140" s="760">
        <v>4042.3871325000009</v>
      </c>
      <c r="FZ140" s="771">
        <v>9.8294500712383437E-2</v>
      </c>
      <c r="GA140" s="792">
        <v>3930.0277000000006</v>
      </c>
      <c r="GB140" s="792">
        <v>3900.8669300000001</v>
      </c>
      <c r="GC140" s="816">
        <v>0.09</v>
      </c>
      <c r="GD140" s="792">
        <v>4261.4744728250043</v>
      </c>
      <c r="GE140" s="811">
        <v>0.13188346718448041</v>
      </c>
    </row>
    <row r="141" spans="1:187">
      <c r="A141" s="161"/>
      <c r="B141" s="268" t="s">
        <v>490</v>
      </c>
      <c r="C141" s="163"/>
      <c r="D141" s="163"/>
      <c r="E141" s="163"/>
      <c r="F141" s="163"/>
      <c r="G141" s="163"/>
      <c r="H141" s="163"/>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94"/>
      <c r="AK141" s="294"/>
      <c r="AL141" s="294"/>
      <c r="AM141" s="294"/>
      <c r="AN141" s="284">
        <f t="shared" ref="AN141:AY141" si="207">AN140/AN73</f>
        <v>0.50554526091586793</v>
      </c>
      <c r="AO141" s="284">
        <f t="shared" si="207"/>
        <v>0.49139204033482969</v>
      </c>
      <c r="AP141" s="284">
        <f t="shared" si="207"/>
        <v>0.47778916611660438</v>
      </c>
      <c r="AQ141" s="284">
        <f t="shared" si="207"/>
        <v>0.45098996519149226</v>
      </c>
      <c r="AR141" s="284">
        <f t="shared" si="207"/>
        <v>0.49520659391868277</v>
      </c>
      <c r="AS141" s="284">
        <f t="shared" si="207"/>
        <v>0.48875810960153249</v>
      </c>
      <c r="AT141" s="284">
        <f t="shared" si="207"/>
        <v>0.45929995929995932</v>
      </c>
      <c r="AU141" s="284">
        <f t="shared" si="207"/>
        <v>0.44714530795829299</v>
      </c>
      <c r="AV141" s="284">
        <f t="shared" si="207"/>
        <v>0.50119427422275264</v>
      </c>
      <c r="AW141" s="284">
        <f t="shared" si="207"/>
        <v>0.49813505235350403</v>
      </c>
      <c r="AX141" s="284">
        <f t="shared" si="207"/>
        <v>0.4951264240798216</v>
      </c>
      <c r="AY141" s="284">
        <f t="shared" si="207"/>
        <v>0.47869263141288226</v>
      </c>
      <c r="AZ141" s="284">
        <f t="shared" ref="AZ141:BL141" si="208">AZ140/AZ72</f>
        <v>0.50453454220856619</v>
      </c>
      <c r="BA141" s="284">
        <f t="shared" si="208"/>
        <v>0.49655331640225597</v>
      </c>
      <c r="BB141" s="284">
        <f t="shared" si="208"/>
        <v>0.4907502547630353</v>
      </c>
      <c r="BC141" s="284">
        <f t="shared" si="208"/>
        <v>0.47689779020460499</v>
      </c>
      <c r="BD141" s="284">
        <f t="shared" si="208"/>
        <v>0.49196562368855656</v>
      </c>
      <c r="BE141" s="284">
        <f t="shared" si="208"/>
        <v>0.48757840299611477</v>
      </c>
      <c r="BF141" s="284">
        <f t="shared" si="208"/>
        <v>0.47025086519956921</v>
      </c>
      <c r="BG141" s="284">
        <f t="shared" si="208"/>
        <v>0.4341293129616513</v>
      </c>
      <c r="BH141" s="284">
        <f t="shared" si="208"/>
        <v>0.45702028526095795</v>
      </c>
      <c r="BI141" s="284">
        <f t="shared" si="208"/>
        <v>0.44582457585031321</v>
      </c>
      <c r="BJ141" s="284">
        <f t="shared" si="208"/>
        <v>0.44137868520442131</v>
      </c>
      <c r="BK141" s="284">
        <f t="shared" si="208"/>
        <v>0.44024804406763651</v>
      </c>
      <c r="BL141" s="284">
        <f t="shared" si="208"/>
        <v>0.46096268029856963</v>
      </c>
      <c r="BM141" s="284">
        <f t="shared" ref="BM141:BV141" si="209">BM140/BM72</f>
        <v>0.44317325883708764</v>
      </c>
      <c r="BN141" s="284">
        <f t="shared" si="209"/>
        <v>0.43559281620209261</v>
      </c>
      <c r="BO141" s="284">
        <f t="shared" si="209"/>
        <v>0.44269174438096021</v>
      </c>
      <c r="BP141" s="284">
        <f t="shared" si="209"/>
        <v>0.46283455683944469</v>
      </c>
      <c r="BQ141" s="284">
        <f t="shared" si="209"/>
        <v>0.45446133286219614</v>
      </c>
      <c r="BR141" s="284">
        <f t="shared" si="209"/>
        <v>0.44227351631842915</v>
      </c>
      <c r="BS141" s="284">
        <f t="shared" si="209"/>
        <v>0.44047089793512967</v>
      </c>
      <c r="BT141" s="284">
        <f t="shared" si="209"/>
        <v>0.46194849687798983</v>
      </c>
      <c r="BU141" s="796">
        <f t="shared" si="209"/>
        <v>0.45</v>
      </c>
      <c r="BV141" s="796">
        <f t="shared" si="209"/>
        <v>0.44000000000000006</v>
      </c>
      <c r="BW141" s="796">
        <f>BW140/BW72</f>
        <v>0.44853237802982859</v>
      </c>
      <c r="BX141" s="796">
        <f>BX140/BX72</f>
        <v>0.45000000000000007</v>
      </c>
      <c r="BY141" s="263"/>
      <c r="BZ141" s="265"/>
      <c r="CA141" s="161"/>
      <c r="CB141" s="161"/>
      <c r="CC141" s="161"/>
      <c r="CD141" s="161"/>
      <c r="CE141" s="161"/>
      <c r="CF141" s="161"/>
      <c r="CG141" s="161"/>
      <c r="CH141" s="161"/>
      <c r="CI141" s="161"/>
      <c r="CJ141" s="161"/>
      <c r="CK141" s="161"/>
      <c r="CL141" s="161"/>
      <c r="CM141" s="161"/>
      <c r="CN141" s="161"/>
      <c r="CO141" s="161"/>
      <c r="CP141" s="161"/>
      <c r="CQ141" s="161"/>
      <c r="CR141" s="161"/>
      <c r="CS141" s="161"/>
      <c r="CT141" s="264"/>
      <c r="CU141" s="264"/>
      <c r="CV141" s="264"/>
      <c r="CW141" s="264"/>
      <c r="CX141" s="264"/>
      <c r="CY141" s="264"/>
      <c r="CZ141" s="264"/>
      <c r="DA141" s="264"/>
      <c r="DB141" s="264"/>
      <c r="DC141" s="264"/>
      <c r="DD141" s="264"/>
      <c r="DE141" s="264"/>
      <c r="DF141" s="264"/>
      <c r="DG141" s="264"/>
      <c r="DH141" s="161"/>
      <c r="DI141" s="161"/>
      <c r="DJ141" s="161"/>
      <c r="DK141" s="177"/>
      <c r="DL141" s="177"/>
      <c r="DM141" s="177"/>
      <c r="DN141" s="177"/>
      <c r="DO141" s="177"/>
      <c r="DP141" s="177"/>
      <c r="DQ141" s="177"/>
      <c r="DR141" s="177"/>
      <c r="DS141" s="177"/>
      <c r="DT141" s="177"/>
      <c r="DU141" s="177"/>
      <c r="DV141" s="177"/>
      <c r="DW141" s="177"/>
      <c r="DX141" s="177"/>
      <c r="DY141" s="177"/>
      <c r="DZ141" s="988">
        <f>DZ241</f>
        <v>8.5157258928091117E-2</v>
      </c>
      <c r="EA141"/>
      <c r="EB141" s="793"/>
      <c r="EC141" s="793"/>
      <c r="ED141" s="793"/>
      <c r="EF141" s="161"/>
      <c r="EH141" s="161"/>
      <c r="EM141" s="161"/>
      <c r="EN141" s="161"/>
      <c r="EO141" s="161"/>
      <c r="EP141" s="161"/>
      <c r="FL141" s="284">
        <v>0.44640840042815932</v>
      </c>
      <c r="FM141" s="284">
        <v>0.44181640640484715</v>
      </c>
      <c r="FN141" s="284">
        <v>0.44713467076766916</v>
      </c>
      <c r="FO141" s="443">
        <v>0.42751717290791719</v>
      </c>
      <c r="FP141" s="161"/>
      <c r="FQ141" s="161"/>
      <c r="FR141" s="430"/>
      <c r="FS141" s="655">
        <v>0.45443425076452598</v>
      </c>
      <c r="FT141" s="639"/>
      <c r="FU141" s="673">
        <v>0.45454545454545453</v>
      </c>
      <c r="FV141" s="667"/>
      <c r="FW141" s="673">
        <v>0.43983991069577805</v>
      </c>
      <c r="FX141" s="667"/>
      <c r="FY141" s="753">
        <v>0.46024797891414493</v>
      </c>
      <c r="FZ141" s="747"/>
      <c r="GA141" s="786">
        <v>0.4452155319192862</v>
      </c>
      <c r="GB141" s="786">
        <v>0.43760015636892258</v>
      </c>
      <c r="GC141" s="808"/>
      <c r="GD141" s="786">
        <v>0.4606447558739763</v>
      </c>
      <c r="GE141" s="808"/>
    </row>
    <row r="142" spans="1:187">
      <c r="A142" s="161"/>
      <c r="AP142" s="263"/>
      <c r="AQ142" s="263"/>
      <c r="AR142" s="263"/>
      <c r="AS142" s="271"/>
      <c r="AT142" s="400"/>
      <c r="AU142" s="400"/>
      <c r="AV142" s="400"/>
      <c r="AW142" s="400"/>
      <c r="AX142" s="400"/>
      <c r="AY142" s="302"/>
      <c r="AZ142" s="302"/>
      <c r="BA142" s="302"/>
      <c r="BB142" s="263"/>
      <c r="BC142" s="265">
        <f>SUM(AZ140:BC140)/SUM(AZ72:BC72)</f>
        <v>0.49186899246188864</v>
      </c>
      <c r="BD142" s="263"/>
      <c r="BE142" s="263"/>
      <c r="BF142" s="263"/>
      <c r="BG142" s="265">
        <f>SUM(BD140:BG140)/SUM(BD72:BG72)</f>
        <v>0.470217566902978</v>
      </c>
      <c r="BH142" s="263"/>
      <c r="BI142" s="263"/>
      <c r="BJ142" s="263"/>
      <c r="BK142" s="265">
        <f>SUM(BH140:BK140)/SUM(BH72:BK72)</f>
        <v>0.44592411118111686</v>
      </c>
      <c r="BL142" s="265"/>
      <c r="BM142" s="265"/>
      <c r="BN142" s="265"/>
      <c r="BO142" s="265">
        <f>SUM(BL140:BO140)/SUM(BL72:BO72)</f>
        <v>0.44547729096398475</v>
      </c>
      <c r="BP142" s="265"/>
      <c r="BQ142" s="265"/>
      <c r="BR142" s="265"/>
      <c r="BS142" s="265"/>
      <c r="BT142" s="265"/>
      <c r="BU142" s="786"/>
      <c r="BV142" s="786"/>
      <c r="BW142" s="786"/>
      <c r="BX142" s="786"/>
      <c r="BY142" s="161"/>
      <c r="BZ142" s="161"/>
      <c r="CA142" s="161"/>
      <c r="CB142" s="161"/>
      <c r="CC142" s="161"/>
      <c r="CD142" s="161"/>
      <c r="CE142" s="161"/>
      <c r="CF142" s="161"/>
      <c r="CG142" s="161"/>
      <c r="CH142" s="161"/>
      <c r="CI142" s="161"/>
      <c r="CJ142" s="161"/>
      <c r="CK142" s="161"/>
      <c r="CL142" s="161"/>
      <c r="CM142" s="161"/>
      <c r="CN142" s="161"/>
      <c r="CO142" s="161"/>
      <c r="CP142" s="161"/>
      <c r="CQ142" s="161"/>
      <c r="CR142" s="161"/>
      <c r="CS142" s="161"/>
      <c r="CT142" s="161"/>
      <c r="CU142" s="161"/>
      <c r="CV142" s="161"/>
      <c r="CW142" s="161"/>
      <c r="CX142" s="161"/>
      <c r="CY142" s="161"/>
      <c r="CZ142" s="161"/>
      <c r="DA142" s="161"/>
      <c r="DB142" s="161"/>
      <c r="DC142" s="161"/>
      <c r="DD142" s="161"/>
      <c r="DE142" s="161"/>
      <c r="DF142" s="161"/>
      <c r="DG142" s="161"/>
      <c r="DH142" s="161"/>
      <c r="DI142" s="161"/>
      <c r="DJ142" s="161"/>
      <c r="DK142" s="177"/>
      <c r="DL142" s="177"/>
      <c r="DM142" s="177"/>
      <c r="DN142" s="177"/>
      <c r="DO142" s="177"/>
      <c r="DP142" s="177"/>
      <c r="DQ142" s="177"/>
      <c r="DR142" s="177"/>
      <c r="DS142" s="177"/>
      <c r="DT142" s="177"/>
      <c r="DU142" s="177"/>
      <c r="DV142" s="177"/>
      <c r="DW142" s="177"/>
      <c r="DX142" s="177"/>
      <c r="DY142" s="177"/>
      <c r="DZ142" s="177"/>
      <c r="EA142" s="177"/>
      <c r="EB142" s="808"/>
      <c r="EC142" s="808"/>
      <c r="ED142" s="808"/>
      <c r="EF142" s="161"/>
      <c r="EH142" s="161"/>
      <c r="EM142" s="161"/>
      <c r="EN142" s="161"/>
      <c r="EO142" s="161"/>
      <c r="EP142" s="161"/>
      <c r="FL142" s="294"/>
      <c r="FM142" s="294"/>
      <c r="FN142" s="294"/>
      <c r="FO142" s="434"/>
      <c r="FP142" s="161"/>
      <c r="FQ142" s="161"/>
      <c r="FR142" s="430"/>
      <c r="FS142" s="646"/>
      <c r="FT142" s="639"/>
      <c r="FU142" s="673"/>
      <c r="FV142" s="667"/>
      <c r="FW142" s="673">
        <v>0.44471871590818829</v>
      </c>
      <c r="FX142" s="667"/>
      <c r="FY142" s="753"/>
      <c r="FZ142" s="747"/>
      <c r="GA142" s="786"/>
      <c r="GB142" s="786"/>
      <c r="GC142" s="808"/>
      <c r="GD142" s="786"/>
      <c r="GE142" s="808"/>
    </row>
    <row r="143" spans="1:187">
      <c r="A143" s="161"/>
      <c r="AP143" s="264"/>
      <c r="AQ143" s="264"/>
      <c r="AR143" s="264"/>
      <c r="AS143" s="265"/>
      <c r="AT143" s="265"/>
      <c r="AU143" s="265"/>
      <c r="AV143" s="265"/>
      <c r="AW143" s="265"/>
      <c r="AX143" s="400"/>
      <c r="AY143" s="302"/>
      <c r="AZ143" s="302"/>
      <c r="BA143" s="265"/>
      <c r="BB143" s="264"/>
      <c r="BC143" s="264"/>
      <c r="BD143" s="264"/>
      <c r="BE143" s="264"/>
      <c r="BF143" s="264"/>
      <c r="BG143" s="264"/>
      <c r="BH143" s="264"/>
      <c r="BI143" s="264"/>
      <c r="BJ143" s="265">
        <f t="shared" ref="BJ143:BS143" si="210">BJ141-BF141</f>
        <v>-2.8872179995147906E-2</v>
      </c>
      <c r="BK143" s="265">
        <f t="shared" si="210"/>
        <v>6.118731105985209E-3</v>
      </c>
      <c r="BL143" s="265">
        <f t="shared" si="210"/>
        <v>3.942395037611679E-3</v>
      </c>
      <c r="BM143" s="265">
        <f t="shared" si="210"/>
        <v>-2.6513170132255737E-3</v>
      </c>
      <c r="BN143" s="265">
        <f t="shared" si="210"/>
        <v>-5.7858690023286918E-3</v>
      </c>
      <c r="BO143" s="265">
        <f t="shared" si="210"/>
        <v>2.4437003133236934E-3</v>
      </c>
      <c r="BP143" s="265">
        <f>BP141-BL141</f>
        <v>1.8718765408750615E-3</v>
      </c>
      <c r="BQ143" s="265">
        <f t="shared" si="210"/>
        <v>1.1288074025108508E-2</v>
      </c>
      <c r="BR143" s="265">
        <f t="shared" si="210"/>
        <v>6.6807001163365354E-3</v>
      </c>
      <c r="BS143" s="265">
        <f t="shared" si="210"/>
        <v>-2.2208464458305377E-3</v>
      </c>
      <c r="BT143" s="265">
        <f>BT141-BP141</f>
        <v>-8.8605996145485477E-4</v>
      </c>
      <c r="BU143" s="782"/>
      <c r="BV143" s="782"/>
      <c r="BW143" s="782"/>
      <c r="BX143" s="782"/>
      <c r="BY143" s="161"/>
      <c r="BZ143" s="161"/>
      <c r="CA143" s="161"/>
      <c r="CB143" s="161"/>
      <c r="CC143" s="161"/>
      <c r="CD143" s="161"/>
      <c r="CE143" s="161"/>
      <c r="CF143" s="161"/>
      <c r="CG143" s="161"/>
      <c r="CH143" s="161"/>
      <c r="CI143" s="161"/>
      <c r="CJ143" s="161"/>
      <c r="CK143" s="161"/>
      <c r="CL143" s="161"/>
      <c r="CM143" s="161"/>
      <c r="CN143" s="161"/>
      <c r="CO143" s="161"/>
      <c r="CP143" s="161"/>
      <c r="CQ143" s="161"/>
      <c r="CR143" s="161"/>
      <c r="CS143" s="161"/>
      <c r="CT143" s="161"/>
      <c r="CU143" s="161"/>
      <c r="CV143" s="161"/>
      <c r="CW143" s="161"/>
      <c r="CX143" s="161"/>
      <c r="CY143" s="161"/>
      <c r="CZ143" s="161"/>
      <c r="DA143" s="161"/>
      <c r="DB143" s="161"/>
      <c r="DC143" s="161"/>
      <c r="DD143" s="161"/>
      <c r="DE143" s="161"/>
      <c r="DF143" s="161"/>
      <c r="DG143" s="161"/>
      <c r="DH143" s="161"/>
      <c r="DI143" s="161"/>
      <c r="DJ143" s="161"/>
      <c r="DK143" s="177"/>
      <c r="DL143" s="177"/>
      <c r="DM143" s="177"/>
      <c r="DN143" s="177"/>
      <c r="DO143" s="177"/>
      <c r="DP143" s="177"/>
      <c r="DQ143" s="177"/>
      <c r="DR143" s="177"/>
      <c r="DS143" s="177"/>
      <c r="DT143" s="177"/>
      <c r="DU143" s="177"/>
      <c r="DV143" s="177"/>
      <c r="DW143" s="177"/>
      <c r="DX143" s="177"/>
      <c r="DY143" s="177"/>
      <c r="DZ143" s="177"/>
      <c r="EA143" s="177"/>
      <c r="EB143" s="808"/>
      <c r="EC143" s="808"/>
      <c r="ED143" s="808"/>
      <c r="EF143" s="161"/>
      <c r="EH143" s="161"/>
      <c r="EM143" s="161"/>
      <c r="EN143" s="161"/>
      <c r="EO143" s="161"/>
      <c r="EP143" s="161"/>
      <c r="FL143" s="161">
        <v>60</v>
      </c>
      <c r="FM143" s="264"/>
      <c r="FN143" s="264"/>
      <c r="FO143" s="432"/>
      <c r="FP143" s="161"/>
      <c r="FQ143" s="161"/>
      <c r="FR143" s="430"/>
      <c r="FS143" s="641"/>
      <c r="FT143" s="639"/>
      <c r="FU143" s="668"/>
      <c r="FV143" s="667"/>
      <c r="FW143" s="668"/>
      <c r="FX143" s="667"/>
      <c r="FY143" s="749"/>
      <c r="FZ143" s="747"/>
      <c r="GA143" s="782"/>
      <c r="GB143" s="782"/>
      <c r="GC143" s="808"/>
      <c r="GD143" s="782"/>
      <c r="GE143" s="808"/>
    </row>
    <row r="144" spans="1:187">
      <c r="A144" s="161"/>
      <c r="AP144" s="264"/>
      <c r="AQ144" s="264"/>
      <c r="AR144" s="264"/>
      <c r="AS144" s="265"/>
      <c r="AT144" s="265"/>
      <c r="AU144" s="265"/>
      <c r="AV144" s="265"/>
      <c r="AW144" s="265"/>
      <c r="AX144" s="400"/>
      <c r="AY144" s="302"/>
      <c r="AZ144" s="302"/>
      <c r="BA144" s="265"/>
      <c r="BB144" s="264"/>
      <c r="BC144" s="264"/>
      <c r="BD144" s="264"/>
      <c r="BE144" s="264"/>
      <c r="BF144" s="264"/>
      <c r="BG144" s="264"/>
      <c r="BH144" s="264"/>
      <c r="BI144" s="264"/>
      <c r="BJ144" s="264"/>
      <c r="BK144" s="264"/>
      <c r="BL144" s="264"/>
      <c r="BM144" s="264"/>
      <c r="BN144" s="264"/>
      <c r="BO144" s="264"/>
      <c r="BP144" s="264"/>
      <c r="BQ144" s="264"/>
      <c r="BR144" s="264"/>
      <c r="BS144" s="264"/>
      <c r="BT144" s="264"/>
      <c r="BU144" s="782"/>
      <c r="BV144" s="782"/>
      <c r="BW144" s="782"/>
      <c r="BX144" s="782"/>
      <c r="BY144" s="161"/>
      <c r="BZ144" s="161"/>
      <c r="CA144" s="161"/>
      <c r="CB144" s="161"/>
      <c r="CC144" s="161"/>
      <c r="CD144" s="161"/>
      <c r="CE144" s="161"/>
      <c r="CF144" s="161"/>
      <c r="CG144" s="161"/>
      <c r="CH144" s="161"/>
      <c r="CI144" s="161"/>
      <c r="CJ144" s="161"/>
      <c r="CK144" s="161"/>
      <c r="CL144" s="161"/>
      <c r="CM144" s="161"/>
      <c r="CN144" s="161"/>
      <c r="CO144" s="161"/>
      <c r="CP144" s="161"/>
      <c r="CQ144" s="161"/>
      <c r="CR144" s="161"/>
      <c r="CS144" s="161"/>
      <c r="CT144" s="161"/>
      <c r="CU144" s="161"/>
      <c r="CV144" s="161"/>
      <c r="CW144" s="161"/>
      <c r="CX144" s="161"/>
      <c r="CY144" s="161"/>
      <c r="CZ144" s="161"/>
      <c r="DA144" s="161"/>
      <c r="DB144" s="161"/>
      <c r="DC144" s="161"/>
      <c r="DD144" s="161"/>
      <c r="DE144" s="161"/>
      <c r="DF144" s="161"/>
      <c r="DG144" s="161"/>
      <c r="DH144" s="161"/>
      <c r="DI144" s="161"/>
      <c r="DJ144" s="161"/>
      <c r="DK144" s="177"/>
      <c r="DL144" s="177"/>
      <c r="DM144" s="177"/>
      <c r="DN144" s="177"/>
      <c r="DO144" s="177"/>
      <c r="DP144" s="177"/>
      <c r="DQ144" s="177"/>
      <c r="DR144" s="177"/>
      <c r="DS144" s="177"/>
      <c r="DT144" s="177"/>
      <c r="DU144" s="177"/>
      <c r="DV144" s="177"/>
      <c r="DW144" s="177"/>
      <c r="DX144" s="177"/>
      <c r="DY144" s="177"/>
      <c r="DZ144" s="177"/>
      <c r="EA144" s="177"/>
      <c r="EB144" s="808"/>
      <c r="EC144" s="808"/>
      <c r="ED144" s="808"/>
      <c r="EF144" s="161"/>
      <c r="EH144" s="161"/>
      <c r="EM144" s="161"/>
      <c r="EN144" s="161"/>
      <c r="EO144" s="161"/>
      <c r="EP144" s="161"/>
      <c r="FL144" s="264"/>
      <c r="FM144" s="264"/>
      <c r="FN144" s="264"/>
      <c r="FO144" s="432"/>
      <c r="FP144" s="161"/>
      <c r="FQ144" s="161"/>
      <c r="FR144" s="430"/>
      <c r="FS144" s="641"/>
      <c r="FT144" s="639"/>
      <c r="FU144" s="668"/>
      <c r="FV144" s="667"/>
      <c r="FW144" s="668"/>
      <c r="FX144" s="667"/>
      <c r="FY144" s="749"/>
      <c r="FZ144" s="747"/>
      <c r="GA144" s="782"/>
      <c r="GB144" s="782"/>
      <c r="GC144" s="808"/>
      <c r="GD144" s="782"/>
      <c r="GE144" s="808"/>
    </row>
    <row r="145" spans="1:187">
      <c r="A145" s="161"/>
      <c r="B145" s="267" t="s">
        <v>491</v>
      </c>
      <c r="C145" s="161"/>
      <c r="D145" s="161"/>
      <c r="E145" s="161"/>
      <c r="F145" s="161"/>
      <c r="G145" s="161"/>
      <c r="H145" s="161"/>
      <c r="I145" s="265"/>
      <c r="J145" s="265"/>
      <c r="K145" s="265"/>
      <c r="L145" s="265"/>
      <c r="M145" s="265"/>
      <c r="N145" s="265"/>
      <c r="O145" s="265"/>
      <c r="P145" s="265"/>
      <c r="Q145" s="265"/>
      <c r="R145" s="265"/>
      <c r="S145" s="265"/>
      <c r="T145" s="265"/>
      <c r="U145" s="265"/>
      <c r="V145" s="265"/>
      <c r="W145" s="265"/>
      <c r="X145" s="265"/>
      <c r="Y145" s="265"/>
      <c r="Z145" s="265"/>
      <c r="AA145" s="265"/>
      <c r="AB145" s="265"/>
      <c r="AC145" s="265"/>
      <c r="AD145" s="265"/>
      <c r="AE145" s="265"/>
      <c r="AF145" s="265"/>
      <c r="AG145" s="265"/>
      <c r="AH145" s="265"/>
      <c r="AI145" s="265"/>
      <c r="AJ145" s="263">
        <f t="shared" ref="AJ145:AO145" si="211">AJ140-AJ133</f>
        <v>170.59500000000003</v>
      </c>
      <c r="AK145" s="263">
        <f t="shared" si="211"/>
        <v>164.97800000000007</v>
      </c>
      <c r="AL145" s="263">
        <f t="shared" si="211"/>
        <v>148.18000000000006</v>
      </c>
      <c r="AM145" s="263">
        <f t="shared" si="211"/>
        <v>107.83200000000011</v>
      </c>
      <c r="AN145" s="263">
        <f t="shared" si="211"/>
        <v>153.03499999999985</v>
      </c>
      <c r="AO145" s="263">
        <f t="shared" si="211"/>
        <v>187.43299999999999</v>
      </c>
      <c r="AP145" s="264"/>
      <c r="AQ145" s="264"/>
      <c r="AR145" s="264"/>
      <c r="AS145" s="265"/>
      <c r="AT145" s="265"/>
      <c r="AU145" s="265"/>
      <c r="AV145" s="265"/>
      <c r="AW145" s="265"/>
      <c r="AX145" s="400"/>
      <c r="AY145" s="302"/>
      <c r="AZ145" s="302"/>
      <c r="BA145" s="265"/>
      <c r="BB145" s="264"/>
      <c r="BC145" s="264"/>
      <c r="BD145" s="264"/>
      <c r="BE145" s="264"/>
      <c r="BF145" s="264"/>
      <c r="BG145" s="264"/>
      <c r="BH145" s="264"/>
      <c r="BI145" s="264"/>
      <c r="BJ145" s="264"/>
      <c r="BK145" s="264"/>
      <c r="BL145" s="264"/>
      <c r="BM145" s="264"/>
      <c r="BN145" s="264"/>
      <c r="BO145" s="264"/>
      <c r="BP145" s="264"/>
      <c r="BQ145" s="264"/>
      <c r="BR145" s="264"/>
      <c r="BS145" s="264"/>
      <c r="BT145" s="264"/>
      <c r="BU145" s="782"/>
      <c r="BV145" s="782"/>
      <c r="BW145" s="782"/>
      <c r="BX145" s="782"/>
      <c r="BY145" s="161"/>
      <c r="BZ145" s="161"/>
      <c r="CA145" s="161"/>
      <c r="CB145" s="161"/>
      <c r="CC145" s="161"/>
      <c r="CD145" s="161"/>
      <c r="CE145" s="161"/>
      <c r="CF145" s="161"/>
      <c r="CG145" s="161"/>
      <c r="CH145" s="161"/>
      <c r="CI145" s="161"/>
      <c r="CJ145" s="161"/>
      <c r="CK145" s="161"/>
      <c r="CL145" s="161"/>
      <c r="CM145" s="161"/>
      <c r="CN145" s="161"/>
      <c r="CO145" s="161"/>
      <c r="CP145" s="161"/>
      <c r="CQ145" s="161"/>
      <c r="CR145" s="161"/>
      <c r="CS145" s="161"/>
      <c r="CT145" s="161"/>
      <c r="CU145" s="161"/>
      <c r="CV145" s="161"/>
      <c r="CW145" s="161"/>
      <c r="CX145" s="161"/>
      <c r="CY145" s="161"/>
      <c r="CZ145" s="161"/>
      <c r="DA145" s="161"/>
      <c r="DB145" s="161"/>
      <c r="DC145" s="161"/>
      <c r="DD145" s="161"/>
      <c r="DE145" s="161"/>
      <c r="DF145" s="161"/>
      <c r="DG145" s="161"/>
      <c r="DH145" s="161"/>
      <c r="DI145" s="161"/>
      <c r="DJ145" s="161"/>
      <c r="DK145" s="177"/>
      <c r="DL145" s="177"/>
      <c r="DM145" s="177"/>
      <c r="DN145" s="177"/>
      <c r="DO145" s="177"/>
      <c r="DP145" s="177"/>
      <c r="DQ145" s="177"/>
      <c r="DR145" s="177"/>
      <c r="DS145" s="177"/>
      <c r="DT145" s="177"/>
      <c r="DU145" s="177"/>
      <c r="DV145" s="177"/>
      <c r="DW145" s="177"/>
      <c r="DX145" s="177"/>
      <c r="DY145" s="177"/>
      <c r="DZ145" s="177"/>
      <c r="EA145" s="177"/>
      <c r="EB145" s="808"/>
      <c r="EC145" s="808"/>
      <c r="ED145" s="808"/>
      <c r="EF145" s="161"/>
      <c r="EH145" s="161"/>
      <c r="EM145" s="161"/>
      <c r="EN145" s="161"/>
      <c r="EO145" s="161"/>
      <c r="EP145" s="161"/>
      <c r="FL145" s="264"/>
      <c r="FM145" s="264"/>
      <c r="FN145" s="264"/>
      <c r="FO145" s="432"/>
      <c r="FP145" s="161"/>
      <c r="FQ145" s="161"/>
      <c r="FR145" s="430"/>
      <c r="FS145" s="641"/>
      <c r="FT145" s="639"/>
      <c r="FU145" s="668"/>
      <c r="FV145" s="667"/>
      <c r="FW145" s="668"/>
      <c r="FX145" s="667"/>
      <c r="FY145" s="749"/>
      <c r="FZ145" s="747"/>
      <c r="GA145" s="782"/>
      <c r="GB145" s="782"/>
      <c r="GC145" s="808"/>
      <c r="GD145" s="782"/>
      <c r="GE145" s="808"/>
    </row>
    <row r="146" spans="1:187">
      <c r="A146" s="161"/>
      <c r="B146" s="267"/>
      <c r="C146" s="161"/>
      <c r="D146" s="161"/>
      <c r="E146" s="161"/>
      <c r="F146" s="161"/>
      <c r="G146" s="161"/>
      <c r="H146" s="161"/>
      <c r="I146" s="265"/>
      <c r="J146" s="265"/>
      <c r="K146" s="265"/>
      <c r="L146" s="265"/>
      <c r="M146" s="265"/>
      <c r="N146" s="265"/>
      <c r="O146" s="265"/>
      <c r="P146" s="265"/>
      <c r="Q146" s="265"/>
      <c r="R146" s="265"/>
      <c r="S146" s="265"/>
      <c r="T146" s="265"/>
      <c r="U146" s="265"/>
      <c r="V146" s="265"/>
      <c r="W146" s="265"/>
      <c r="X146" s="265"/>
      <c r="Y146" s="265"/>
      <c r="Z146" s="265"/>
      <c r="AA146" s="265"/>
      <c r="AB146" s="161"/>
      <c r="AC146" s="161"/>
      <c r="AD146" s="264"/>
      <c r="AE146" s="264"/>
      <c r="AF146" s="264"/>
      <c r="AG146" s="264"/>
      <c r="AH146" s="264"/>
      <c r="AI146" s="264"/>
      <c r="AJ146" s="264"/>
      <c r="AK146" s="264"/>
      <c r="AL146" s="264"/>
      <c r="AM146" s="264"/>
      <c r="AN146" s="264"/>
      <c r="AO146" s="702">
        <f>SUM(AN145:AO145)*2</f>
        <v>680.93599999999969</v>
      </c>
      <c r="AP146" s="264"/>
      <c r="AQ146" s="264"/>
      <c r="AR146" s="264"/>
      <c r="AS146" s="265"/>
      <c r="AT146" s="265"/>
      <c r="AU146" s="265"/>
      <c r="AV146" s="265"/>
      <c r="AW146" s="265"/>
      <c r="AX146" s="400"/>
      <c r="AY146" s="302"/>
      <c r="AZ146" s="302"/>
      <c r="BA146" s="265"/>
      <c r="BB146" s="264"/>
      <c r="BC146" s="264"/>
      <c r="BD146" s="264"/>
      <c r="BE146" s="264"/>
      <c r="BF146" s="264"/>
      <c r="BG146" s="264"/>
      <c r="BH146" s="264"/>
      <c r="BI146" s="264"/>
      <c r="BJ146" s="264"/>
      <c r="BK146" s="264"/>
      <c r="BL146" s="264"/>
      <c r="BM146" s="264"/>
      <c r="BN146" s="264"/>
      <c r="BO146" s="264"/>
      <c r="BP146" s="264"/>
      <c r="BQ146" s="264"/>
      <c r="BR146" s="264"/>
      <c r="BS146" s="264"/>
      <c r="BT146" s="264"/>
      <c r="BU146" s="782"/>
      <c r="BV146" s="782"/>
      <c r="BW146" s="782"/>
      <c r="BX146" s="782"/>
      <c r="BY146" s="161"/>
      <c r="BZ146" s="161"/>
      <c r="CA146" s="161"/>
      <c r="CB146" s="161"/>
      <c r="CC146" s="161"/>
      <c r="CD146" s="161"/>
      <c r="CE146" s="161"/>
      <c r="CF146" s="161"/>
      <c r="CG146" s="161"/>
      <c r="CH146" s="161"/>
      <c r="CI146" s="161"/>
      <c r="CJ146" s="161"/>
      <c r="CK146" s="161"/>
      <c r="CL146" s="161"/>
      <c r="CM146" s="161"/>
      <c r="CN146" s="161"/>
      <c r="CO146" s="161"/>
      <c r="CP146" s="161"/>
      <c r="CQ146" s="161"/>
      <c r="CR146" s="161"/>
      <c r="CS146" s="161"/>
      <c r="CT146" s="161"/>
      <c r="CU146" s="161"/>
      <c r="CV146" s="161"/>
      <c r="CW146" s="161"/>
      <c r="CX146" s="161"/>
      <c r="CY146" s="161"/>
      <c r="CZ146" s="161"/>
      <c r="DA146" s="161"/>
      <c r="DB146" s="161"/>
      <c r="DC146" s="161"/>
      <c r="DD146" s="161"/>
      <c r="DE146" s="161"/>
      <c r="DF146" s="161"/>
      <c r="DG146" s="161"/>
      <c r="DH146" s="161"/>
      <c r="DI146" s="161"/>
      <c r="DJ146" s="161"/>
      <c r="DK146" s="177"/>
      <c r="DL146" s="177"/>
      <c r="DM146" s="177"/>
      <c r="DN146" s="177"/>
      <c r="DO146" s="177"/>
      <c r="DP146" s="177"/>
      <c r="DQ146" s="177"/>
      <c r="DR146" s="177"/>
      <c r="DS146" s="177"/>
      <c r="DT146" s="177"/>
      <c r="DU146" s="177"/>
      <c r="DV146" s="177"/>
      <c r="DW146" s="177"/>
      <c r="DX146" s="177"/>
      <c r="DY146" s="177"/>
      <c r="DZ146" s="177"/>
      <c r="EA146" s="177"/>
      <c r="EB146" s="808"/>
      <c r="EC146" s="808"/>
      <c r="ED146" s="808"/>
      <c r="EF146" s="161"/>
      <c r="EH146" s="161"/>
      <c r="EM146" s="161"/>
      <c r="EN146" s="161"/>
      <c r="EO146" s="161"/>
      <c r="EP146" s="161"/>
      <c r="FL146" s="264"/>
      <c r="FM146" s="264"/>
      <c r="FN146" s="264"/>
      <c r="FO146" s="432"/>
      <c r="FP146" s="161"/>
      <c r="FQ146" s="161"/>
      <c r="FR146" s="430"/>
      <c r="FS146" s="641"/>
      <c r="FT146" s="639"/>
      <c r="FU146" s="668"/>
      <c r="FV146" s="667"/>
      <c r="FW146" s="668"/>
      <c r="FX146" s="667"/>
      <c r="FY146" s="749"/>
      <c r="FZ146" s="747"/>
      <c r="GA146" s="782"/>
      <c r="GB146" s="782"/>
      <c r="GC146" s="808"/>
      <c r="GD146" s="782"/>
      <c r="GE146" s="808"/>
    </row>
    <row r="147" spans="1:187">
      <c r="A147" s="161"/>
      <c r="B147" s="267"/>
      <c r="C147" s="161"/>
      <c r="D147" s="161"/>
      <c r="E147" s="161"/>
      <c r="F147" s="161"/>
      <c r="G147" s="161"/>
      <c r="H147" s="161"/>
      <c r="I147" s="265"/>
      <c r="J147" s="265"/>
      <c r="K147" s="265"/>
      <c r="L147" s="265"/>
      <c r="M147" s="265"/>
      <c r="N147" s="265"/>
      <c r="O147" s="265"/>
      <c r="P147" s="265"/>
      <c r="Q147" s="265"/>
      <c r="R147" s="265"/>
      <c r="S147" s="265"/>
      <c r="T147" s="265"/>
      <c r="U147" s="265"/>
      <c r="V147" s="265"/>
      <c r="W147" s="265"/>
      <c r="X147" s="265"/>
      <c r="Y147" s="265"/>
      <c r="Z147" s="265"/>
      <c r="AA147" s="265"/>
      <c r="AB147" s="161"/>
      <c r="AC147" s="161"/>
      <c r="AD147" s="264"/>
      <c r="AE147" s="264"/>
      <c r="AF147" s="264"/>
      <c r="AG147" s="264"/>
      <c r="AH147" s="264"/>
      <c r="AI147" s="264"/>
      <c r="AJ147" s="264"/>
      <c r="AK147" s="264"/>
      <c r="AL147" s="264"/>
      <c r="AM147" s="264"/>
      <c r="AN147" s="264"/>
      <c r="AO147" s="263"/>
      <c r="AP147" s="264"/>
      <c r="AQ147" s="264"/>
      <c r="AR147" s="264"/>
      <c r="AS147" s="265"/>
      <c r="AT147" s="265"/>
      <c r="AU147" s="265"/>
      <c r="AV147" s="265"/>
      <c r="AW147" s="265"/>
      <c r="AX147" s="400"/>
      <c r="AY147" s="302"/>
      <c r="AZ147" s="302"/>
      <c r="BA147" s="265"/>
      <c r="BB147" s="264"/>
      <c r="BC147" s="264"/>
      <c r="BD147" s="264"/>
      <c r="BE147" s="264"/>
      <c r="BF147" s="264"/>
      <c r="BG147" s="264"/>
      <c r="BH147" s="264"/>
      <c r="BI147" s="264"/>
      <c r="BJ147" s="264"/>
      <c r="BK147" s="264"/>
      <c r="BL147" s="264"/>
      <c r="BM147" s="264"/>
      <c r="BN147" s="264"/>
      <c r="BO147" s="264"/>
      <c r="BP147" s="264"/>
      <c r="BQ147" s="264"/>
      <c r="BR147" s="264"/>
      <c r="BS147" s="264"/>
      <c r="BT147" s="264"/>
      <c r="BU147" s="782"/>
      <c r="BV147" s="782"/>
      <c r="BW147" s="782"/>
      <c r="BX147" s="782"/>
      <c r="BY147" s="161"/>
      <c r="BZ147" s="161"/>
      <c r="CA147" s="161"/>
      <c r="CB147" s="161"/>
      <c r="CC147" s="161"/>
      <c r="CD147" s="161"/>
      <c r="CE147" s="161"/>
      <c r="CF147" s="161"/>
      <c r="CG147" s="161"/>
      <c r="CH147" s="161"/>
      <c r="CI147" s="161"/>
      <c r="CJ147" s="161"/>
      <c r="CK147" s="161"/>
      <c r="CL147" s="161"/>
      <c r="CM147" s="161"/>
      <c r="CN147" s="161"/>
      <c r="CO147" s="161"/>
      <c r="CP147" s="161"/>
      <c r="CQ147" s="161"/>
      <c r="CR147" s="161"/>
      <c r="CS147" s="161"/>
      <c r="CT147" s="161"/>
      <c r="CU147" s="161"/>
      <c r="CV147" s="161"/>
      <c r="CW147" s="161"/>
      <c r="CX147" s="161"/>
      <c r="CY147" s="161"/>
      <c r="CZ147" s="161"/>
      <c r="DA147" s="161"/>
      <c r="DB147" s="161"/>
      <c r="DC147" s="161"/>
      <c r="DD147" s="161"/>
      <c r="DE147" s="161"/>
      <c r="DF147" s="161"/>
      <c r="DG147" s="161"/>
      <c r="DH147" s="161"/>
      <c r="DI147" s="161"/>
      <c r="DJ147" s="161"/>
      <c r="DK147" s="177"/>
      <c r="DL147" s="177"/>
      <c r="DM147" s="177"/>
      <c r="DN147" s="177"/>
      <c r="DO147" s="177"/>
      <c r="DP147" s="177"/>
      <c r="DQ147" s="177"/>
      <c r="DR147" s="177"/>
      <c r="DS147" s="177"/>
      <c r="DT147" s="177"/>
      <c r="DU147" s="177"/>
      <c r="DV147" s="177"/>
      <c r="DW147" s="177"/>
      <c r="DX147" s="177"/>
      <c r="DY147" s="177"/>
      <c r="DZ147" s="177"/>
      <c r="EA147" s="177"/>
      <c r="EB147" s="808"/>
      <c r="EC147" s="808"/>
      <c r="ED147" s="808"/>
      <c r="EF147" s="161"/>
      <c r="EH147" s="161"/>
      <c r="EM147" s="161"/>
      <c r="EN147" s="161"/>
      <c r="EO147" s="161"/>
      <c r="EP147" s="161"/>
      <c r="FL147" s="264"/>
      <c r="FM147" s="264"/>
      <c r="FN147" s="264"/>
      <c r="FO147" s="432"/>
      <c r="FP147" s="161"/>
      <c r="FQ147" s="161"/>
      <c r="FR147" s="430"/>
      <c r="FS147" s="641"/>
      <c r="FT147" s="639"/>
      <c r="FU147" s="668"/>
      <c r="FV147" s="667"/>
      <c r="FW147" s="668"/>
      <c r="FX147" s="667"/>
      <c r="FY147" s="749"/>
      <c r="FZ147" s="747"/>
      <c r="GA147" s="782"/>
      <c r="GB147" s="782"/>
      <c r="GC147" s="808"/>
      <c r="GD147" s="782"/>
      <c r="GE147" s="808"/>
    </row>
    <row r="148" spans="1:187">
      <c r="A148" s="161"/>
      <c r="B148" s="267"/>
      <c r="C148" s="161"/>
      <c r="D148" s="161"/>
      <c r="E148" s="161"/>
      <c r="F148" s="161"/>
      <c r="G148" s="161"/>
      <c r="H148" s="161"/>
      <c r="I148" s="265"/>
      <c r="J148" s="265"/>
      <c r="K148" s="265"/>
      <c r="L148" s="265"/>
      <c r="M148" s="265"/>
      <c r="N148" s="265"/>
      <c r="O148" s="265"/>
      <c r="P148" s="265"/>
      <c r="Q148" s="265"/>
      <c r="R148" s="265"/>
      <c r="S148" s="265"/>
      <c r="T148" s="265"/>
      <c r="U148" s="265"/>
      <c r="V148" s="265"/>
      <c r="W148" s="265"/>
      <c r="X148" s="265"/>
      <c r="Y148" s="265"/>
      <c r="Z148" s="265"/>
      <c r="AA148" s="265"/>
      <c r="AB148" s="161"/>
      <c r="AC148" s="161"/>
      <c r="AD148" s="264"/>
      <c r="AE148" s="264"/>
      <c r="AF148" s="264"/>
      <c r="AG148" s="264"/>
      <c r="AH148" s="264"/>
      <c r="AI148" s="264"/>
      <c r="AJ148" s="264"/>
      <c r="AK148" s="264"/>
      <c r="AL148" s="264"/>
      <c r="AM148" s="264"/>
      <c r="AN148" s="264"/>
      <c r="AO148" s="263"/>
      <c r="AP148" s="264"/>
      <c r="AQ148" s="264"/>
      <c r="AR148" s="264"/>
      <c r="AS148" s="265"/>
      <c r="AT148" s="265"/>
      <c r="AU148" s="265"/>
      <c r="AV148" s="265"/>
      <c r="AW148" s="265"/>
      <c r="AX148" s="400"/>
      <c r="AY148" s="302"/>
      <c r="AZ148" s="302"/>
      <c r="BA148" s="265"/>
      <c r="BB148" s="264"/>
      <c r="BC148" s="264"/>
      <c r="BD148" s="264"/>
      <c r="BE148" s="264"/>
      <c r="BF148" s="264"/>
      <c r="BG148" s="264"/>
      <c r="BH148" s="264"/>
      <c r="BI148" s="264"/>
      <c r="BJ148" s="264"/>
      <c r="BK148" s="264"/>
      <c r="BL148" s="264"/>
      <c r="BM148" s="264"/>
      <c r="BN148" s="264"/>
      <c r="BO148" s="264"/>
      <c r="BP148" s="264"/>
      <c r="BQ148" s="264"/>
      <c r="BR148" s="264"/>
      <c r="BS148" s="264"/>
      <c r="BT148" s="264"/>
      <c r="BU148" s="782"/>
      <c r="BV148" s="782"/>
      <c r="BW148" s="782"/>
      <c r="BX148" s="782"/>
      <c r="BY148" s="161"/>
      <c r="BZ148" s="161"/>
      <c r="CA148" s="161"/>
      <c r="CB148" s="161"/>
      <c r="CC148" s="161"/>
      <c r="CD148" s="161"/>
      <c r="CE148" s="161"/>
      <c r="CF148" s="161"/>
      <c r="CG148" s="161"/>
      <c r="CH148" s="161"/>
      <c r="CI148" s="161"/>
      <c r="CJ148" s="161"/>
      <c r="CK148" s="161"/>
      <c r="CL148" s="161"/>
      <c r="CM148" s="161"/>
      <c r="CN148" s="161"/>
      <c r="CO148" s="161"/>
      <c r="CP148" s="161"/>
      <c r="CQ148" s="161"/>
      <c r="CR148" s="161"/>
      <c r="CS148" s="161"/>
      <c r="CT148" s="161"/>
      <c r="CU148" s="161"/>
      <c r="CV148" s="161"/>
      <c r="CW148" s="161"/>
      <c r="CX148" s="161"/>
      <c r="CY148" s="161"/>
      <c r="CZ148" s="161"/>
      <c r="DA148" s="161"/>
      <c r="DB148" s="161"/>
      <c r="DC148" s="161"/>
      <c r="DD148" s="161"/>
      <c r="DE148" s="161"/>
      <c r="DF148" s="161"/>
      <c r="DG148" s="161"/>
      <c r="DH148" s="161"/>
      <c r="DI148" s="161"/>
      <c r="DJ148" s="161"/>
      <c r="DK148" s="177"/>
      <c r="DL148" s="177"/>
      <c r="DM148" s="177"/>
      <c r="DN148" s="177"/>
      <c r="DO148" s="177"/>
      <c r="DP148" s="177"/>
      <c r="DQ148" s="177"/>
      <c r="DR148" s="177"/>
      <c r="DS148" s="177"/>
      <c r="DT148" s="177"/>
      <c r="DU148" s="177"/>
      <c r="DV148" s="177"/>
      <c r="DW148" s="177"/>
      <c r="DX148" s="177"/>
      <c r="DY148" s="177"/>
      <c r="DZ148" s="177"/>
      <c r="EA148" s="177"/>
      <c r="EB148" s="808"/>
      <c r="EC148" s="808"/>
      <c r="ED148" s="808"/>
      <c r="EF148" s="161"/>
      <c r="EH148" s="161"/>
      <c r="EM148" s="161"/>
      <c r="EN148" s="161"/>
      <c r="EO148" s="161"/>
      <c r="EP148" s="161"/>
      <c r="FL148" s="264"/>
      <c r="FM148" s="264"/>
      <c r="FN148" s="264"/>
      <c r="FO148" s="432"/>
      <c r="FP148" s="161"/>
      <c r="FQ148" s="161"/>
      <c r="FR148" s="430"/>
      <c r="FS148" s="641"/>
      <c r="FT148" s="639"/>
      <c r="FU148" s="668"/>
      <c r="FV148" s="667"/>
      <c r="FW148" s="668"/>
      <c r="FX148" s="667"/>
      <c r="FY148" s="749"/>
      <c r="FZ148" s="747"/>
      <c r="GA148" s="782"/>
      <c r="GB148" s="782"/>
      <c r="GC148" s="808"/>
      <c r="GD148" s="782"/>
      <c r="GE148" s="808"/>
    </row>
    <row r="149" spans="1:187">
      <c r="A149" s="161"/>
      <c r="B149" s="267"/>
      <c r="C149" s="161"/>
      <c r="D149" s="161"/>
      <c r="E149" s="161"/>
      <c r="F149" s="161"/>
      <c r="G149" s="161"/>
      <c r="H149" s="161"/>
      <c r="I149" s="265"/>
      <c r="J149" s="265"/>
      <c r="K149" s="265"/>
      <c r="L149" s="263"/>
      <c r="M149" s="263"/>
      <c r="N149" s="263"/>
      <c r="O149" s="263"/>
      <c r="P149" s="263"/>
      <c r="Q149" s="263"/>
      <c r="R149" s="263"/>
      <c r="S149" s="263"/>
      <c r="T149" s="263"/>
      <c r="U149" s="263"/>
      <c r="V149" s="263"/>
      <c r="W149" s="263"/>
      <c r="X149" s="263"/>
      <c r="Y149" s="263"/>
      <c r="Z149" s="263"/>
      <c r="AA149" s="263"/>
      <c r="AB149" s="263"/>
      <c r="AC149" s="263"/>
      <c r="AD149" s="263"/>
      <c r="AE149" s="263"/>
      <c r="AF149" s="263"/>
      <c r="AG149" s="263"/>
      <c r="AH149" s="263"/>
      <c r="AI149" s="263"/>
      <c r="AJ149" s="263"/>
      <c r="AK149" s="263">
        <f t="shared" ref="AK149:AR149" si="212">AK117-AK125</f>
        <v>1856.5349999999999</v>
      </c>
      <c r="AL149" s="263">
        <f t="shared" si="212"/>
        <v>1861.9119999999998</v>
      </c>
      <c r="AM149" s="263">
        <f t="shared" si="212"/>
        <v>1797.7570000000001</v>
      </c>
      <c r="AN149" s="263">
        <f t="shared" si="212"/>
        <v>2115.4769999999999</v>
      </c>
      <c r="AO149" s="263">
        <f t="shared" si="212"/>
        <v>2122.7139999999999</v>
      </c>
      <c r="AP149" s="263">
        <f t="shared" si="212"/>
        <v>2059.5130000000004</v>
      </c>
      <c r="AQ149" s="263">
        <f t="shared" si="212"/>
        <v>2043.1000000000004</v>
      </c>
      <c r="AR149" s="263">
        <f t="shared" si="212"/>
        <v>2183.4289999999996</v>
      </c>
      <c r="AS149" s="263">
        <f t="shared" ref="AS149:BO149" si="213">AS117-AS125</f>
        <v>2293.5839999999998</v>
      </c>
      <c r="AT149" s="263">
        <f t="shared" si="213"/>
        <v>2093.3000000000002</v>
      </c>
      <c r="AU149" s="263">
        <f t="shared" si="213"/>
        <v>2102.1800000000003</v>
      </c>
      <c r="AV149" s="263">
        <f t="shared" si="213"/>
        <v>2413.1069999999995</v>
      </c>
      <c r="AW149" s="263">
        <f t="shared" si="213"/>
        <v>2354.1840000000002</v>
      </c>
      <c r="AX149" s="263">
        <f t="shared" si="213"/>
        <v>2452.4039999999995</v>
      </c>
      <c r="AY149" s="263">
        <f t="shared" si="213"/>
        <v>2435.8830000000003</v>
      </c>
      <c r="AZ149" s="263">
        <f t="shared" si="213"/>
        <v>2670.8910000000001</v>
      </c>
      <c r="BA149" s="263">
        <f t="shared" si="213"/>
        <v>2665</v>
      </c>
      <c r="BB149" s="263">
        <f t="shared" si="213"/>
        <v>2680.0140000000001</v>
      </c>
      <c r="BC149" s="263">
        <f t="shared" si="213"/>
        <v>2811.2659999999996</v>
      </c>
      <c r="BD149" s="263">
        <f t="shared" si="213"/>
        <v>2891.5320000000006</v>
      </c>
      <c r="BE149" s="263">
        <f t="shared" si="213"/>
        <v>2873.09</v>
      </c>
      <c r="BF149" s="263">
        <f t="shared" si="213"/>
        <v>2792.2960000000003</v>
      </c>
      <c r="BG149" s="263">
        <f t="shared" si="213"/>
        <v>2801.0970000000002</v>
      </c>
      <c r="BH149" s="263">
        <f t="shared" si="213"/>
        <v>2900.6089999999999</v>
      </c>
      <c r="BI149" s="263">
        <f t="shared" si="213"/>
        <v>2899.7440000000006</v>
      </c>
      <c r="BJ149" s="263">
        <f t="shared" si="213"/>
        <v>2973.1030000000001</v>
      </c>
      <c r="BK149" s="263">
        <f t="shared" si="213"/>
        <v>3132.9280000000003</v>
      </c>
      <c r="BL149" s="263">
        <f t="shared" si="213"/>
        <v>3252.922</v>
      </c>
      <c r="BM149" s="263">
        <f>BM117-BM125</f>
        <v>3302.2419999999997</v>
      </c>
      <c r="BN149" s="263">
        <f>BN117-BN125</f>
        <v>3279.2269999999999</v>
      </c>
      <c r="BO149" s="263">
        <f t="shared" si="213"/>
        <v>3477.3990000000003</v>
      </c>
      <c r="BP149" s="263"/>
      <c r="BQ149" s="263"/>
      <c r="BR149" s="263"/>
      <c r="BS149" s="263"/>
      <c r="BT149" s="263"/>
      <c r="BU149" s="784"/>
      <c r="BV149" s="784"/>
      <c r="BW149" s="784"/>
      <c r="BX149" s="784"/>
      <c r="BY149" s="161"/>
      <c r="BZ149" s="161"/>
      <c r="CA149" s="161"/>
      <c r="CB149" s="161"/>
      <c r="CC149" s="161"/>
      <c r="CD149" s="161"/>
      <c r="CE149" s="161"/>
      <c r="CF149" s="161"/>
      <c r="CG149" s="161"/>
      <c r="CH149" s="161"/>
      <c r="CI149" s="161"/>
      <c r="CJ149" s="161"/>
      <c r="CK149" s="161"/>
      <c r="CL149" s="161"/>
      <c r="CM149" s="161"/>
      <c r="CN149" s="161"/>
      <c r="CO149" s="161"/>
      <c r="CP149" s="161"/>
      <c r="CQ149" s="161"/>
      <c r="CR149" s="161"/>
      <c r="CS149" s="161"/>
      <c r="CT149" s="161"/>
      <c r="CU149" s="161"/>
      <c r="CV149" s="161"/>
      <c r="CW149" s="161"/>
      <c r="CX149" s="161"/>
      <c r="CY149" s="264">
        <f t="shared" ref="CY149:EA149" si="214">AR149/AN149-1</f>
        <v>3.2121360808933241E-2</v>
      </c>
      <c r="CZ149" s="264">
        <f t="shared" si="214"/>
        <v>8.0496006527492669E-2</v>
      </c>
      <c r="DA149" s="264">
        <f t="shared" si="214"/>
        <v>1.6405334659213011E-2</v>
      </c>
      <c r="DB149" s="264">
        <f t="shared" si="214"/>
        <v>2.8916842053741787E-2</v>
      </c>
      <c r="DC149" s="264">
        <f t="shared" si="214"/>
        <v>0.105191421383521</v>
      </c>
      <c r="DD149" s="264">
        <f t="shared" si="214"/>
        <v>2.6421530669903603E-2</v>
      </c>
      <c r="DE149" s="264">
        <f t="shared" si="214"/>
        <v>0.17154922849089926</v>
      </c>
      <c r="DF149" s="264">
        <f t="shared" si="214"/>
        <v>0.15874140178291096</v>
      </c>
      <c r="DG149" s="264">
        <f t="shared" si="214"/>
        <v>0.10682659326751809</v>
      </c>
      <c r="DH149" s="264">
        <f t="shared" si="214"/>
        <v>0.13202706330516212</v>
      </c>
      <c r="DI149" s="264">
        <f t="shared" si="214"/>
        <v>9.2810972417269211E-2</v>
      </c>
      <c r="DJ149" s="264">
        <f t="shared" si="214"/>
        <v>0.15410551327793631</v>
      </c>
      <c r="DK149" s="467">
        <f t="shared" si="214"/>
        <v>8.2609511208057818E-2</v>
      </c>
      <c r="DL149" s="467">
        <f t="shared" si="214"/>
        <v>7.8082551594746752E-2</v>
      </c>
      <c r="DM149" s="467">
        <f t="shared" si="214"/>
        <v>4.1896049796754875E-2</v>
      </c>
      <c r="DN149" s="467">
        <f t="shared" si="214"/>
        <v>-3.6172315248714781E-3</v>
      </c>
      <c r="DO149" s="467">
        <f t="shared" si="214"/>
        <v>3.1391663657878155E-3</v>
      </c>
      <c r="DP149" s="467">
        <f t="shared" si="214"/>
        <v>9.2771197560816976E-3</v>
      </c>
      <c r="DQ149" s="467">
        <f t="shared" si="214"/>
        <v>6.4752089320043282E-2</v>
      </c>
      <c r="DR149" s="467">
        <f t="shared" si="214"/>
        <v>0.11846465866765765</v>
      </c>
      <c r="DS149" s="467">
        <f t="shared" si="214"/>
        <v>0.12146173441508323</v>
      </c>
      <c r="DT149" s="467">
        <f t="shared" si="214"/>
        <v>0.13880466689473248</v>
      </c>
      <c r="DU149" s="467">
        <f t="shared" si="214"/>
        <v>0.1029644785263073</v>
      </c>
      <c r="DV149" s="467">
        <f t="shared" si="214"/>
        <v>0.10995177674048051</v>
      </c>
      <c r="DW149" s="467">
        <f t="shared" si="214"/>
        <v>-1</v>
      </c>
      <c r="DX149" s="467">
        <f t="shared" si="214"/>
        <v>-1</v>
      </c>
      <c r="DY149" s="467">
        <f t="shared" si="214"/>
        <v>-1</v>
      </c>
      <c r="DZ149" s="467">
        <f t="shared" si="214"/>
        <v>-1</v>
      </c>
      <c r="EA149" s="467" t="e">
        <f t="shared" si="214"/>
        <v>#DIV/0!</v>
      </c>
      <c r="EB149" s="809"/>
      <c r="EC149" s="809"/>
      <c r="ED149" s="809"/>
      <c r="EF149" s="161"/>
      <c r="EH149" s="161"/>
      <c r="EM149" s="161"/>
      <c r="EN149" s="161"/>
      <c r="EO149" s="161"/>
      <c r="EP149" s="161"/>
      <c r="FL149" s="264"/>
      <c r="FM149" s="263">
        <f>FM117-FM125</f>
        <v>2827.1131843950002</v>
      </c>
      <c r="FN149" s="263">
        <v>2971.2461255200001</v>
      </c>
      <c r="FO149" s="433">
        <v>2968.5407251928646</v>
      </c>
      <c r="FP149" s="264">
        <f>FM149/BF149-1</f>
        <v>1.2469016320261206E-2</v>
      </c>
      <c r="FQ149" s="264">
        <v>6.0743746296540113E-2</v>
      </c>
      <c r="FR149" s="432">
        <v>2.3419814664046301E-2</v>
      </c>
      <c r="FS149" s="643">
        <v>3335</v>
      </c>
      <c r="FT149" s="641">
        <v>0.1217236671585209</v>
      </c>
      <c r="FU149" s="670">
        <v>3390</v>
      </c>
      <c r="FV149" s="668">
        <v>8.2054870076809783E-2</v>
      </c>
      <c r="FW149" s="670">
        <v>3486.5445288841847</v>
      </c>
      <c r="FX149" s="668">
        <v>7.1819283980428805E-2</v>
      </c>
      <c r="FY149" s="751"/>
      <c r="FZ149" s="749">
        <v>-1</v>
      </c>
      <c r="GA149" s="784"/>
      <c r="GB149" s="784"/>
      <c r="GC149" s="808"/>
      <c r="GD149" s="784"/>
      <c r="GE149" s="808"/>
    </row>
    <row r="150" spans="1:187">
      <c r="A150" s="161"/>
      <c r="B150" s="267"/>
      <c r="C150" s="161"/>
      <c r="D150" s="161"/>
      <c r="E150" s="161"/>
      <c r="F150" s="161"/>
      <c r="G150" s="161"/>
      <c r="H150" s="161"/>
      <c r="I150" s="265"/>
      <c r="J150" s="265"/>
      <c r="K150" s="265"/>
      <c r="L150" s="265"/>
      <c r="M150" s="265"/>
      <c r="N150" s="265"/>
      <c r="O150" s="265"/>
      <c r="P150" s="265"/>
      <c r="Q150" s="265"/>
      <c r="R150" s="265"/>
      <c r="S150" s="265"/>
      <c r="T150" s="265"/>
      <c r="U150" s="265"/>
      <c r="V150" s="265"/>
      <c r="W150" s="265"/>
      <c r="X150" s="265"/>
      <c r="Y150" s="265"/>
      <c r="Z150" s="265"/>
      <c r="AA150" s="265"/>
      <c r="AB150" s="161"/>
      <c r="AC150" s="161"/>
      <c r="AD150" s="264"/>
      <c r="AE150" s="264"/>
      <c r="AF150" s="264"/>
      <c r="AG150" s="264"/>
      <c r="AH150" s="264"/>
      <c r="AI150" s="264"/>
      <c r="AJ150" s="264"/>
      <c r="AK150" s="264"/>
      <c r="AL150" s="264"/>
      <c r="AM150" s="264"/>
      <c r="AN150" s="264">
        <f t="shared" ref="AN150:BO150" si="215">AN149/AN87</f>
        <v>0.54308448643236718</v>
      </c>
      <c r="AO150" s="264">
        <f t="shared" si="215"/>
        <v>0.53912907874478511</v>
      </c>
      <c r="AP150" s="264">
        <f t="shared" si="215"/>
        <v>0.51163372473459556</v>
      </c>
      <c r="AQ150" s="264">
        <f t="shared" si="215"/>
        <v>0.49462583737895527</v>
      </c>
      <c r="AR150" s="264">
        <f t="shared" si="215"/>
        <v>0.51960424549629936</v>
      </c>
      <c r="AS150" s="264">
        <f t="shared" si="215"/>
        <v>0.52674484298135615</v>
      </c>
      <c r="AT150" s="264">
        <f t="shared" si="215"/>
        <v>0.48288350634371402</v>
      </c>
      <c r="AU150" s="264">
        <f t="shared" si="215"/>
        <v>0.47194216307460846</v>
      </c>
      <c r="AV150" s="264">
        <f t="shared" si="215"/>
        <v>0.52916576210306099</v>
      </c>
      <c r="AW150" s="264">
        <f t="shared" si="215"/>
        <v>0.52457616600446155</v>
      </c>
      <c r="AX150" s="264">
        <f t="shared" si="215"/>
        <v>0.52783993846038613</v>
      </c>
      <c r="AY150" s="264">
        <f t="shared" si="215"/>
        <v>0.50834160610690338</v>
      </c>
      <c r="AZ150" s="264">
        <f t="shared" si="215"/>
        <v>0.53838839726662502</v>
      </c>
      <c r="BA150" s="264">
        <f t="shared" si="215"/>
        <v>0.52950526524935426</v>
      </c>
      <c r="BB150" s="264">
        <f t="shared" si="215"/>
        <v>0.52535161129202113</v>
      </c>
      <c r="BC150" s="264">
        <f t="shared" si="215"/>
        <v>0.52633189059772978</v>
      </c>
      <c r="BD150" s="264">
        <f t="shared" si="215"/>
        <v>0.53316217262241172</v>
      </c>
      <c r="BE150" s="264">
        <f t="shared" si="215"/>
        <v>0.5223944370826249</v>
      </c>
      <c r="BF150" s="264">
        <f t="shared" si="215"/>
        <v>0.51410717409115614</v>
      </c>
      <c r="BG150" s="264">
        <f t="shared" si="215"/>
        <v>0.49832716598470028</v>
      </c>
      <c r="BH150" s="264">
        <f t="shared" si="215"/>
        <v>0.49848440999399185</v>
      </c>
      <c r="BI150" s="264">
        <f t="shared" si="215"/>
        <v>0.48162648661325574</v>
      </c>
      <c r="BJ150" s="264">
        <f t="shared" si="215"/>
        <v>0.48026910291811925</v>
      </c>
      <c r="BK150" s="264">
        <f t="shared" si="215"/>
        <v>0.48667039276585822</v>
      </c>
      <c r="BL150" s="264">
        <f t="shared" si="215"/>
        <v>0.49424403842767367</v>
      </c>
      <c r="BM150" s="264">
        <f t="shared" si="215"/>
        <v>0.4939630087412481</v>
      </c>
      <c r="BN150" s="264">
        <f t="shared" si="215"/>
        <v>0.48033016421350022</v>
      </c>
      <c r="BO150" s="264">
        <f t="shared" si="215"/>
        <v>0.49062418520863738</v>
      </c>
      <c r="BP150" s="264"/>
      <c r="BQ150" s="264"/>
      <c r="BR150" s="264"/>
      <c r="BS150" s="264"/>
      <c r="BT150" s="264"/>
      <c r="BU150" s="782"/>
      <c r="BV150" s="782"/>
      <c r="BW150" s="782"/>
      <c r="BX150" s="782"/>
      <c r="BY150" s="161"/>
      <c r="BZ150" s="161"/>
      <c r="CA150" s="161"/>
      <c r="CB150" s="161"/>
      <c r="CC150" s="161"/>
      <c r="CD150" s="161"/>
      <c r="CE150" s="161"/>
      <c r="CF150" s="161"/>
      <c r="CG150" s="161"/>
      <c r="CH150" s="161"/>
      <c r="CI150" s="161"/>
      <c r="CJ150" s="161"/>
      <c r="CK150" s="161"/>
      <c r="CL150" s="161"/>
      <c r="CM150" s="161"/>
      <c r="CN150" s="161"/>
      <c r="CO150" s="161"/>
      <c r="CP150" s="161"/>
      <c r="CQ150" s="161"/>
      <c r="CR150" s="161"/>
      <c r="CS150" s="161"/>
      <c r="CT150" s="161"/>
      <c r="CU150" s="161"/>
      <c r="CV150" s="161"/>
      <c r="CW150" s="161"/>
      <c r="CX150" s="161"/>
      <c r="CY150" s="161"/>
      <c r="CZ150" s="161"/>
      <c r="DA150" s="161"/>
      <c r="DB150" s="161"/>
      <c r="DC150" s="161"/>
      <c r="DD150" s="161"/>
      <c r="DE150" s="161"/>
      <c r="DF150" s="161"/>
      <c r="DG150" s="161"/>
      <c r="DH150" s="161"/>
      <c r="DI150" s="161"/>
      <c r="DJ150" s="161"/>
      <c r="DK150" s="177"/>
      <c r="DL150" s="177"/>
      <c r="DM150" s="177"/>
      <c r="DN150" s="177"/>
      <c r="DO150" s="177"/>
      <c r="DP150" s="177"/>
      <c r="DQ150" s="177"/>
      <c r="DR150" s="177"/>
      <c r="DS150" s="177"/>
      <c r="DT150" s="177"/>
      <c r="DU150" s="177"/>
      <c r="DV150" s="177"/>
      <c r="DW150" s="177"/>
      <c r="DX150" s="177"/>
      <c r="DY150" s="177"/>
      <c r="DZ150" s="177"/>
      <c r="EA150" s="177"/>
      <c r="EB150" s="808"/>
      <c r="EC150" s="808"/>
      <c r="ED150" s="808"/>
      <c r="EF150" s="161"/>
      <c r="EH150" s="161"/>
      <c r="EM150" s="161"/>
      <c r="EN150" s="161"/>
      <c r="EO150" s="161"/>
      <c r="EP150" s="161"/>
      <c r="FL150" s="264"/>
      <c r="FM150" s="264">
        <f>FM149/FM87</f>
        <v>0.47578412873722853</v>
      </c>
      <c r="FN150" s="264">
        <v>0.48945715241545368</v>
      </c>
      <c r="FO150" s="432">
        <v>0.47005993932015616</v>
      </c>
      <c r="FP150" s="161"/>
      <c r="FQ150" s="161"/>
      <c r="FR150" s="430"/>
      <c r="FS150" s="641"/>
      <c r="FT150" s="639"/>
      <c r="FU150" s="668"/>
      <c r="FV150" s="667"/>
      <c r="FW150" s="668"/>
      <c r="FX150" s="667"/>
      <c r="FY150" s="749"/>
      <c r="FZ150" s="747"/>
      <c r="GA150" s="782"/>
      <c r="GB150" s="782"/>
      <c r="GC150" s="808"/>
      <c r="GD150" s="782"/>
      <c r="GE150" s="808"/>
    </row>
    <row r="151" spans="1:187">
      <c r="A151" s="161"/>
      <c r="B151" s="267"/>
      <c r="C151" s="161"/>
      <c r="D151" s="161"/>
      <c r="E151" s="161"/>
      <c r="F151" s="161"/>
      <c r="G151" s="161"/>
      <c r="H151" s="161"/>
      <c r="I151" s="265"/>
      <c r="J151" s="265"/>
      <c r="K151" s="265"/>
      <c r="L151" s="265"/>
      <c r="M151" s="265"/>
      <c r="N151" s="265"/>
      <c r="O151" s="265"/>
      <c r="P151" s="265"/>
      <c r="Q151" s="265"/>
      <c r="R151" s="265"/>
      <c r="S151" s="265"/>
      <c r="T151" s="265"/>
      <c r="U151" s="265"/>
      <c r="V151" s="265"/>
      <c r="W151" s="265"/>
      <c r="X151" s="265"/>
      <c r="Y151" s="265"/>
      <c r="Z151" s="265"/>
      <c r="AA151" s="265"/>
      <c r="AB151" s="161"/>
      <c r="AC151" s="161"/>
      <c r="AD151" s="264"/>
      <c r="AE151" s="264"/>
      <c r="AF151" s="264"/>
      <c r="AG151" s="264"/>
      <c r="AH151" s="264"/>
      <c r="AI151" s="264"/>
      <c r="AJ151" s="264"/>
      <c r="AK151" s="264"/>
      <c r="AL151" s="264"/>
      <c r="AM151" s="264"/>
      <c r="AN151" s="264"/>
      <c r="AO151" s="264"/>
      <c r="AP151" s="264"/>
      <c r="AQ151" s="264"/>
      <c r="AR151" s="264"/>
      <c r="AS151" s="264"/>
      <c r="AT151" s="264"/>
      <c r="AU151" s="264"/>
      <c r="AV151" s="264"/>
      <c r="AW151" s="264"/>
      <c r="AX151" s="264"/>
      <c r="AY151" s="264"/>
      <c r="AZ151" s="264"/>
      <c r="BA151" s="264"/>
      <c r="BB151" s="264"/>
      <c r="BC151" s="264"/>
      <c r="BD151" s="264"/>
      <c r="BE151" s="264"/>
      <c r="BF151" s="264"/>
      <c r="BG151" s="264"/>
      <c r="BH151" s="264"/>
      <c r="BI151" s="264"/>
      <c r="BJ151" s="264"/>
      <c r="BK151" s="264"/>
      <c r="BL151" s="264"/>
      <c r="BM151" s="264"/>
      <c r="BN151" s="264"/>
      <c r="BO151" s="264"/>
      <c r="BP151" s="264"/>
      <c r="BQ151" s="264"/>
      <c r="BR151" s="264"/>
      <c r="BS151" s="264"/>
      <c r="BT151" s="264"/>
      <c r="BU151" s="782"/>
      <c r="BV151" s="782"/>
      <c r="BW151" s="782"/>
      <c r="BX151" s="782"/>
      <c r="BY151" s="161"/>
      <c r="BZ151" s="161"/>
      <c r="CA151" s="161"/>
      <c r="CB151" s="161"/>
      <c r="CC151" s="161"/>
      <c r="CD151" s="161"/>
      <c r="CE151" s="161"/>
      <c r="CF151" s="161"/>
      <c r="CG151" s="161"/>
      <c r="CH151" s="161"/>
      <c r="CI151" s="161"/>
      <c r="CJ151" s="161"/>
      <c r="CK151" s="161"/>
      <c r="CL151" s="161"/>
      <c r="CM151" s="161"/>
      <c r="CN151" s="161"/>
      <c r="CO151" s="161"/>
      <c r="CP151" s="161"/>
      <c r="CQ151" s="161"/>
      <c r="CR151" s="161"/>
      <c r="CS151" s="161"/>
      <c r="CT151" s="161"/>
      <c r="CU151" s="161"/>
      <c r="CV151" s="161"/>
      <c r="CW151" s="161"/>
      <c r="CX151" s="161"/>
      <c r="CY151" s="161"/>
      <c r="CZ151" s="161"/>
      <c r="DA151" s="161"/>
      <c r="DB151" s="161"/>
      <c r="DC151" s="161"/>
      <c r="DD151" s="161"/>
      <c r="DE151" s="161"/>
      <c r="DF151" s="161"/>
      <c r="DG151" s="161"/>
      <c r="DH151" s="161"/>
      <c r="DI151" s="161"/>
      <c r="DJ151" s="161"/>
      <c r="DK151" s="177"/>
      <c r="DL151" s="177"/>
      <c r="DM151" s="177"/>
      <c r="DN151" s="177"/>
      <c r="DO151" s="177"/>
      <c r="DP151" s="177"/>
      <c r="DQ151" s="177"/>
      <c r="DR151" s="177"/>
      <c r="DS151" s="177"/>
      <c r="DT151" s="177"/>
      <c r="DU151" s="177"/>
      <c r="DV151" s="177"/>
      <c r="DW151" s="177"/>
      <c r="DX151" s="177"/>
      <c r="DY151" s="177"/>
      <c r="DZ151" s="177"/>
      <c r="EA151" s="177"/>
      <c r="EB151" s="808"/>
      <c r="EC151" s="808"/>
      <c r="ED151" s="808"/>
      <c r="EF151" s="161"/>
      <c r="EH151" s="161"/>
      <c r="EM151" s="161"/>
      <c r="EN151" s="161"/>
      <c r="EO151" s="161"/>
      <c r="EP151" s="161"/>
      <c r="FL151" s="264"/>
      <c r="FM151" s="264"/>
      <c r="FN151" s="264"/>
      <c r="FO151" s="432"/>
      <c r="FP151" s="161"/>
      <c r="FQ151" s="161"/>
      <c r="FR151" s="430"/>
      <c r="FS151" s="641"/>
      <c r="FT151" s="639"/>
      <c r="FU151" s="668"/>
      <c r="FV151" s="667"/>
      <c r="FW151" s="668"/>
      <c r="FX151" s="667"/>
      <c r="FY151" s="749"/>
      <c r="FZ151" s="747"/>
      <c r="GA151" s="782"/>
      <c r="GB151" s="782"/>
      <c r="GC151" s="808"/>
      <c r="GD151" s="782"/>
      <c r="GE151" s="808"/>
    </row>
    <row r="152" spans="1:187">
      <c r="A152" s="161"/>
      <c r="B152" s="267"/>
      <c r="C152" s="161"/>
      <c r="D152" s="161"/>
      <c r="E152" s="161"/>
      <c r="F152" s="161"/>
      <c r="G152" s="161"/>
      <c r="H152" s="161"/>
      <c r="I152" s="265"/>
      <c r="J152" s="265"/>
      <c r="K152" s="265"/>
      <c r="L152" s="265"/>
      <c r="M152" s="265"/>
      <c r="N152" s="265"/>
      <c r="O152" s="265"/>
      <c r="P152" s="265"/>
      <c r="Q152" s="265"/>
      <c r="R152" s="265"/>
      <c r="S152" s="265"/>
      <c r="T152" s="265"/>
      <c r="U152" s="265"/>
      <c r="V152" s="265"/>
      <c r="W152" s="265"/>
      <c r="X152" s="265"/>
      <c r="Y152" s="265"/>
      <c r="Z152" s="265"/>
      <c r="AA152" s="265"/>
      <c r="AB152" s="161"/>
      <c r="AC152" s="161"/>
      <c r="AD152" s="264"/>
      <c r="AE152" s="264"/>
      <c r="AF152" s="264"/>
      <c r="AG152" s="264"/>
      <c r="AH152" s="264"/>
      <c r="AI152" s="264"/>
      <c r="AJ152" s="264"/>
      <c r="AK152" s="264"/>
      <c r="AL152" s="264"/>
      <c r="AM152" s="264"/>
      <c r="AN152" s="264"/>
      <c r="AO152" s="264"/>
      <c r="AP152" s="264"/>
      <c r="AQ152" s="264"/>
      <c r="AR152" s="264"/>
      <c r="AS152" s="264"/>
      <c r="AT152" s="264"/>
      <c r="AU152" s="264"/>
      <c r="AV152" s="264"/>
      <c r="AW152" s="264"/>
      <c r="AX152" s="264"/>
      <c r="AY152" s="264"/>
      <c r="AZ152" s="264"/>
      <c r="BA152" s="264"/>
      <c r="BB152" s="264"/>
      <c r="BC152" s="264"/>
      <c r="BD152" s="264"/>
      <c r="BE152" s="264"/>
      <c r="BF152" s="264"/>
      <c r="BG152" s="264"/>
      <c r="BH152" s="264"/>
      <c r="BI152" s="264"/>
      <c r="BJ152" s="264"/>
      <c r="BK152" s="264"/>
      <c r="BL152" s="264"/>
      <c r="BM152" s="264"/>
      <c r="BN152" s="264"/>
      <c r="BO152" s="264"/>
      <c r="BP152" s="264"/>
      <c r="BQ152" s="264"/>
      <c r="BR152" s="264"/>
      <c r="BS152" s="264"/>
      <c r="BT152" s="264"/>
      <c r="BU152" s="782"/>
      <c r="BV152" s="782"/>
      <c r="BW152" s="782"/>
      <c r="BX152" s="782"/>
      <c r="BY152" s="161"/>
      <c r="BZ152" s="161"/>
      <c r="CA152" s="161"/>
      <c r="CB152" s="161"/>
      <c r="CC152" s="161"/>
      <c r="CD152" s="161"/>
      <c r="CE152" s="161"/>
      <c r="CF152" s="161"/>
      <c r="CG152" s="161"/>
      <c r="CH152" s="161"/>
      <c r="CI152" s="161"/>
      <c r="CJ152" s="161"/>
      <c r="CK152" s="161"/>
      <c r="CL152" s="161"/>
      <c r="CM152" s="161"/>
      <c r="CN152" s="161"/>
      <c r="CO152" s="161"/>
      <c r="CP152" s="161"/>
      <c r="CQ152" s="161"/>
      <c r="CR152" s="161"/>
      <c r="CS152" s="161"/>
      <c r="CT152" s="161"/>
      <c r="CU152" s="161"/>
      <c r="CV152" s="161"/>
      <c r="CW152" s="161"/>
      <c r="CX152" s="161"/>
      <c r="CY152" s="161"/>
      <c r="CZ152" s="161"/>
      <c r="DA152" s="161"/>
      <c r="DB152" s="161"/>
      <c r="DC152" s="161"/>
      <c r="DD152" s="161"/>
      <c r="DE152" s="161"/>
      <c r="DF152" s="161"/>
      <c r="DG152" s="161"/>
      <c r="DH152" s="161"/>
      <c r="DI152" s="161"/>
      <c r="DJ152" s="161"/>
      <c r="DK152" s="177"/>
      <c r="DL152" s="177"/>
      <c r="DM152" s="177"/>
      <c r="DN152" s="177"/>
      <c r="DO152" s="177"/>
      <c r="DP152" s="177"/>
      <c r="DQ152" s="177"/>
      <c r="DR152" s="177"/>
      <c r="DS152" s="177"/>
      <c r="DT152" s="177"/>
      <c r="DU152" s="177"/>
      <c r="DV152" s="177"/>
      <c r="DW152" s="177"/>
      <c r="DX152" s="177"/>
      <c r="DY152" s="177"/>
      <c r="DZ152" s="177"/>
      <c r="EA152" s="177"/>
      <c r="EB152" s="808"/>
      <c r="EC152" s="808"/>
      <c r="ED152" s="808"/>
      <c r="EF152" s="161"/>
      <c r="EH152" s="161"/>
      <c r="EM152" s="161"/>
      <c r="EN152" s="161"/>
      <c r="EO152" s="161"/>
      <c r="EP152" s="161"/>
      <c r="FL152" s="264"/>
      <c r="FM152" s="264"/>
      <c r="FN152" s="264"/>
      <c r="FO152" s="432"/>
      <c r="FP152" s="161"/>
      <c r="FQ152" s="161"/>
      <c r="FR152" s="430"/>
      <c r="FS152" s="641"/>
      <c r="FT152" s="639"/>
      <c r="FU152" s="668"/>
      <c r="FV152" s="667"/>
      <c r="FW152" s="668"/>
      <c r="FX152" s="667"/>
      <c r="FY152" s="749"/>
      <c r="FZ152" s="747"/>
      <c r="GA152" s="782"/>
      <c r="GB152" s="782"/>
      <c r="GC152" s="808"/>
      <c r="GD152" s="782"/>
      <c r="GE152" s="808"/>
    </row>
    <row r="153" spans="1:187">
      <c r="A153" s="161"/>
      <c r="B153" s="267"/>
      <c r="C153" s="161"/>
      <c r="D153" s="161"/>
      <c r="E153" s="161"/>
      <c r="F153" s="161"/>
      <c r="G153" s="161"/>
      <c r="H153" s="161"/>
      <c r="I153" s="265"/>
      <c r="J153" s="265"/>
      <c r="K153" s="265"/>
      <c r="L153" s="265"/>
      <c r="M153" s="265"/>
      <c r="N153" s="265"/>
      <c r="O153" s="265"/>
      <c r="P153" s="265"/>
      <c r="Q153" s="265"/>
      <c r="R153" s="265"/>
      <c r="S153" s="265"/>
      <c r="T153" s="265"/>
      <c r="U153" s="265"/>
      <c r="V153" s="265"/>
      <c r="W153" s="265"/>
      <c r="X153" s="265"/>
      <c r="Y153" s="265"/>
      <c r="Z153" s="265"/>
      <c r="AA153" s="265"/>
      <c r="AB153" s="161"/>
      <c r="AC153" s="161"/>
      <c r="AD153" s="264"/>
      <c r="AE153" s="264"/>
      <c r="AF153" s="264"/>
      <c r="AG153" s="264"/>
      <c r="AH153" s="264"/>
      <c r="AI153" s="264"/>
      <c r="AJ153" s="264"/>
      <c r="AK153" s="264"/>
      <c r="AL153" s="264"/>
      <c r="AM153" s="264"/>
      <c r="AN153" s="264"/>
      <c r="AO153" s="264"/>
      <c r="AP153" s="264"/>
      <c r="AQ153" s="264"/>
      <c r="AR153" s="264"/>
      <c r="AS153" s="264"/>
      <c r="AT153" s="264"/>
      <c r="AU153" s="264"/>
      <c r="AV153" s="264"/>
      <c r="AW153" s="264"/>
      <c r="AX153" s="264"/>
      <c r="AY153" s="264"/>
      <c r="AZ153" s="264"/>
      <c r="BA153" s="264"/>
      <c r="BB153" s="264"/>
      <c r="BC153" s="264"/>
      <c r="BD153" s="264"/>
      <c r="BE153" s="264"/>
      <c r="BF153" s="263">
        <f t="shared" ref="BF153:BR153" si="216">BF140-BF72</f>
        <v>-3568.8590000000004</v>
      </c>
      <c r="BG153" s="263">
        <f t="shared" si="216"/>
        <v>-4060.1550000000002</v>
      </c>
      <c r="BH153" s="263">
        <f t="shared" si="216"/>
        <v>-3883.4929999999999</v>
      </c>
      <c r="BI153" s="263">
        <f t="shared" si="216"/>
        <v>-4086.3200000000006</v>
      </c>
      <c r="BJ153" s="263">
        <f t="shared" si="216"/>
        <v>-4184.482</v>
      </c>
      <c r="BK153" s="263">
        <f t="shared" si="216"/>
        <v>-4396.2510000000002</v>
      </c>
      <c r="BL153" s="263">
        <f t="shared" si="216"/>
        <v>-4303.9989999999998</v>
      </c>
      <c r="BM153" s="263">
        <f t="shared" si="216"/>
        <v>-4530.1820000000007</v>
      </c>
      <c r="BN153" s="263">
        <f t="shared" si="216"/>
        <v>-4637.1000000000004</v>
      </c>
      <c r="BO153" s="263">
        <f t="shared" si="216"/>
        <v>-4739.7150000000011</v>
      </c>
      <c r="BP153" s="263">
        <f t="shared" si="216"/>
        <v>-4623.4339999999993</v>
      </c>
      <c r="BQ153" s="263">
        <f t="shared" si="216"/>
        <v>-4745.9240000000009</v>
      </c>
      <c r="BR153" s="263">
        <f t="shared" si="216"/>
        <v>-4975.4879999999994</v>
      </c>
      <c r="BS153" s="263">
        <f>BS140-BS72</f>
        <v>-5148.8310000000001</v>
      </c>
      <c r="BT153" s="263">
        <f>BT140-BT72</f>
        <v>-5034.4359999999997</v>
      </c>
      <c r="BU153" s="782"/>
      <c r="BV153" s="782"/>
      <c r="BW153" s="782"/>
      <c r="BX153" s="782"/>
      <c r="BY153" s="161"/>
      <c r="BZ153" s="161"/>
      <c r="CA153" s="161"/>
      <c r="CB153" s="161"/>
      <c r="CC153" s="161"/>
      <c r="CD153" s="161"/>
      <c r="CE153" s="161"/>
      <c r="CF153" s="161"/>
      <c r="CG153" s="161"/>
      <c r="CH153" s="161"/>
      <c r="CI153" s="161"/>
      <c r="CJ153" s="161"/>
      <c r="CK153" s="161"/>
      <c r="CL153" s="161"/>
      <c r="CM153" s="161"/>
      <c r="CN153" s="161"/>
      <c r="CO153" s="161"/>
      <c r="CP153" s="161"/>
      <c r="CQ153" s="161"/>
      <c r="CR153" s="161"/>
      <c r="CS153" s="161"/>
      <c r="CT153" s="161"/>
      <c r="CU153" s="161"/>
      <c r="CV153" s="161"/>
      <c r="CW153" s="161"/>
      <c r="CX153" s="161"/>
      <c r="CY153" s="161"/>
      <c r="CZ153" s="161"/>
      <c r="DA153" s="161"/>
      <c r="DB153" s="161"/>
      <c r="DC153" s="161"/>
      <c r="DD153" s="161"/>
      <c r="DE153" s="161"/>
      <c r="DF153" s="161"/>
      <c r="DG153" s="161"/>
      <c r="DH153" s="161"/>
      <c r="DI153" s="161"/>
      <c r="DJ153" s="161"/>
      <c r="DK153" s="177"/>
      <c r="DL153" s="177"/>
      <c r="DM153" s="177"/>
      <c r="DN153" s="177"/>
      <c r="DO153" s="467" t="e">
        <f t="shared" ref="DO153:EA153" si="217">BH153/BD153-1</f>
        <v>#DIV/0!</v>
      </c>
      <c r="DP153" s="467" t="e">
        <f t="shared" si="217"/>
        <v>#DIV/0!</v>
      </c>
      <c r="DQ153" s="467">
        <f t="shared" si="217"/>
        <v>0.17249854925621877</v>
      </c>
      <c r="DR153" s="467">
        <f t="shared" si="217"/>
        <v>8.277910572379632E-2</v>
      </c>
      <c r="DS153" s="467">
        <f t="shared" si="217"/>
        <v>0.10828035482489606</v>
      </c>
      <c r="DT153" s="467">
        <f t="shared" si="217"/>
        <v>0.10862144912782168</v>
      </c>
      <c r="DU153" s="467">
        <f t="shared" si="217"/>
        <v>0.10816583749195252</v>
      </c>
      <c r="DV153" s="467">
        <f t="shared" si="217"/>
        <v>7.812656738662116E-2</v>
      </c>
      <c r="DW153" s="467">
        <f t="shared" si="217"/>
        <v>7.4218186388983698E-2</v>
      </c>
      <c r="DX153" s="467">
        <f t="shared" si="217"/>
        <v>4.7623252222537715E-2</v>
      </c>
      <c r="DY153" s="467">
        <f t="shared" si="217"/>
        <v>7.2974057061525377E-2</v>
      </c>
      <c r="DZ153" s="467">
        <f t="shared" si="217"/>
        <v>8.6316582326152247E-2</v>
      </c>
      <c r="EA153" s="467">
        <f t="shared" si="217"/>
        <v>8.8895396798137627E-2</v>
      </c>
      <c r="EB153" s="809"/>
      <c r="EC153" s="809"/>
      <c r="ED153" s="809"/>
      <c r="EF153" s="161"/>
      <c r="EH153" s="161"/>
      <c r="EM153" s="161"/>
      <c r="EN153" s="161"/>
      <c r="EO153" s="161"/>
      <c r="EP153" s="161"/>
      <c r="FL153" s="264"/>
      <c r="FM153" s="264"/>
      <c r="FN153" s="264"/>
      <c r="FO153" s="432"/>
      <c r="FP153" s="161"/>
      <c r="FQ153" s="161"/>
      <c r="FR153" s="430"/>
      <c r="FS153" s="641"/>
      <c r="FT153" s="639"/>
      <c r="FU153" s="668"/>
      <c r="FV153" s="667"/>
      <c r="FW153" s="668"/>
      <c r="FX153" s="667"/>
      <c r="FY153" s="749"/>
      <c r="FZ153" s="747"/>
      <c r="GA153" s="782"/>
      <c r="GB153" s="782"/>
      <c r="GC153" s="808"/>
      <c r="GD153" s="782"/>
      <c r="GE153" s="808"/>
    </row>
    <row r="154" spans="1:187">
      <c r="A154" s="161"/>
      <c r="B154" s="267"/>
      <c r="C154" s="161"/>
      <c r="D154" s="161"/>
      <c r="E154" s="161"/>
      <c r="F154" s="161"/>
      <c r="G154" s="161"/>
      <c r="H154" s="161"/>
      <c r="I154" s="265"/>
      <c r="J154" s="265"/>
      <c r="K154" s="265"/>
      <c r="L154" s="265"/>
      <c r="M154" s="265"/>
      <c r="N154" s="265"/>
      <c r="O154" s="265"/>
      <c r="P154" s="265"/>
      <c r="Q154" s="265"/>
      <c r="R154" s="265"/>
      <c r="S154" s="265"/>
      <c r="T154" s="265"/>
      <c r="U154" s="265"/>
      <c r="V154" s="265"/>
      <c r="W154" s="265"/>
      <c r="X154" s="265"/>
      <c r="Y154" s="265"/>
      <c r="Z154" s="265"/>
      <c r="AA154" s="265"/>
      <c r="AB154" s="161"/>
      <c r="AC154" s="161"/>
      <c r="AD154" s="264"/>
      <c r="AE154" s="264"/>
      <c r="AF154" s="264"/>
      <c r="AG154" s="264"/>
      <c r="AH154" s="264"/>
      <c r="AI154" s="264"/>
      <c r="AJ154" s="264"/>
      <c r="AK154" s="264"/>
      <c r="AL154" s="264"/>
      <c r="AM154" s="264"/>
      <c r="AN154" s="264"/>
      <c r="AO154" s="264"/>
      <c r="AP154" s="264"/>
      <c r="AQ154" s="264"/>
      <c r="AR154" s="264"/>
      <c r="AS154" s="264"/>
      <c r="AT154" s="264"/>
      <c r="AU154" s="264"/>
      <c r="AV154" s="264"/>
      <c r="AW154" s="264"/>
      <c r="AX154" s="264"/>
      <c r="AY154" s="264"/>
      <c r="AZ154" s="264"/>
      <c r="BA154" s="264"/>
      <c r="BB154" s="264"/>
      <c r="BC154" s="264"/>
      <c r="BD154" s="264"/>
      <c r="BE154" s="264"/>
      <c r="BF154" s="264"/>
      <c r="BG154" s="264"/>
      <c r="BH154" s="264"/>
      <c r="BI154" s="264"/>
      <c r="BJ154" s="264"/>
      <c r="BK154" s="264"/>
      <c r="BL154" s="264"/>
      <c r="BM154" s="264"/>
      <c r="BN154" s="264"/>
      <c r="BO154" s="263">
        <f>3515-BO72</f>
        <v>-4989.6560000000009</v>
      </c>
      <c r="BP154" s="264"/>
      <c r="BQ154" s="264"/>
      <c r="BR154" s="264"/>
      <c r="BS154" s="264"/>
      <c r="BT154" s="264"/>
      <c r="BU154" s="782"/>
      <c r="BV154" s="782"/>
      <c r="BW154" s="782"/>
      <c r="BX154" s="782"/>
      <c r="BY154" s="161"/>
      <c r="BZ154" s="161"/>
      <c r="CA154" s="161"/>
      <c r="CB154" s="161"/>
      <c r="CC154" s="161"/>
      <c r="CD154" s="161"/>
      <c r="CE154" s="161"/>
      <c r="CF154" s="161"/>
      <c r="CG154" s="161"/>
      <c r="CH154" s="161"/>
      <c r="CI154" s="161"/>
      <c r="CJ154" s="161"/>
      <c r="CK154" s="161"/>
      <c r="CL154" s="161"/>
      <c r="CM154" s="161"/>
      <c r="CN154" s="161"/>
      <c r="CO154" s="161"/>
      <c r="CP154" s="161"/>
      <c r="CQ154" s="161"/>
      <c r="CR154" s="161"/>
      <c r="CS154" s="161"/>
      <c r="CT154" s="161"/>
      <c r="CU154" s="161"/>
      <c r="CV154" s="161"/>
      <c r="CW154" s="161"/>
      <c r="CX154" s="161"/>
      <c r="CY154" s="161"/>
      <c r="CZ154" s="161"/>
      <c r="DA154" s="161"/>
      <c r="DB154" s="161"/>
      <c r="DC154" s="161"/>
      <c r="DD154" s="161"/>
      <c r="DE154" s="161"/>
      <c r="DF154" s="161"/>
      <c r="DG154" s="161"/>
      <c r="DH154" s="161"/>
      <c r="DI154" s="161"/>
      <c r="DJ154" s="161"/>
      <c r="DK154" s="177"/>
      <c r="DL154" s="177"/>
      <c r="DM154" s="177"/>
      <c r="DN154" s="177"/>
      <c r="DO154" s="177"/>
      <c r="DP154" s="177"/>
      <c r="DQ154" s="177"/>
      <c r="DR154" s="177"/>
      <c r="DS154" s="177"/>
      <c r="DT154" s="177"/>
      <c r="DU154" s="177"/>
      <c r="DV154" s="177"/>
      <c r="DW154" s="177"/>
      <c r="DX154" s="177"/>
      <c r="DY154" s="177"/>
      <c r="DZ154" s="467">
        <f>BS153/BO154-1</f>
        <v>3.1900996782142643E-2</v>
      </c>
      <c r="EA154" s="467" t="e">
        <f>BT153/BP154-1</f>
        <v>#DIV/0!</v>
      </c>
      <c r="EB154" s="809"/>
      <c r="EC154" s="809"/>
      <c r="ED154" s="809"/>
      <c r="EF154" s="161"/>
      <c r="EH154" s="161"/>
      <c r="EM154" s="161"/>
      <c r="EN154" s="161"/>
      <c r="EO154" s="161"/>
      <c r="EP154" s="161"/>
      <c r="FL154" s="264"/>
      <c r="FM154" s="264"/>
      <c r="FN154" s="264"/>
      <c r="FO154" s="432"/>
      <c r="FP154" s="161"/>
      <c r="FQ154" s="161"/>
      <c r="FR154" s="430"/>
      <c r="FS154" s="641"/>
      <c r="FT154" s="639"/>
      <c r="FU154" s="668"/>
      <c r="FV154" s="667"/>
      <c r="FW154" s="668"/>
      <c r="FX154" s="667"/>
      <c r="FY154" s="749"/>
      <c r="FZ154" s="747"/>
      <c r="GA154" s="782"/>
      <c r="GB154" s="782"/>
      <c r="GC154" s="808"/>
      <c r="GD154" s="782"/>
      <c r="GE154" s="808"/>
    </row>
    <row r="155" spans="1:187">
      <c r="A155" s="161"/>
      <c r="B155" s="267"/>
      <c r="C155" s="161"/>
      <c r="D155" s="161"/>
      <c r="E155" s="161"/>
      <c r="F155" s="161"/>
      <c r="G155" s="161"/>
      <c r="H155" s="161"/>
      <c r="I155" s="265"/>
      <c r="J155" s="265"/>
      <c r="K155" s="265"/>
      <c r="L155" s="265"/>
      <c r="M155" s="265"/>
      <c r="N155" s="265"/>
      <c r="O155" s="265"/>
      <c r="P155" s="265"/>
      <c r="Q155" s="265"/>
      <c r="R155" s="265"/>
      <c r="S155" s="265"/>
      <c r="T155" s="265"/>
      <c r="U155" s="265"/>
      <c r="V155" s="265"/>
      <c r="W155" s="265"/>
      <c r="X155" s="265"/>
      <c r="Y155" s="265"/>
      <c r="Z155" s="265"/>
      <c r="AA155" s="265"/>
      <c r="AB155" s="161"/>
      <c r="AC155" s="161"/>
      <c r="AD155" s="264"/>
      <c r="AE155" s="264"/>
      <c r="AF155" s="264"/>
      <c r="AG155" s="264"/>
      <c r="AH155" s="264"/>
      <c r="AI155" s="264"/>
      <c r="AJ155" s="264"/>
      <c r="AK155" s="264"/>
      <c r="AL155" s="264"/>
      <c r="AM155" s="264"/>
      <c r="AN155" s="264"/>
      <c r="AO155" s="264"/>
      <c r="AP155" s="264"/>
      <c r="AQ155" s="264"/>
      <c r="AR155" s="264"/>
      <c r="AS155" s="264"/>
      <c r="AT155" s="264"/>
      <c r="AU155" s="264"/>
      <c r="AV155" s="264"/>
      <c r="AW155" s="264"/>
      <c r="AX155" s="264"/>
      <c r="AY155" s="264"/>
      <c r="AZ155" s="264"/>
      <c r="BA155" s="264"/>
      <c r="BB155" s="264"/>
      <c r="BC155" s="264"/>
      <c r="BD155" s="264"/>
      <c r="BE155" s="264"/>
      <c r="BF155" s="264"/>
      <c r="BG155" s="264"/>
      <c r="BH155" s="264"/>
      <c r="BI155" s="264"/>
      <c r="BJ155" s="264"/>
      <c r="BK155" s="264"/>
      <c r="BL155" s="264"/>
      <c r="BM155" s="264"/>
      <c r="BN155" s="264"/>
      <c r="BO155" s="264"/>
      <c r="BP155" s="263"/>
      <c r="BQ155" s="263"/>
      <c r="BR155" s="263"/>
      <c r="BS155" s="263"/>
      <c r="BT155" s="263"/>
      <c r="BU155" s="782"/>
      <c r="BV155" s="782"/>
      <c r="BW155" s="782"/>
      <c r="BX155" s="782"/>
      <c r="BY155" s="161"/>
      <c r="BZ155" s="161"/>
      <c r="CA155" s="161"/>
      <c r="CB155" s="161"/>
      <c r="CC155" s="161"/>
      <c r="CD155" s="161"/>
      <c r="CE155" s="161"/>
      <c r="CF155" s="161"/>
      <c r="CG155" s="161"/>
      <c r="CH155" s="161"/>
      <c r="CI155" s="161"/>
      <c r="CJ155" s="161"/>
      <c r="CK155" s="161"/>
      <c r="CL155" s="161"/>
      <c r="CM155" s="161"/>
      <c r="CN155" s="161"/>
      <c r="CO155" s="161"/>
      <c r="CP155" s="161"/>
      <c r="CQ155" s="161"/>
      <c r="CR155" s="161"/>
      <c r="CS155" s="161"/>
      <c r="CT155" s="161"/>
      <c r="CU155" s="161"/>
      <c r="CV155" s="161"/>
      <c r="CW155" s="161"/>
      <c r="CX155" s="161"/>
      <c r="CY155" s="161"/>
      <c r="CZ155" s="161"/>
      <c r="DA155" s="161"/>
      <c r="DB155" s="161"/>
      <c r="DC155" s="161"/>
      <c r="DD155" s="161"/>
      <c r="DE155" s="161"/>
      <c r="DF155" s="161"/>
      <c r="DG155" s="161"/>
      <c r="DH155" s="161"/>
      <c r="DI155" s="161"/>
      <c r="DJ155" s="161"/>
      <c r="DK155" s="177"/>
      <c r="DL155" s="177"/>
      <c r="DM155" s="177"/>
      <c r="DN155" s="177"/>
      <c r="DO155" s="177"/>
      <c r="DP155" s="177"/>
      <c r="DQ155" s="177"/>
      <c r="DR155" s="177"/>
      <c r="DS155" s="177"/>
      <c r="DT155" s="177"/>
      <c r="DU155" s="177"/>
      <c r="DV155" s="177"/>
      <c r="DW155" s="177"/>
      <c r="DX155" s="177"/>
      <c r="DY155" s="177"/>
      <c r="DZ155" s="177"/>
      <c r="EA155" s="177"/>
      <c r="EB155" s="808"/>
      <c r="EC155" s="808"/>
      <c r="ED155" s="808"/>
      <c r="EF155" s="161"/>
      <c r="EH155" s="161"/>
      <c r="EM155" s="161"/>
      <c r="EN155" s="161"/>
      <c r="EO155" s="161"/>
      <c r="EP155" s="161"/>
      <c r="FL155" s="264"/>
      <c r="FM155" s="264"/>
      <c r="FN155" s="264"/>
      <c r="FO155" s="432"/>
      <c r="FP155" s="161"/>
      <c r="FQ155" s="161"/>
      <c r="FR155" s="430"/>
      <c r="FS155" s="641"/>
      <c r="FT155" s="639"/>
      <c r="FU155" s="668"/>
      <c r="FV155" s="667"/>
      <c r="FW155" s="668"/>
      <c r="FX155" s="667"/>
      <c r="FY155" s="749"/>
      <c r="FZ155" s="747"/>
      <c r="GA155" s="782"/>
      <c r="GB155" s="782"/>
      <c r="GC155" s="808"/>
      <c r="GD155" s="782"/>
      <c r="GE155" s="808"/>
    </row>
    <row r="156" spans="1:187">
      <c r="A156" s="161"/>
      <c r="B156" s="267" t="s">
        <v>492</v>
      </c>
      <c r="C156" s="161"/>
      <c r="D156" s="161"/>
      <c r="E156" s="161"/>
      <c r="F156" s="161"/>
      <c r="G156" s="161"/>
      <c r="H156" s="161"/>
      <c r="I156" s="161"/>
      <c r="J156" s="161"/>
      <c r="K156" s="161"/>
      <c r="L156" s="161">
        <v>462</v>
      </c>
      <c r="M156" s="161">
        <v>521</v>
      </c>
      <c r="N156" s="161">
        <v>419</v>
      </c>
      <c r="O156" s="161">
        <v>572</v>
      </c>
      <c r="P156" s="263">
        <v>406</v>
      </c>
      <c r="Q156" s="161">
        <v>459</v>
      </c>
      <c r="R156" s="161">
        <v>599</v>
      </c>
      <c r="S156" s="161">
        <v>521</v>
      </c>
      <c r="T156" s="161">
        <v>415</v>
      </c>
      <c r="U156" s="161">
        <v>513</v>
      </c>
      <c r="V156" s="161">
        <v>454</v>
      </c>
      <c r="W156" s="161">
        <v>618</v>
      </c>
      <c r="X156" s="161">
        <v>389</v>
      </c>
      <c r="Y156" s="161">
        <v>693</v>
      </c>
      <c r="Z156" s="161">
        <v>675</v>
      </c>
      <c r="AA156" s="161">
        <v>579</v>
      </c>
      <c r="AB156" s="263">
        <v>761</v>
      </c>
      <c r="AC156" s="263">
        <v>1040</v>
      </c>
      <c r="AD156" s="263">
        <v>1090</v>
      </c>
      <c r="AE156" s="263">
        <v>874</v>
      </c>
      <c r="AF156" s="263">
        <v>806</v>
      </c>
      <c r="AG156" s="263">
        <v>1063</v>
      </c>
      <c r="AH156" s="263">
        <v>1353</v>
      </c>
      <c r="AI156" s="263">
        <v>1652</v>
      </c>
      <c r="AJ156" s="263">
        <v>849</v>
      </c>
      <c r="AK156" s="263">
        <v>811</v>
      </c>
      <c r="AL156" s="263">
        <v>1253</v>
      </c>
      <c r="AM156" s="263">
        <v>1779</v>
      </c>
      <c r="AN156" s="263">
        <v>1219</v>
      </c>
      <c r="AO156" s="263">
        <f>(AO73+99)*0.256</f>
        <v>1262.628608</v>
      </c>
      <c r="AP156" s="263"/>
      <c r="AQ156" s="263"/>
      <c r="AR156" s="263"/>
      <c r="AS156" s="263"/>
      <c r="AT156" s="263"/>
      <c r="AU156" s="263"/>
      <c r="AV156" s="263"/>
      <c r="AW156" s="263"/>
      <c r="AX156" s="286"/>
      <c r="AY156" s="272"/>
      <c r="AZ156" s="272"/>
      <c r="BA156" s="263"/>
      <c r="BB156" s="263"/>
      <c r="BC156" s="263"/>
      <c r="BD156" s="263"/>
      <c r="BE156" s="263"/>
      <c r="BF156" s="263"/>
      <c r="BG156" s="263"/>
      <c r="BH156" s="263"/>
      <c r="BI156" s="263"/>
      <c r="BJ156" s="263"/>
      <c r="BK156" s="263"/>
      <c r="BL156" s="263"/>
      <c r="BM156" s="263"/>
      <c r="BN156" s="263"/>
      <c r="BO156" s="263"/>
      <c r="BP156" s="263"/>
      <c r="BQ156" s="263"/>
      <c r="BR156" s="263"/>
      <c r="BS156" s="263"/>
      <c r="BT156" s="263"/>
      <c r="BU156" s="784"/>
      <c r="BV156" s="784"/>
      <c r="BW156" s="784"/>
      <c r="BX156" s="784"/>
      <c r="BY156" s="161"/>
      <c r="BZ156" s="161"/>
      <c r="CA156" s="264">
        <f t="shared" ref="CA156:CH156" si="218">T156/P156-1</f>
        <v>2.2167487684729092E-2</v>
      </c>
      <c r="CB156" s="264">
        <f t="shared" si="218"/>
        <v>0.11764705882352944</v>
      </c>
      <c r="CC156" s="264">
        <f t="shared" si="218"/>
        <v>-0.24207011686143576</v>
      </c>
      <c r="CD156" s="264">
        <f t="shared" si="218"/>
        <v>0.1861804222648753</v>
      </c>
      <c r="CE156" s="264">
        <f t="shared" si="218"/>
        <v>-6.26506024096386E-2</v>
      </c>
      <c r="CF156" s="264">
        <f t="shared" si="218"/>
        <v>0.35087719298245612</v>
      </c>
      <c r="CG156" s="264">
        <f t="shared" si="218"/>
        <v>0.48678414096916289</v>
      </c>
      <c r="CH156" s="264">
        <f t="shared" si="218"/>
        <v>-6.3106796116504826E-2</v>
      </c>
      <c r="CI156" s="161"/>
      <c r="CJ156" s="161"/>
      <c r="CK156" s="161"/>
      <c r="CL156" s="161"/>
      <c r="CM156" s="161"/>
      <c r="CN156" s="161"/>
      <c r="CO156" s="161"/>
      <c r="CP156" s="161"/>
      <c r="CQ156" s="161"/>
      <c r="CR156" s="161"/>
      <c r="CS156" s="161"/>
      <c r="CT156" s="161"/>
      <c r="CU156" s="161"/>
      <c r="CV156" s="161"/>
      <c r="CW156" s="161"/>
      <c r="CX156" s="161"/>
      <c r="CY156" s="161"/>
      <c r="CZ156" s="161"/>
      <c r="DA156" s="161"/>
      <c r="DB156" s="161"/>
      <c r="DC156" s="161"/>
      <c r="DD156" s="161"/>
      <c r="DE156" s="161"/>
      <c r="DF156" s="161"/>
      <c r="DG156" s="161"/>
      <c r="DH156" s="161"/>
      <c r="DI156" s="161"/>
      <c r="DJ156" s="161"/>
      <c r="DK156" s="177"/>
      <c r="DL156" s="177"/>
      <c r="DM156" s="177"/>
      <c r="DN156" s="177"/>
      <c r="DO156" s="177"/>
      <c r="DP156" s="177"/>
      <c r="DQ156" s="177"/>
      <c r="DR156" s="177"/>
      <c r="DS156" s="177"/>
      <c r="DT156" s="177"/>
      <c r="DU156" s="177"/>
      <c r="DV156" s="177"/>
      <c r="DW156" s="177"/>
      <c r="DX156" s="177"/>
      <c r="DY156" s="177"/>
      <c r="DZ156" s="177"/>
      <c r="EA156" s="177"/>
      <c r="EB156" s="808"/>
      <c r="EC156" s="808"/>
      <c r="ED156" s="808"/>
      <c r="EF156" s="161"/>
      <c r="EH156" s="161"/>
      <c r="EM156" s="161"/>
      <c r="EN156" s="161"/>
      <c r="EO156" s="161"/>
      <c r="EP156" s="161"/>
      <c r="FL156" s="263"/>
      <c r="FM156" s="263"/>
      <c r="FN156" s="263"/>
      <c r="FO156" s="433"/>
      <c r="FP156" s="161"/>
      <c r="FQ156" s="161"/>
      <c r="FR156" s="430"/>
      <c r="FS156" s="643"/>
      <c r="FT156" s="639"/>
      <c r="FU156" s="670"/>
      <c r="FV156" s="667"/>
      <c r="FW156" s="670"/>
      <c r="FX156" s="667"/>
      <c r="FY156" s="751"/>
      <c r="FZ156" s="747"/>
      <c r="GA156" s="784"/>
      <c r="GB156" s="784"/>
      <c r="GC156" s="808"/>
      <c r="GD156" s="784"/>
      <c r="GE156" s="808"/>
    </row>
    <row r="157" spans="1:187">
      <c r="A157" s="161"/>
      <c r="B157" s="267" t="s">
        <v>148</v>
      </c>
      <c r="C157" s="161"/>
      <c r="D157" s="161"/>
      <c r="E157" s="161"/>
      <c r="F157" s="161"/>
      <c r="G157" s="161"/>
      <c r="H157" s="161"/>
      <c r="I157" s="161"/>
      <c r="J157" s="161"/>
      <c r="K157" s="161"/>
      <c r="L157" s="264">
        <v>0.22602739726027396</v>
      </c>
      <c r="M157" s="264">
        <v>0.25933300149328026</v>
      </c>
      <c r="N157" s="264">
        <v>0.20559371933267909</v>
      </c>
      <c r="O157" s="264">
        <v>0.26493747105141269</v>
      </c>
      <c r="P157" s="264">
        <v>0.18044444444444444</v>
      </c>
      <c r="Q157" s="264">
        <v>0.20949338201734369</v>
      </c>
      <c r="R157" s="264">
        <v>0.26539654408506869</v>
      </c>
      <c r="S157" s="264">
        <v>0.22860903905221588</v>
      </c>
      <c r="T157" s="264">
        <v>0.17284464806330696</v>
      </c>
      <c r="U157" s="264">
        <v>0.20990180032733224</v>
      </c>
      <c r="V157" s="264">
        <v>0.18343434343434342</v>
      </c>
      <c r="W157" s="264">
        <v>0.22489082969432314</v>
      </c>
      <c r="X157" s="264">
        <v>0.14428783382789317</v>
      </c>
      <c r="Y157" s="264">
        <v>0.24829810103905411</v>
      </c>
      <c r="Z157" s="264">
        <f t="shared" ref="Z157:AO157" si="219">Z156/Z73</f>
        <v>0.234375</v>
      </c>
      <c r="AA157" s="264">
        <f t="shared" si="219"/>
        <v>0.18626628744266038</v>
      </c>
      <c r="AB157" s="264">
        <f t="shared" si="219"/>
        <v>0.22792620103031028</v>
      </c>
      <c r="AC157" s="264">
        <f t="shared" si="219"/>
        <v>0.28047464940668826</v>
      </c>
      <c r="AD157" s="264">
        <f t="shared" si="219"/>
        <v>0.30421434552051352</v>
      </c>
      <c r="AE157" s="264">
        <f t="shared" si="219"/>
        <v>0.2225332482241261</v>
      </c>
      <c r="AF157" s="264">
        <f t="shared" si="219"/>
        <v>0.19855816226783968</v>
      </c>
      <c r="AG157" s="264">
        <f t="shared" si="219"/>
        <v>0.25173669904273743</v>
      </c>
      <c r="AH157" s="264">
        <f t="shared" si="219"/>
        <v>0.32065410593672233</v>
      </c>
      <c r="AI157" s="264">
        <f t="shared" si="219"/>
        <v>0.37075680395964672</v>
      </c>
      <c r="AJ157" s="264">
        <f t="shared" si="219"/>
        <v>0.19790449674448266</v>
      </c>
      <c r="AK157" s="264">
        <f t="shared" si="219"/>
        <v>0.19637564651415065</v>
      </c>
      <c r="AL157" s="264">
        <f t="shared" si="219"/>
        <v>0.29292455123865241</v>
      </c>
      <c r="AM157" s="264">
        <f t="shared" si="219"/>
        <v>0.39397639109210303</v>
      </c>
      <c r="AN157" s="265">
        <f t="shared" si="219"/>
        <v>0.25963791267305647</v>
      </c>
      <c r="AO157" s="265">
        <f t="shared" si="219"/>
        <v>0.2612437927038368</v>
      </c>
      <c r="AP157" s="264"/>
      <c r="AQ157" s="264"/>
      <c r="AR157" s="264"/>
      <c r="AS157" s="264"/>
      <c r="AT157" s="264"/>
      <c r="AU157" s="264"/>
      <c r="AV157" s="264"/>
      <c r="AW157" s="264"/>
      <c r="AX157" s="286"/>
      <c r="AY157" s="272"/>
      <c r="AZ157" s="272"/>
      <c r="BA157" s="264"/>
      <c r="BB157" s="264"/>
      <c r="BC157" s="264"/>
      <c r="BD157" s="264"/>
      <c r="BE157" s="264"/>
      <c r="BF157" s="264"/>
      <c r="BG157" s="264"/>
      <c r="BH157" s="264"/>
      <c r="BI157" s="264"/>
      <c r="BJ157" s="264"/>
      <c r="BK157" s="266"/>
      <c r="BL157" s="264"/>
      <c r="BM157" s="264"/>
      <c r="BN157" s="264"/>
      <c r="BO157" s="264"/>
      <c r="BP157" s="264"/>
      <c r="BQ157" s="264"/>
      <c r="BR157" s="264"/>
      <c r="BS157" s="264"/>
      <c r="BT157" s="264"/>
      <c r="BU157" s="782"/>
      <c r="BV157" s="782"/>
      <c r="BW157" s="782"/>
      <c r="BX157" s="782"/>
      <c r="BY157" s="161"/>
      <c r="BZ157" s="161"/>
      <c r="CA157" s="161"/>
      <c r="CB157" s="161"/>
      <c r="CC157" s="161"/>
      <c r="CD157" s="161"/>
      <c r="CE157" s="161"/>
      <c r="CF157" s="161"/>
      <c r="CG157" s="161"/>
      <c r="CH157" s="161"/>
      <c r="CI157" s="161"/>
      <c r="CJ157" s="161"/>
      <c r="CK157" s="161"/>
      <c r="CL157" s="161"/>
      <c r="CM157" s="161"/>
      <c r="CN157" s="161"/>
      <c r="CO157" s="161"/>
      <c r="CP157" s="161"/>
      <c r="CQ157" s="161"/>
      <c r="CR157" s="161"/>
      <c r="CS157" s="161"/>
      <c r="CT157" s="161"/>
      <c r="CU157" s="161"/>
      <c r="CV157" s="161"/>
      <c r="CW157" s="161"/>
      <c r="CX157" s="161"/>
      <c r="CY157" s="161"/>
      <c r="CZ157" s="161"/>
      <c r="DA157" s="161"/>
      <c r="DB157" s="161"/>
      <c r="DC157" s="161"/>
      <c r="DD157" s="161"/>
      <c r="DE157" s="161"/>
      <c r="DF157" s="161"/>
      <c r="DG157" s="161"/>
      <c r="DH157" s="161"/>
      <c r="DI157" s="161"/>
      <c r="DJ157" s="161"/>
      <c r="DK157" s="177"/>
      <c r="DL157" s="177"/>
      <c r="DM157" s="177"/>
      <c r="DN157" s="177"/>
      <c r="DO157" s="177"/>
      <c r="DP157" s="177"/>
      <c r="DQ157" s="177"/>
      <c r="DR157" s="177"/>
      <c r="DS157" s="177"/>
      <c r="DT157" s="177"/>
      <c r="DU157" s="177"/>
      <c r="DV157" s="177"/>
      <c r="DW157" s="177"/>
      <c r="DX157" s="177"/>
      <c r="DY157" s="177"/>
      <c r="DZ157" s="177"/>
      <c r="EA157" s="177"/>
      <c r="EB157" s="808"/>
      <c r="EC157" s="808"/>
      <c r="ED157" s="808"/>
      <c r="EF157" s="161"/>
      <c r="EH157" s="161"/>
      <c r="EM157" s="161"/>
      <c r="EN157" s="161"/>
      <c r="EO157" s="161"/>
      <c r="EP157" s="161"/>
      <c r="FL157" s="264"/>
      <c r="FM157" s="264"/>
      <c r="FN157" s="264"/>
      <c r="FO157" s="432"/>
      <c r="FP157" s="161"/>
      <c r="FQ157" s="161"/>
      <c r="FR157" s="430"/>
      <c r="FS157" s="641"/>
      <c r="FT157" s="639"/>
      <c r="FU157" s="668"/>
      <c r="FV157" s="667"/>
      <c r="FW157" s="668"/>
      <c r="FX157" s="667"/>
      <c r="FY157" s="749"/>
      <c r="FZ157" s="747"/>
      <c r="GA157" s="782"/>
      <c r="GB157" s="782"/>
      <c r="GC157" s="808"/>
      <c r="GD157" s="782"/>
      <c r="GE157" s="808"/>
    </row>
    <row r="158" spans="1:187">
      <c r="A158" s="161"/>
      <c r="B158" s="267"/>
      <c r="C158" s="161"/>
      <c r="D158" s="161"/>
      <c r="E158" s="161"/>
      <c r="F158" s="161"/>
      <c r="G158" s="161"/>
      <c r="H158" s="161"/>
      <c r="I158" s="161"/>
      <c r="J158" s="161"/>
      <c r="K158" s="161"/>
      <c r="L158" s="264"/>
      <c r="M158" s="264"/>
      <c r="N158" s="264"/>
      <c r="O158" s="264"/>
      <c r="P158" s="264"/>
      <c r="Q158" s="264"/>
      <c r="R158" s="264"/>
      <c r="S158" s="264"/>
      <c r="T158" s="264"/>
      <c r="U158" s="264"/>
      <c r="V158" s="264"/>
      <c r="W158" s="264"/>
      <c r="X158" s="264"/>
      <c r="Y158" s="264"/>
      <c r="Z158" s="264"/>
      <c r="AA158" s="264"/>
      <c r="AB158" s="264"/>
      <c r="AC158" s="264"/>
      <c r="AD158" s="264"/>
      <c r="AE158" s="264"/>
      <c r="AF158" s="264"/>
      <c r="AG158" s="264"/>
      <c r="AH158" s="264"/>
      <c r="AI158" s="264"/>
      <c r="AJ158" s="264"/>
      <c r="AK158" s="264"/>
      <c r="AL158" s="264"/>
      <c r="AM158" s="264"/>
      <c r="AN158" s="264"/>
      <c r="AO158" s="264"/>
      <c r="AP158" s="264"/>
      <c r="AQ158" s="264"/>
      <c r="AR158" s="264"/>
      <c r="AS158" s="264"/>
      <c r="AT158" s="264"/>
      <c r="AU158" s="264"/>
      <c r="AV158" s="264"/>
      <c r="AW158" s="264"/>
      <c r="AX158" s="286"/>
      <c r="AY158" s="272"/>
      <c r="AZ158" s="264"/>
      <c r="BA158" s="264"/>
      <c r="BB158" s="264"/>
      <c r="BC158" s="264"/>
      <c r="BD158" s="264"/>
      <c r="BE158" s="264"/>
      <c r="BF158" s="264"/>
      <c r="BG158" s="264"/>
      <c r="BH158" s="264"/>
      <c r="BI158" s="264"/>
      <c r="BJ158" s="264"/>
      <c r="BL158" s="264"/>
      <c r="BM158" s="264"/>
      <c r="BN158" s="264"/>
      <c r="BO158" s="264"/>
      <c r="BP158" s="264"/>
      <c r="BQ158" s="264"/>
      <c r="BR158" s="264"/>
      <c r="BS158" s="264"/>
      <c r="BT158" s="264"/>
      <c r="BU158" s="782"/>
      <c r="BV158" s="782"/>
      <c r="BW158" s="782"/>
      <c r="BX158" s="782"/>
      <c r="BY158" s="161"/>
      <c r="BZ158" s="161"/>
      <c r="CA158" s="161"/>
      <c r="CB158" s="161"/>
      <c r="CC158" s="161"/>
      <c r="CD158" s="161"/>
      <c r="CE158" s="161"/>
      <c r="CF158" s="161"/>
      <c r="CG158" s="161"/>
      <c r="CH158" s="161"/>
      <c r="CI158" s="161"/>
      <c r="CJ158" s="161"/>
      <c r="CK158" s="161"/>
      <c r="CL158" s="161"/>
      <c r="CM158" s="161"/>
      <c r="CN158" s="161"/>
      <c r="CO158" s="161"/>
      <c r="CP158" s="161"/>
      <c r="CQ158" s="161"/>
      <c r="CR158" s="161"/>
      <c r="CS158" s="161"/>
      <c r="CT158" s="161"/>
      <c r="CU158" s="161"/>
      <c r="CV158" s="161"/>
      <c r="CW158" s="161"/>
      <c r="CX158" s="161"/>
      <c r="CY158" s="161"/>
      <c r="CZ158" s="161"/>
      <c r="DA158" s="161"/>
      <c r="DB158" s="161"/>
      <c r="DC158" s="161"/>
      <c r="DD158" s="161"/>
      <c r="DE158" s="161"/>
      <c r="DF158" s="161"/>
      <c r="DG158" s="161"/>
      <c r="DH158" s="161"/>
      <c r="DI158" s="161"/>
      <c r="DJ158" s="161"/>
      <c r="DK158" s="177"/>
      <c r="DL158" s="177"/>
      <c r="DM158" s="177"/>
      <c r="DN158" s="177"/>
      <c r="DO158" s="177"/>
      <c r="DP158" s="177"/>
      <c r="DQ158" s="177"/>
      <c r="DR158" s="177"/>
      <c r="DS158" s="177"/>
      <c r="DT158" s="177"/>
      <c r="DU158" s="177"/>
      <c r="DV158" s="177"/>
      <c r="DW158" s="177"/>
      <c r="DX158" s="177"/>
      <c r="DY158" s="177"/>
      <c r="DZ158" s="177"/>
      <c r="EA158" s="177"/>
      <c r="EB158" s="808"/>
      <c r="EC158" s="808"/>
      <c r="ED158" s="808"/>
      <c r="EF158" s="161"/>
      <c r="EH158" s="161"/>
      <c r="EM158" s="161"/>
      <c r="EN158" s="161"/>
      <c r="EO158" s="161"/>
      <c r="EP158" s="161"/>
      <c r="FL158" s="264"/>
      <c r="FM158" s="264"/>
      <c r="FN158" s="264"/>
      <c r="FO158" s="432"/>
      <c r="FP158" s="161"/>
      <c r="FQ158" s="161"/>
      <c r="FR158" s="430"/>
      <c r="FS158" s="641"/>
      <c r="FT158" s="639"/>
      <c r="FU158" s="668"/>
      <c r="FV158" s="667"/>
      <c r="FW158" s="668"/>
      <c r="FX158" s="667"/>
      <c r="FY158" s="749"/>
      <c r="FZ158" s="747"/>
      <c r="GA158" s="782"/>
      <c r="GB158" s="782"/>
      <c r="GC158" s="808"/>
      <c r="GD158" s="263">
        <f>Master!Y43</f>
        <v>9187.3919999999998</v>
      </c>
      <c r="GE158" s="808"/>
    </row>
    <row r="159" spans="1:187">
      <c r="A159" s="161"/>
      <c r="B159" s="268" t="s">
        <v>493</v>
      </c>
      <c r="C159" s="163"/>
      <c r="D159" s="163"/>
      <c r="E159" s="163"/>
      <c r="F159" s="163"/>
      <c r="G159" s="163"/>
      <c r="H159" s="163"/>
      <c r="I159" s="163"/>
      <c r="J159" s="163"/>
      <c r="K159" s="163"/>
      <c r="L159" s="285"/>
      <c r="M159" s="285"/>
      <c r="N159" s="285"/>
      <c r="O159" s="285"/>
      <c r="P159" s="285"/>
      <c r="Q159" s="285"/>
      <c r="R159" s="285"/>
      <c r="S159" s="285"/>
      <c r="T159" s="285"/>
      <c r="U159" s="285"/>
      <c r="V159" s="285"/>
      <c r="W159" s="285"/>
      <c r="X159" s="285"/>
      <c r="Y159" s="285"/>
      <c r="Z159" s="285"/>
      <c r="AA159" s="285"/>
      <c r="AB159" s="285"/>
      <c r="AC159" s="285"/>
      <c r="AD159" s="285"/>
      <c r="AE159" s="285"/>
      <c r="AF159" s="285"/>
      <c r="AG159" s="285"/>
      <c r="AH159" s="285"/>
      <c r="AI159" s="285"/>
      <c r="AJ159" s="285"/>
      <c r="AK159" s="285"/>
      <c r="AL159" s="285"/>
      <c r="AM159" s="285"/>
      <c r="AN159" s="308">
        <f>2821-AO159</f>
        <v>1372</v>
      </c>
      <c r="AO159" s="308">
        <v>1449</v>
      </c>
      <c r="AP159" s="308">
        <v>1443</v>
      </c>
      <c r="AQ159" s="308">
        <v>1489.123</v>
      </c>
      <c r="AR159" s="308">
        <v>1385</v>
      </c>
      <c r="AS159" s="308">
        <v>1612.2550000000001</v>
      </c>
      <c r="AT159" s="308">
        <v>1540</v>
      </c>
      <c r="AU159" s="308">
        <v>1997.6079999999999</v>
      </c>
      <c r="AV159" s="308">
        <v>1246</v>
      </c>
      <c r="AW159" s="308">
        <v>1327</v>
      </c>
      <c r="AX159" s="308">
        <v>1784.376</v>
      </c>
      <c r="AY159" s="308">
        <v>3713.6469999999999</v>
      </c>
      <c r="AZ159" s="308">
        <v>1875.7049999999999</v>
      </c>
      <c r="BA159" s="308">
        <v>2033</v>
      </c>
      <c r="BB159" s="308">
        <v>2393.6480000000001</v>
      </c>
      <c r="BC159" s="308">
        <v>3164.22</v>
      </c>
      <c r="BD159" s="813">
        <v>2340</v>
      </c>
      <c r="BE159" s="813">
        <v>2796</v>
      </c>
      <c r="BF159" s="813">
        <v>2744.5770000000002</v>
      </c>
      <c r="BG159" s="813">
        <v>3955</v>
      </c>
      <c r="BH159" s="813">
        <v>2235</v>
      </c>
      <c r="BI159" s="813">
        <v>2930</v>
      </c>
      <c r="BJ159" s="813">
        <v>3794</v>
      </c>
      <c r="BK159" s="813">
        <v>3990</v>
      </c>
      <c r="BL159" s="813">
        <v>2354</v>
      </c>
      <c r="BM159" s="813">
        <v>2747.8359999999998</v>
      </c>
      <c r="BN159" s="813">
        <v>2754.819</v>
      </c>
      <c r="BO159" s="813">
        <v>2483</v>
      </c>
      <c r="BP159" s="813">
        <v>2308</v>
      </c>
      <c r="BQ159" s="813">
        <v>1910.212</v>
      </c>
      <c r="BR159" s="813">
        <v>2377</v>
      </c>
      <c r="BS159" s="813">
        <v>2592.1799999999998</v>
      </c>
      <c r="BT159" s="813">
        <v>1989</v>
      </c>
      <c r="BU159" s="1037">
        <f>25%*BU72</f>
        <v>2370.6189275000002</v>
      </c>
      <c r="BV159" s="1037">
        <f>26%*BV72</f>
        <v>2528.2165012</v>
      </c>
      <c r="BW159" s="1037">
        <f>BX159-BT159-BU159-BV159</f>
        <v>2829.4582700000033</v>
      </c>
      <c r="BX159" s="1037">
        <f>Master!Z45</f>
        <v>9717.293698700003</v>
      </c>
      <c r="BZ159" s="263"/>
      <c r="CA159" s="161"/>
      <c r="CB159" s="161"/>
      <c r="CC159" s="161"/>
      <c r="CD159" s="161"/>
      <c r="CE159" s="161"/>
      <c r="CF159" s="161"/>
      <c r="CG159" s="161"/>
      <c r="CH159" s="161"/>
      <c r="CI159" s="161"/>
      <c r="CJ159" s="161"/>
      <c r="CK159" s="161"/>
      <c r="CL159" s="161"/>
      <c r="CM159" s="161"/>
      <c r="CN159" s="161"/>
      <c r="CO159" s="161"/>
      <c r="CP159" s="161"/>
      <c r="CQ159" s="161"/>
      <c r="CR159" s="161"/>
      <c r="CS159" s="161"/>
      <c r="CT159" s="161"/>
      <c r="CU159" s="161"/>
      <c r="CV159" s="161"/>
      <c r="CW159" s="161"/>
      <c r="CX159" s="161"/>
      <c r="CY159" s="307"/>
      <c r="CZ159" s="161"/>
      <c r="DA159" s="161"/>
      <c r="DB159" s="161"/>
      <c r="DC159" s="161"/>
      <c r="DD159" s="161"/>
      <c r="DE159" s="161"/>
      <c r="DF159" s="161"/>
      <c r="DG159" s="161"/>
      <c r="DH159" s="161"/>
      <c r="DI159" s="161"/>
      <c r="DJ159" s="161"/>
      <c r="DK159" s="177"/>
      <c r="DL159" s="177"/>
      <c r="DM159" s="177"/>
      <c r="DN159" s="177"/>
      <c r="DO159" s="177"/>
      <c r="DP159" s="177"/>
      <c r="DQ159" s="177"/>
      <c r="DR159" s="177"/>
      <c r="DS159" s="177"/>
      <c r="DT159" s="177"/>
      <c r="DU159" s="177"/>
      <c r="DV159" s="177"/>
      <c r="DW159" s="177"/>
      <c r="DX159" s="177"/>
      <c r="DY159" s="177"/>
      <c r="DZ159" s="177"/>
      <c r="EA159" s="177"/>
      <c r="EB159" s="808"/>
      <c r="EC159" s="808"/>
      <c r="ED159" s="808"/>
      <c r="EF159" s="161"/>
      <c r="EH159" s="161"/>
      <c r="EM159" s="161"/>
      <c r="EN159" s="161"/>
      <c r="EO159" s="161"/>
      <c r="EP159" s="161"/>
      <c r="FL159" s="298">
        <v>2816.1945500000002</v>
      </c>
      <c r="FM159" s="298">
        <v>2782.1158876199997</v>
      </c>
      <c r="FN159" s="298">
        <v>2863.6061021600003</v>
      </c>
      <c r="FO159" s="442">
        <v>3718.6496038687419</v>
      </c>
      <c r="FP159" s="161"/>
      <c r="FQ159" s="161"/>
      <c r="FR159" s="430"/>
      <c r="FS159" s="654">
        <v>2800</v>
      </c>
      <c r="FT159" s="639"/>
      <c r="FU159" s="683">
        <v>3000</v>
      </c>
      <c r="FV159" s="667"/>
      <c r="FW159" s="710">
        <v>2860.478284171777</v>
      </c>
      <c r="FX159" s="667"/>
      <c r="FY159" s="766">
        <v>2300</v>
      </c>
      <c r="FZ159" s="747"/>
      <c r="GA159" s="799">
        <v>2400</v>
      </c>
      <c r="GB159" s="799">
        <v>2500</v>
      </c>
      <c r="GC159" s="808"/>
      <c r="GD159" s="263">
        <f>GD158-BP159-BQ159-BR159</f>
        <v>2592.1800000000003</v>
      </c>
      <c r="GE159" s="808"/>
    </row>
    <row r="160" spans="1:187">
      <c r="A160" s="161"/>
      <c r="B160" s="268" t="s">
        <v>494</v>
      </c>
      <c r="C160" s="163"/>
      <c r="D160" s="163"/>
      <c r="E160" s="163"/>
      <c r="F160" s="163"/>
      <c r="G160" s="163"/>
      <c r="H160" s="163"/>
      <c r="I160" s="163"/>
      <c r="J160" s="163"/>
      <c r="K160" s="163"/>
      <c r="L160" s="285"/>
      <c r="M160" s="285"/>
      <c r="N160" s="285"/>
      <c r="O160" s="285"/>
      <c r="P160" s="285"/>
      <c r="Q160" s="285"/>
      <c r="R160" s="285"/>
      <c r="S160" s="285"/>
      <c r="T160" s="285"/>
      <c r="U160" s="285"/>
      <c r="V160" s="285"/>
      <c r="W160" s="285"/>
      <c r="X160" s="285"/>
      <c r="Y160" s="285"/>
      <c r="Z160" s="285"/>
      <c r="AA160" s="285"/>
      <c r="AB160" s="285"/>
      <c r="AC160" s="285"/>
      <c r="AD160" s="285"/>
      <c r="AE160" s="285"/>
      <c r="AF160" s="285"/>
      <c r="AG160" s="285"/>
      <c r="AH160" s="285"/>
      <c r="AI160" s="285"/>
      <c r="AJ160" s="285"/>
      <c r="AK160" s="285"/>
      <c r="AL160" s="285"/>
      <c r="AM160" s="285"/>
      <c r="AN160" s="265">
        <f t="shared" ref="AN160:BP160" si="220">AN159/AN73</f>
        <v>0.29222577209797657</v>
      </c>
      <c r="AO160" s="265">
        <f t="shared" si="220"/>
        <v>0.29980490955885231</v>
      </c>
      <c r="AP160" s="265">
        <f t="shared" si="220"/>
        <v>0.29746652522404815</v>
      </c>
      <c r="AQ160" s="265">
        <f t="shared" si="220"/>
        <v>0.29446202040419633</v>
      </c>
      <c r="AR160" s="265">
        <f t="shared" si="220"/>
        <v>0.26892159527785331</v>
      </c>
      <c r="AS160" s="265">
        <f t="shared" si="220"/>
        <v>0.30163498846503489</v>
      </c>
      <c r="AT160" s="265">
        <f t="shared" si="220"/>
        <v>0.28490028490028491</v>
      </c>
      <c r="AU160" s="265">
        <f t="shared" si="220"/>
        <v>0.35513346785304756</v>
      </c>
      <c r="AV160" s="265">
        <f t="shared" si="220"/>
        <v>0.22572099833897605</v>
      </c>
      <c r="AW160" s="265">
        <f t="shared" si="220"/>
        <v>0.24301915126431306</v>
      </c>
      <c r="AX160" s="265">
        <f t="shared" si="220"/>
        <v>0.31742346307536667</v>
      </c>
      <c r="AY160" s="265">
        <f t="shared" si="220"/>
        <v>0.64240345387817466</v>
      </c>
      <c r="AZ160" s="265">
        <f t="shared" si="220"/>
        <v>0.31513972075506314</v>
      </c>
      <c r="BA160" s="265">
        <f t="shared" si="220"/>
        <v>0.33526831359873344</v>
      </c>
      <c r="BB160" s="265">
        <f t="shared" si="220"/>
        <v>0.38953243700575074</v>
      </c>
      <c r="BC160" s="265">
        <f t="shared" si="220"/>
        <v>0.48879963543396487</v>
      </c>
      <c r="BD160" s="265">
        <f t="shared" si="220"/>
        <v>0.35657544938411495</v>
      </c>
      <c r="BE160" s="265">
        <f t="shared" si="220"/>
        <v>0.41848857373526199</v>
      </c>
      <c r="BF160" s="265">
        <f t="shared" si="220"/>
        <v>0.40739555447361803</v>
      </c>
      <c r="BG160" s="265">
        <f t="shared" si="220"/>
        <v>0.5512150563800321</v>
      </c>
      <c r="BH160" s="265">
        <f t="shared" si="220"/>
        <v>0.3124917857304646</v>
      </c>
      <c r="BI160" s="265">
        <f t="shared" si="220"/>
        <v>0.3973585017224745</v>
      </c>
      <c r="BJ160" s="265">
        <f t="shared" si="220"/>
        <v>0.50649262401760253</v>
      </c>
      <c r="BK160" s="265">
        <f t="shared" si="220"/>
        <v>0.50802611228752192</v>
      </c>
      <c r="BL160" s="265">
        <f t="shared" si="220"/>
        <v>0.29481741296342473</v>
      </c>
      <c r="BM160" s="265">
        <f t="shared" si="220"/>
        <v>0.33774991051797304</v>
      </c>
      <c r="BN160" s="265">
        <f t="shared" si="220"/>
        <v>0.33530431383040421</v>
      </c>
      <c r="BO160" s="265">
        <f t="shared" si="220"/>
        <v>0.2919577229225967</v>
      </c>
      <c r="BP160" s="265">
        <f t="shared" si="220"/>
        <v>0.26815086855669656</v>
      </c>
      <c r="BQ160" s="265">
        <f>BQ159/BQ73</f>
        <v>0.21957673751847659</v>
      </c>
      <c r="BR160" s="265">
        <f>BR159/BR73</f>
        <v>0.26644941193931004</v>
      </c>
      <c r="BS160" s="265">
        <f>BS159/BS73</f>
        <v>0.2816950386972335</v>
      </c>
      <c r="BT160" s="265">
        <f>BT159/BT73</f>
        <v>0.21257285616694269</v>
      </c>
      <c r="BU160" s="786">
        <f>BU159/BU72</f>
        <v>0.25</v>
      </c>
      <c r="BV160" s="786">
        <f t="shared" ref="BV160:BW160" si="221">BV159/BV72</f>
        <v>0.26</v>
      </c>
      <c r="BW160" s="786">
        <f t="shared" si="221"/>
        <v>0.28519446701672319</v>
      </c>
      <c r="BX160" s="786">
        <f>BX159/BX73</f>
        <v>0.2525</v>
      </c>
      <c r="BZ160" s="265"/>
      <c r="CA160" s="161"/>
      <c r="CB160" s="161"/>
      <c r="CC160" s="161"/>
      <c r="CD160" s="161"/>
      <c r="CE160" s="161"/>
      <c r="CF160" s="161"/>
      <c r="CG160" s="161"/>
      <c r="CH160" s="161"/>
      <c r="CI160" s="161"/>
      <c r="CJ160" s="161"/>
      <c r="CK160" s="161"/>
      <c r="CL160" s="161"/>
      <c r="CM160" s="161"/>
      <c r="CN160" s="161"/>
      <c r="CO160" s="161"/>
      <c r="CP160" s="161"/>
      <c r="CQ160" s="161"/>
      <c r="CR160" s="161"/>
      <c r="CS160" s="161"/>
      <c r="CT160" s="161"/>
      <c r="CU160" s="161"/>
      <c r="CV160" s="161"/>
      <c r="CW160" s="161"/>
      <c r="CX160" s="161"/>
      <c r="CY160" s="161"/>
      <c r="CZ160" s="161"/>
      <c r="DA160" s="161"/>
      <c r="DB160" s="161"/>
      <c r="DC160" s="161"/>
      <c r="DD160" s="161"/>
      <c r="DE160" s="161"/>
      <c r="DF160" s="161"/>
      <c r="DG160" s="161"/>
      <c r="DH160" s="161"/>
      <c r="DI160" s="161"/>
      <c r="DJ160" s="161"/>
      <c r="DK160" s="177"/>
      <c r="DL160" s="177"/>
      <c r="DM160" s="177"/>
      <c r="DN160" s="177"/>
      <c r="DO160" s="177"/>
      <c r="DP160" s="177"/>
      <c r="DQ160" s="177"/>
      <c r="DR160" s="177"/>
      <c r="DS160" s="177"/>
      <c r="DT160" s="177"/>
      <c r="DU160" s="177"/>
      <c r="DV160" s="177"/>
      <c r="DW160" s="177"/>
      <c r="DX160" s="177"/>
      <c r="DY160" s="177"/>
      <c r="DZ160" s="177"/>
      <c r="EA160" s="177"/>
      <c r="EB160" s="808"/>
      <c r="EC160" s="808"/>
      <c r="ED160" s="808"/>
      <c r="EF160" s="161"/>
      <c r="EH160" s="161"/>
      <c r="EM160" s="161"/>
      <c r="EN160" s="161"/>
      <c r="EO160" s="161"/>
      <c r="EP160" s="161"/>
      <c r="FL160" s="303">
        <v>0.4</v>
      </c>
      <c r="FM160" s="303">
        <v>0.38</v>
      </c>
      <c r="FN160" s="303">
        <v>0.38</v>
      </c>
      <c r="FO160" s="434">
        <v>0.48681658529873312</v>
      </c>
      <c r="FP160" s="161"/>
      <c r="FQ160" s="161"/>
      <c r="FR160" s="430"/>
      <c r="FS160" s="646">
        <v>0.34250764525993882</v>
      </c>
      <c r="FT160" s="639"/>
      <c r="FU160" s="673">
        <v>0.36170725825898242</v>
      </c>
      <c r="FV160" s="667"/>
      <c r="FW160" s="673">
        <v>0.33108906110762953</v>
      </c>
      <c r="FX160" s="667"/>
      <c r="FY160" s="753">
        <v>0.22771098552824953</v>
      </c>
      <c r="FZ160" s="747"/>
      <c r="GA160" s="786">
        <v>0.27188543139436061</v>
      </c>
      <c r="GB160" s="786">
        <v>0.28045057946191115</v>
      </c>
      <c r="GC160" s="808"/>
      <c r="GD160" s="786">
        <v>0.36091192371644137</v>
      </c>
      <c r="GE160" s="808"/>
    </row>
    <row r="161" spans="1:187">
      <c r="A161" s="161"/>
      <c r="B161" s="267" t="s">
        <v>495</v>
      </c>
      <c r="C161" s="163"/>
      <c r="D161" s="163"/>
      <c r="E161" s="163"/>
      <c r="F161" s="163"/>
      <c r="G161" s="163"/>
      <c r="H161" s="163"/>
      <c r="I161" s="163"/>
      <c r="J161" s="163"/>
      <c r="K161" s="163"/>
      <c r="L161" s="285"/>
      <c r="M161" s="285"/>
      <c r="N161" s="285"/>
      <c r="O161" s="285"/>
      <c r="P161" s="285"/>
      <c r="Q161" s="285"/>
      <c r="R161" s="285"/>
      <c r="S161" s="285"/>
      <c r="T161" s="285"/>
      <c r="U161" s="285"/>
      <c r="V161" s="285"/>
      <c r="W161" s="285"/>
      <c r="X161" s="285"/>
      <c r="Y161" s="285"/>
      <c r="Z161" s="285"/>
      <c r="AA161" s="285"/>
      <c r="AB161" s="285"/>
      <c r="AC161" s="285"/>
      <c r="AD161" s="285"/>
      <c r="AE161" s="285"/>
      <c r="AF161" s="285"/>
      <c r="AG161" s="285"/>
      <c r="AH161" s="285"/>
      <c r="AI161" s="285"/>
      <c r="AJ161" s="285"/>
      <c r="AK161" s="285"/>
      <c r="AL161" s="285"/>
      <c r="AM161" s="285"/>
      <c r="AN161" s="263">
        <f>AN159-AN156</f>
        <v>153</v>
      </c>
      <c r="AO161" s="263">
        <f>AO159-AO156</f>
        <v>186.37139200000001</v>
      </c>
      <c r="AP161" s="263"/>
      <c r="AQ161" s="263"/>
      <c r="AR161" s="263"/>
      <c r="AS161" s="263"/>
      <c r="AT161" s="263"/>
      <c r="AU161" s="263"/>
      <c r="AV161" s="263"/>
      <c r="AW161" s="263"/>
      <c r="AX161" s="263"/>
      <c r="AY161" s="263"/>
      <c r="AZ161" s="263"/>
      <c r="BA161" s="263"/>
      <c r="BB161" s="263"/>
      <c r="BC161" s="263"/>
      <c r="BD161" s="263"/>
      <c r="BE161" s="304"/>
      <c r="BF161" s="304"/>
      <c r="BG161" s="304"/>
      <c r="BH161" s="263"/>
      <c r="BI161" s="304"/>
      <c r="BJ161" s="263"/>
      <c r="BK161" s="264"/>
      <c r="BL161" s="264"/>
      <c r="BM161" s="264"/>
      <c r="BN161" s="264"/>
      <c r="BO161" s="264"/>
      <c r="BP161" s="264"/>
      <c r="BQ161" s="264"/>
      <c r="BR161" s="264"/>
      <c r="BS161" s="264"/>
      <c r="BT161" s="264"/>
      <c r="BU161" s="782"/>
      <c r="BV161" s="782"/>
      <c r="BW161" s="782"/>
      <c r="BX161" s="782"/>
      <c r="BY161" s="161"/>
      <c r="BZ161" s="161"/>
      <c r="CA161" s="161"/>
      <c r="CB161" s="161"/>
      <c r="CC161" s="161"/>
      <c r="CD161" s="161"/>
      <c r="CE161" s="161"/>
      <c r="CF161" s="161"/>
      <c r="CG161" s="161"/>
      <c r="CH161" s="161"/>
      <c r="CI161" s="161"/>
      <c r="CJ161" s="161"/>
      <c r="CK161" s="161"/>
      <c r="CL161" s="161"/>
      <c r="CM161" s="161"/>
      <c r="CN161" s="161"/>
      <c r="CO161" s="161"/>
      <c r="CP161" s="161"/>
      <c r="CQ161" s="161"/>
      <c r="CR161" s="161"/>
      <c r="CS161" s="161"/>
      <c r="CT161" s="161"/>
      <c r="CU161" s="161"/>
      <c r="CV161" s="161"/>
      <c r="CW161" s="161"/>
      <c r="CX161" s="161"/>
      <c r="CY161" s="161"/>
      <c r="CZ161" s="161"/>
      <c r="DA161" s="161"/>
      <c r="DB161" s="161"/>
      <c r="DC161" s="161"/>
      <c r="DD161" s="161"/>
      <c r="DE161" s="161"/>
      <c r="DF161" s="161"/>
      <c r="DG161" s="161"/>
      <c r="DH161" s="161"/>
      <c r="DI161" s="161"/>
      <c r="DJ161" s="161"/>
      <c r="DK161" s="177"/>
      <c r="DL161" s="177"/>
      <c r="DM161" s="177"/>
      <c r="DN161" s="177"/>
      <c r="DO161" s="177"/>
      <c r="DP161" s="177"/>
      <c r="DQ161" s="177"/>
      <c r="DR161" s="177"/>
      <c r="DS161" s="177"/>
      <c r="DT161" s="177"/>
      <c r="DU161" s="177"/>
      <c r="DV161" s="177"/>
      <c r="DW161" s="177"/>
      <c r="DX161" s="177"/>
      <c r="DY161" s="177"/>
      <c r="DZ161" s="177"/>
      <c r="EA161" s="177"/>
      <c r="EB161" s="808"/>
      <c r="EC161" s="808"/>
      <c r="ED161" s="808"/>
      <c r="EF161" s="161"/>
      <c r="EH161" s="161"/>
      <c r="EM161" s="161"/>
      <c r="EN161" s="161"/>
      <c r="EO161" s="161"/>
      <c r="EP161" s="161"/>
      <c r="FL161" s="263"/>
      <c r="FM161" s="263"/>
      <c r="FN161" s="263"/>
      <c r="FO161" s="432"/>
      <c r="FP161" s="161"/>
      <c r="FQ161" s="161"/>
      <c r="FR161" s="430"/>
      <c r="FS161" s="641"/>
      <c r="FT161" s="639"/>
      <c r="FU161" s="668"/>
      <c r="FV161" s="667"/>
      <c r="FW161" s="668"/>
      <c r="FX161" s="667"/>
      <c r="FY161" s="749"/>
      <c r="FZ161" s="747"/>
      <c r="GA161" s="782"/>
      <c r="GB161" s="782"/>
      <c r="GC161" s="808"/>
      <c r="GD161" s="782"/>
      <c r="GE161" s="808"/>
    </row>
    <row r="162" spans="1:187">
      <c r="A162" s="161"/>
      <c r="B162" s="267"/>
      <c r="C162" s="163"/>
      <c r="D162" s="163"/>
      <c r="E162" s="163"/>
      <c r="F162" s="163"/>
      <c r="G162" s="163"/>
      <c r="H162" s="163"/>
      <c r="I162" s="163"/>
      <c r="J162" s="163"/>
      <c r="K162" s="163"/>
      <c r="L162" s="285"/>
      <c r="M162" s="285"/>
      <c r="N162" s="285"/>
      <c r="O162" s="285"/>
      <c r="P162" s="285"/>
      <c r="Q162" s="285"/>
      <c r="R162" s="285"/>
      <c r="S162" s="285"/>
      <c r="T162" s="285"/>
      <c r="U162" s="285"/>
      <c r="V162" s="285"/>
      <c r="W162" s="285"/>
      <c r="X162" s="285"/>
      <c r="Y162" s="285"/>
      <c r="Z162" s="285"/>
      <c r="AA162" s="285"/>
      <c r="AB162" s="285"/>
      <c r="AC162" s="285"/>
      <c r="AD162" s="285"/>
      <c r="AE162" s="285"/>
      <c r="AF162" s="285"/>
      <c r="AG162" s="285"/>
      <c r="AH162" s="285"/>
      <c r="AI162" s="285"/>
      <c r="AJ162" s="285"/>
      <c r="AK162" s="285"/>
      <c r="AL162" s="285"/>
      <c r="AM162" s="285"/>
      <c r="AN162" s="263"/>
      <c r="AO162" s="263"/>
      <c r="AP162" s="263"/>
      <c r="AQ162" s="263"/>
      <c r="AR162" s="263"/>
      <c r="AS162" s="263"/>
      <c r="AT162" s="263"/>
      <c r="AU162" s="263"/>
      <c r="AV162" s="263"/>
      <c r="AW162" s="263"/>
      <c r="AX162" s="263"/>
      <c r="AY162" s="263"/>
      <c r="AZ162" s="263"/>
      <c r="BA162" s="263"/>
      <c r="BB162" s="263"/>
      <c r="BC162" s="263"/>
      <c r="BD162" s="263"/>
      <c r="BE162" s="263"/>
      <c r="BF162" s="263"/>
      <c r="BG162" s="263"/>
      <c r="BH162" s="263"/>
      <c r="BI162" s="263"/>
      <c r="BJ162" s="263"/>
      <c r="BK162" s="264"/>
      <c r="BL162" s="264"/>
      <c r="BM162" s="264"/>
      <c r="BN162" s="264"/>
      <c r="BO162" s="264"/>
      <c r="BP162" s="264"/>
      <c r="BQ162" s="264"/>
      <c r="BR162" s="264"/>
      <c r="BS162" s="264"/>
      <c r="BT162" s="264"/>
      <c r="BU162" s="782"/>
      <c r="BV162" s="782"/>
      <c r="BW162" s="782"/>
      <c r="BX162" s="782"/>
      <c r="BY162" s="161"/>
      <c r="BZ162" s="161"/>
      <c r="CA162" s="161"/>
      <c r="CB162" s="161"/>
      <c r="CC162" s="161"/>
      <c r="CD162" s="161"/>
      <c r="CE162" s="161"/>
      <c r="CF162" s="161"/>
      <c r="CG162" s="161"/>
      <c r="CH162" s="161"/>
      <c r="CI162" s="161"/>
      <c r="CJ162" s="161"/>
      <c r="CK162" s="161"/>
      <c r="CL162" s="161"/>
      <c r="CM162" s="161"/>
      <c r="CN162" s="161"/>
      <c r="CO162" s="161"/>
      <c r="CP162" s="161"/>
      <c r="CQ162" s="161"/>
      <c r="CR162" s="161"/>
      <c r="CS162" s="161"/>
      <c r="CT162" s="161"/>
      <c r="CU162" s="161"/>
      <c r="CV162" s="161"/>
      <c r="CW162" s="161"/>
      <c r="CX162" s="161"/>
      <c r="CY162" s="161"/>
      <c r="CZ162" s="161"/>
      <c r="DA162" s="161"/>
      <c r="DB162" s="161"/>
      <c r="DC162" s="161"/>
      <c r="DD162" s="161"/>
      <c r="DE162" s="161"/>
      <c r="DF162" s="161"/>
      <c r="DG162" s="161"/>
      <c r="DH162" s="161"/>
      <c r="DI162" s="161"/>
      <c r="DJ162" s="161"/>
      <c r="DK162" s="177"/>
      <c r="DL162" s="177"/>
      <c r="DM162" s="177"/>
      <c r="DN162" s="177"/>
      <c r="DO162" s="177"/>
      <c r="DP162" s="177"/>
      <c r="DQ162" s="177"/>
      <c r="DR162" s="177"/>
      <c r="DS162" s="177"/>
      <c r="DT162" s="177"/>
      <c r="DU162" s="177"/>
      <c r="DV162" s="177"/>
      <c r="DW162" s="177"/>
      <c r="DX162" s="177"/>
      <c r="DY162" s="177"/>
      <c r="DZ162" s="177"/>
      <c r="EA162" s="177"/>
      <c r="EB162" s="808"/>
      <c r="EC162" s="808"/>
      <c r="ED162" s="808"/>
      <c r="EF162" s="161"/>
      <c r="EH162" s="161"/>
      <c r="EM162" s="161"/>
      <c r="EN162" s="161"/>
      <c r="EO162" s="161"/>
      <c r="EP162" s="161"/>
      <c r="FL162" s="263"/>
      <c r="FM162" s="263"/>
      <c r="FN162" s="263"/>
      <c r="FO162" s="432"/>
      <c r="FP162" s="161"/>
      <c r="FQ162" s="161"/>
      <c r="FR162" s="430"/>
      <c r="FS162" s="641"/>
      <c r="FT162" s="639"/>
      <c r="FU162" s="668"/>
      <c r="FV162" s="667"/>
      <c r="FW162" s="668"/>
      <c r="FX162" s="667"/>
      <c r="FY162" s="749"/>
      <c r="FZ162" s="747"/>
      <c r="GA162" s="782"/>
      <c r="GB162" s="782"/>
      <c r="GC162" s="808"/>
      <c r="GD162" s="782"/>
      <c r="GE162" s="808"/>
    </row>
    <row r="163" spans="1:187">
      <c r="A163" s="161"/>
      <c r="B163" s="268" t="s">
        <v>496</v>
      </c>
      <c r="C163" s="161"/>
      <c r="D163" s="161"/>
      <c r="E163" s="161"/>
      <c r="F163" s="161"/>
      <c r="G163" s="161"/>
      <c r="H163" s="161"/>
      <c r="I163" s="161"/>
      <c r="J163" s="161"/>
      <c r="K163" s="161"/>
      <c r="L163" s="264"/>
      <c r="M163" s="264"/>
      <c r="N163" s="264"/>
      <c r="O163" s="264"/>
      <c r="P163" s="264"/>
      <c r="Q163" s="264"/>
      <c r="R163" s="264"/>
      <c r="S163" s="264"/>
      <c r="T163" s="264"/>
      <c r="U163" s="264"/>
      <c r="V163" s="264"/>
      <c r="W163" s="264"/>
      <c r="X163" s="264"/>
      <c r="Y163" s="264"/>
      <c r="Z163" s="264"/>
      <c r="AA163" s="264"/>
      <c r="AB163" s="264"/>
      <c r="AC163" s="264"/>
      <c r="AD163" s="264"/>
      <c r="AE163" s="264"/>
      <c r="AF163" s="264"/>
      <c r="AG163" s="264"/>
      <c r="AH163" s="264"/>
      <c r="AI163" s="264"/>
      <c r="AJ163" s="264"/>
      <c r="AK163" s="264"/>
      <c r="AL163" s="264"/>
      <c r="AM163" s="264"/>
      <c r="AN163" s="265">
        <f>AN160-AN157</f>
        <v>3.2587859424920096E-2</v>
      </c>
      <c r="AO163" s="265">
        <f>AO160-AO157</f>
        <v>3.8561116855015509E-2</v>
      </c>
      <c r="AP163" s="264"/>
      <c r="AQ163" s="285">
        <f>SUM(AN159:AQ159)/SUM(AN72:AQ72)</f>
        <v>0.29600030993703197</v>
      </c>
      <c r="AR163" s="305">
        <f t="shared" ref="AR163:BD163" si="222">AR159/AR164</f>
        <v>72.133567539569086</v>
      </c>
      <c r="AS163" s="305">
        <f t="shared" si="222"/>
        <v>84.37856537257818</v>
      </c>
      <c r="AT163" s="305">
        <f t="shared" si="222"/>
        <v>79.228190830810149</v>
      </c>
      <c r="AU163" s="305">
        <f t="shared" si="222"/>
        <v>103.79996532708824</v>
      </c>
      <c r="AV163" s="305">
        <f t="shared" si="222"/>
        <v>62.299597448754966</v>
      </c>
      <c r="AW163" s="305">
        <f t="shared" si="222"/>
        <v>56.912404251667695</v>
      </c>
      <c r="AX163" s="305">
        <f t="shared" si="222"/>
        <v>80.804426894826946</v>
      </c>
      <c r="AY163" s="305">
        <f t="shared" si="222"/>
        <v>180.84547340870827</v>
      </c>
      <c r="AZ163" s="305">
        <f t="shared" si="222"/>
        <v>92.21620566931864</v>
      </c>
      <c r="BA163" s="305">
        <f t="shared" si="222"/>
        <v>101.54606369818706</v>
      </c>
      <c r="BB163" s="305">
        <f t="shared" si="222"/>
        <v>119.48380343580439</v>
      </c>
      <c r="BC163" s="305">
        <f t="shared" si="222"/>
        <v>152.50668389888543</v>
      </c>
      <c r="BD163" s="305">
        <f t="shared" si="222"/>
        <v>114.13399015281054</v>
      </c>
      <c r="BE163" s="305">
        <f>BE159/BE164</f>
        <v>139.51853744898949</v>
      </c>
      <c r="BF163" s="305">
        <f>BF159/BF164</f>
        <v>135.64576120479967</v>
      </c>
      <c r="BG163" s="305">
        <f t="shared" ref="BG163:BO163" si="223">BG159/BG164</f>
        <v>201.85574587101647</v>
      </c>
      <c r="BH163" s="305">
        <f t="shared" si="223"/>
        <v>119.7749196141479</v>
      </c>
      <c r="BI163" s="305">
        <f t="shared" si="223"/>
        <v>165.81777023203168</v>
      </c>
      <c r="BJ163" s="305">
        <f t="shared" si="223"/>
        <v>222.26127709431751</v>
      </c>
      <c r="BK163" s="305">
        <f t="shared" si="223"/>
        <v>227.35042735042734</v>
      </c>
      <c r="BL163" s="305">
        <f t="shared" si="223"/>
        <v>138.71538008249854</v>
      </c>
      <c r="BM163" s="305">
        <f>BM159/BM164</f>
        <v>159.29484057971013</v>
      </c>
      <c r="BN163" s="305">
        <f>BN159/BN164</f>
        <v>159.69965217391305</v>
      </c>
      <c r="BO163" s="305">
        <f t="shared" si="223"/>
        <v>123.77866400797608</v>
      </c>
      <c r="BP163" s="305">
        <f>BP159/BP164</f>
        <v>112.97112090063632</v>
      </c>
      <c r="BQ163" s="305">
        <f>BQ159/BQ164</f>
        <v>98.009851205746543</v>
      </c>
      <c r="BR163" s="305">
        <f>BR159/BR164</f>
        <v>127.79569892473117</v>
      </c>
      <c r="BS163" s="305">
        <f>BS159/BS164</f>
        <v>141.57181867831787</v>
      </c>
      <c r="BT163" s="305">
        <f>BT159/BT164</f>
        <v>113.39794754846066</v>
      </c>
      <c r="BU163" s="800"/>
      <c r="BV163" s="800"/>
      <c r="BW163" s="800"/>
      <c r="BX163" s="800"/>
      <c r="BY163" s="161"/>
      <c r="BZ163" s="161"/>
      <c r="CA163" s="161"/>
      <c r="CB163" s="161"/>
      <c r="CC163" s="161"/>
      <c r="CD163" s="161"/>
      <c r="CE163" s="161"/>
      <c r="CF163" s="161"/>
      <c r="CG163" s="161"/>
      <c r="CH163" s="161"/>
      <c r="CI163" s="161"/>
      <c r="CJ163" s="161"/>
      <c r="CK163" s="161"/>
      <c r="CL163" s="161"/>
      <c r="CM163" s="161"/>
      <c r="CN163" s="161"/>
      <c r="CO163" s="161"/>
      <c r="CP163" s="161"/>
      <c r="CQ163" s="161"/>
      <c r="CR163" s="161"/>
      <c r="CS163" s="161"/>
      <c r="CT163" s="161"/>
      <c r="CU163" s="161"/>
      <c r="CV163" s="161"/>
      <c r="CW163" s="161"/>
      <c r="CX163" s="161"/>
      <c r="CY163" s="161"/>
      <c r="CZ163" s="161"/>
      <c r="DA163" s="161"/>
      <c r="DB163" s="161"/>
      <c r="DC163" s="161"/>
      <c r="DD163" s="161"/>
      <c r="DE163" s="161"/>
      <c r="DF163" s="161"/>
      <c r="DG163" s="161"/>
      <c r="DH163" s="161"/>
      <c r="DI163" s="161"/>
      <c r="DJ163" s="161"/>
      <c r="DK163" s="177"/>
      <c r="DL163" s="177"/>
      <c r="DM163" s="177"/>
      <c r="DN163" s="177"/>
      <c r="DO163" s="177"/>
      <c r="DP163" s="177"/>
      <c r="DQ163" s="177"/>
      <c r="DR163" s="177"/>
      <c r="DS163" s="177"/>
      <c r="DT163" s="177"/>
      <c r="DU163" s="177"/>
      <c r="DV163" s="177"/>
      <c r="DW163" s="177"/>
      <c r="DX163" s="177"/>
      <c r="DY163" s="177"/>
      <c r="DZ163" s="177"/>
      <c r="EA163" s="177"/>
      <c r="EB163" s="808"/>
      <c r="EC163" s="808"/>
      <c r="ED163" s="808"/>
      <c r="EF163" s="161"/>
      <c r="EH163" s="161"/>
      <c r="EM163" s="161"/>
      <c r="EN163" s="161"/>
      <c r="EO163" s="161"/>
      <c r="EP163" s="161"/>
      <c r="FL163" s="285"/>
      <c r="FM163" s="285"/>
      <c r="FN163" s="305">
        <v>168.0520013004695</v>
      </c>
      <c r="FO163" s="446">
        <v>211.88886631730722</v>
      </c>
      <c r="FP163" s="161"/>
      <c r="FQ163" s="161"/>
      <c r="FR163" s="430"/>
      <c r="FS163" s="658">
        <v>163.9344262295082</v>
      </c>
      <c r="FT163" s="639"/>
      <c r="FU163" s="688">
        <v>175.64402810304452</v>
      </c>
      <c r="FV163" s="667"/>
      <c r="FW163" s="688">
        <v>167.47530937773871</v>
      </c>
      <c r="FX163" s="667"/>
      <c r="FY163" s="767"/>
      <c r="FZ163" s="747"/>
      <c r="GA163" s="800"/>
      <c r="GB163" s="800"/>
      <c r="GC163" s="808"/>
      <c r="GD163" s="800"/>
      <c r="GE163" s="808"/>
    </row>
    <row r="164" spans="1:187">
      <c r="A164" s="161"/>
      <c r="B164" s="267" t="s">
        <v>497</v>
      </c>
      <c r="C164" s="161"/>
      <c r="D164" s="161"/>
      <c r="E164" s="161"/>
      <c r="F164" s="161"/>
      <c r="G164" s="161"/>
      <c r="H164" s="161"/>
      <c r="I164" s="161"/>
      <c r="J164" s="161"/>
      <c r="K164" s="161"/>
      <c r="L164" s="264"/>
      <c r="M164" s="264"/>
      <c r="N164" s="264"/>
      <c r="O164" s="264"/>
      <c r="P164" s="264"/>
      <c r="Q164" s="264"/>
      <c r="R164" s="264"/>
      <c r="S164" s="264"/>
      <c r="T164" s="264"/>
      <c r="U164" s="264"/>
      <c r="V164" s="264"/>
      <c r="W164" s="264"/>
      <c r="X164" s="264"/>
      <c r="Y164" s="264"/>
      <c r="Z164" s="264"/>
      <c r="AA164" s="264"/>
      <c r="AB164" s="264"/>
      <c r="AC164" s="264"/>
      <c r="AD164" s="264"/>
      <c r="AE164" s="264"/>
      <c r="AF164" s="264"/>
      <c r="AG164" s="264"/>
      <c r="AH164" s="264"/>
      <c r="AI164" s="264"/>
      <c r="AJ164" s="264"/>
      <c r="AK164" s="264"/>
      <c r="AL164" s="264"/>
      <c r="AM164" s="264"/>
      <c r="AN164" s="265"/>
      <c r="AO164" s="265"/>
      <c r="AP164" s="264"/>
      <c r="AQ164" s="285"/>
      <c r="AR164" s="266">
        <v>19.200492187500004</v>
      </c>
      <c r="AS164" s="266">
        <v>19.107399999999998</v>
      </c>
      <c r="AT164" s="266">
        <v>19.437525757575759</v>
      </c>
      <c r="AU164" s="266">
        <v>19.244784848484844</v>
      </c>
      <c r="AV164" s="266">
        <v>20.000129230769225</v>
      </c>
      <c r="AW164" s="266">
        <v>23.316533846153849</v>
      </c>
      <c r="AX164" s="266">
        <v>22.082651515151515</v>
      </c>
      <c r="AY164" s="266">
        <v>20.534918181818181</v>
      </c>
      <c r="AZ164" s="266">
        <v>20.340296875000007</v>
      </c>
      <c r="BA164" s="266">
        <v>20.020470769230773</v>
      </c>
      <c r="BB164" s="266">
        <v>20.033242424242431</v>
      </c>
      <c r="BC164" s="266">
        <v>20.748074242424238</v>
      </c>
      <c r="BD164" s="279">
        <v>20.502218461538451</v>
      </c>
      <c r="BE164" s="279">
        <v>20.040347692307687</v>
      </c>
      <c r="BF164" s="279">
        <v>20.233415151515153</v>
      </c>
      <c r="BG164" s="279">
        <v>19.5932</v>
      </c>
      <c r="BH164" s="279">
        <v>18.66</v>
      </c>
      <c r="BI164" s="279">
        <v>17.670000000000002</v>
      </c>
      <c r="BJ164" s="279">
        <v>17.07</v>
      </c>
      <c r="BK164" s="279">
        <v>17.55</v>
      </c>
      <c r="BL164" s="279">
        <v>16.97</v>
      </c>
      <c r="BM164" s="279">
        <v>17.25</v>
      </c>
      <c r="BN164" s="279">
        <v>17.25</v>
      </c>
      <c r="BO164" s="279">
        <v>20.059999999999999</v>
      </c>
      <c r="BP164" s="279">
        <v>20.43</v>
      </c>
      <c r="BQ164" s="279">
        <v>19.489999999999998</v>
      </c>
      <c r="BR164" s="279">
        <v>18.600000000000001</v>
      </c>
      <c r="BS164" s="279">
        <v>18.309999999999999</v>
      </c>
      <c r="BT164" s="279">
        <v>17.54</v>
      </c>
      <c r="BU164" s="801"/>
      <c r="BV164" s="801"/>
      <c r="BW164" s="801"/>
      <c r="BX164" s="801"/>
      <c r="BY164" s="161"/>
      <c r="BZ164" s="161"/>
      <c r="CA164" s="161"/>
      <c r="CB164" s="161"/>
      <c r="CC164" s="161"/>
      <c r="CD164" s="161"/>
      <c r="CE164" s="161"/>
      <c r="CF164" s="161"/>
      <c r="CG164" s="161"/>
      <c r="CH164" s="161"/>
      <c r="CI164" s="161"/>
      <c r="CJ164" s="161"/>
      <c r="CK164" s="161"/>
      <c r="CL164" s="161"/>
      <c r="CM164" s="161"/>
      <c r="CN164" s="161"/>
      <c r="CO164" s="161"/>
      <c r="CP164" s="161"/>
      <c r="CQ164" s="161"/>
      <c r="CR164" s="161"/>
      <c r="CS164" s="161"/>
      <c r="CT164" s="161"/>
      <c r="CU164" s="161"/>
      <c r="CV164" s="161"/>
      <c r="CW164" s="161"/>
      <c r="CX164" s="161"/>
      <c r="CY164" s="161"/>
      <c r="CZ164" s="161"/>
      <c r="DA164" s="161"/>
      <c r="DB164" s="161"/>
      <c r="DC164" s="161"/>
      <c r="DD164" s="161"/>
      <c r="DE164" s="161"/>
      <c r="DF164" s="161"/>
      <c r="DG164" s="161"/>
      <c r="DH164" s="161"/>
      <c r="DI164" s="161"/>
      <c r="DJ164" s="161"/>
      <c r="DK164" s="177"/>
      <c r="DL164" s="177"/>
      <c r="DM164" s="177"/>
      <c r="DN164" s="177"/>
      <c r="DO164" s="177"/>
      <c r="DP164" s="177"/>
      <c r="DQ164" s="177"/>
      <c r="DR164" s="177"/>
      <c r="DS164" s="177"/>
      <c r="DT164" s="177"/>
      <c r="DU164" s="177"/>
      <c r="DV164" s="177"/>
      <c r="DW164" s="177"/>
      <c r="DX164" s="177"/>
      <c r="DY164" s="177"/>
      <c r="DZ164" s="177"/>
      <c r="EA164" s="177"/>
      <c r="EB164" s="808"/>
      <c r="EC164" s="808"/>
      <c r="ED164" s="808"/>
      <c r="EF164" s="161"/>
      <c r="EH164" s="161"/>
      <c r="EM164" s="161"/>
      <c r="EN164" s="161"/>
      <c r="EO164" s="161"/>
      <c r="EP164" s="161"/>
      <c r="FL164" s="285"/>
      <c r="FM164" s="285"/>
      <c r="FN164" s="266">
        <v>17.04</v>
      </c>
      <c r="FO164" s="437">
        <v>17.55</v>
      </c>
      <c r="FP164" s="161"/>
      <c r="FQ164" s="161"/>
      <c r="FR164" s="430"/>
      <c r="FS164" s="659">
        <v>17.079999999999998</v>
      </c>
      <c r="FT164" s="639"/>
      <c r="FU164" s="689">
        <v>17.079999999999998</v>
      </c>
      <c r="FV164" s="667"/>
      <c r="FW164" s="689">
        <v>17.079999999999998</v>
      </c>
      <c r="FX164" s="667"/>
      <c r="FY164" s="768"/>
      <c r="FZ164" s="747"/>
      <c r="GA164" s="801"/>
      <c r="GB164" s="801"/>
      <c r="GC164" s="808"/>
      <c r="GD164" s="801"/>
      <c r="GE164" s="808"/>
    </row>
    <row r="165" spans="1:187">
      <c r="A165" s="161"/>
      <c r="B165" s="267"/>
      <c r="C165" s="161"/>
      <c r="D165" s="161"/>
      <c r="E165" s="161"/>
      <c r="F165" s="161"/>
      <c r="G165" s="161"/>
      <c r="H165" s="161"/>
      <c r="I165" s="161"/>
      <c r="J165" s="161"/>
      <c r="K165" s="161"/>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5"/>
      <c r="AO165" s="265"/>
      <c r="AP165" s="264"/>
      <c r="AQ165" s="285"/>
      <c r="AR165" s="285"/>
      <c r="AS165" s="285"/>
      <c r="AT165" s="285"/>
      <c r="AU165" s="285"/>
      <c r="AV165" s="285"/>
      <c r="AW165" s="285"/>
      <c r="AX165" s="285"/>
      <c r="AY165" s="285"/>
      <c r="AZ165" s="285"/>
      <c r="BA165" s="285"/>
      <c r="BB165" s="285"/>
      <c r="BC165" s="306"/>
      <c r="BD165" s="306"/>
      <c r="BE165" s="306"/>
      <c r="BF165" s="306"/>
      <c r="BG165" s="306"/>
      <c r="BH165" s="306"/>
      <c r="BI165" s="285"/>
      <c r="BJ165" s="285"/>
      <c r="BK165" s="264"/>
      <c r="BL165" s="264"/>
      <c r="BM165" s="264"/>
      <c r="BN165" s="264"/>
      <c r="BO165" s="264"/>
      <c r="BP165" s="264"/>
      <c r="BQ165" s="264"/>
      <c r="BR165" s="264"/>
      <c r="BS165" s="264"/>
      <c r="BT165" s="264"/>
      <c r="BU165" s="782"/>
      <c r="BV165" s="782"/>
      <c r="BW165" s="782"/>
      <c r="BX165" s="782"/>
      <c r="BY165" s="161"/>
      <c r="BZ165" s="161"/>
      <c r="CA165" s="161"/>
      <c r="CB165" s="161"/>
      <c r="CC165" s="161"/>
      <c r="CD165" s="161"/>
      <c r="CE165" s="161"/>
      <c r="CF165" s="161"/>
      <c r="CG165" s="161"/>
      <c r="CH165" s="161"/>
      <c r="CI165" s="161"/>
      <c r="CJ165" s="161"/>
      <c r="CK165" s="161"/>
      <c r="CL165" s="161"/>
      <c r="CM165" s="161"/>
      <c r="CN165" s="161"/>
      <c r="CO165" s="161"/>
      <c r="CP165" s="161"/>
      <c r="CQ165" s="161"/>
      <c r="CR165" s="161"/>
      <c r="CS165" s="161"/>
      <c r="CT165" s="161"/>
      <c r="CU165" s="161"/>
      <c r="CV165" s="161"/>
      <c r="CW165" s="161"/>
      <c r="CX165" s="161"/>
      <c r="CY165" s="161"/>
      <c r="CZ165" s="161"/>
      <c r="DA165" s="161"/>
      <c r="DB165" s="161"/>
      <c r="DC165" s="161"/>
      <c r="DD165" s="161"/>
      <c r="DE165" s="161"/>
      <c r="DF165" s="161"/>
      <c r="DG165" s="161"/>
      <c r="DH165" s="161"/>
      <c r="DI165" s="161"/>
      <c r="DJ165" s="161"/>
      <c r="DK165" s="177"/>
      <c r="DL165" s="177"/>
      <c r="DM165" s="177"/>
      <c r="DN165" s="177"/>
      <c r="DO165" s="177"/>
      <c r="DP165" s="177"/>
      <c r="DQ165" s="177"/>
      <c r="DR165" s="177"/>
      <c r="DS165" s="177"/>
      <c r="DT165" s="177"/>
      <c r="DU165" s="177"/>
      <c r="DV165" s="177"/>
      <c r="DW165" s="177"/>
      <c r="DX165" s="177"/>
      <c r="DY165" s="177"/>
      <c r="DZ165" s="177"/>
      <c r="EA165" s="177"/>
      <c r="EB165" s="808"/>
      <c r="EC165" s="808"/>
      <c r="ED165" s="808"/>
      <c r="EF165" s="161"/>
      <c r="EH165" s="161"/>
      <c r="EM165" s="161"/>
      <c r="EN165" s="161"/>
      <c r="EO165" s="161"/>
      <c r="EP165" s="161"/>
      <c r="FL165" s="285"/>
      <c r="FM165" s="285"/>
      <c r="FN165" s="285"/>
      <c r="FO165" s="432"/>
      <c r="FP165" s="161"/>
      <c r="FQ165" s="161"/>
      <c r="FR165" s="430"/>
      <c r="FS165" s="641"/>
      <c r="FT165" s="639"/>
      <c r="FU165" s="668"/>
      <c r="FV165" s="667"/>
      <c r="FW165" s="668"/>
      <c r="FX165" s="667"/>
      <c r="FY165" s="749"/>
      <c r="FZ165" s="747"/>
      <c r="GA165" s="782"/>
      <c r="GB165" s="782"/>
      <c r="GC165" s="808"/>
      <c r="GD165" s="782"/>
      <c r="GE165" s="808"/>
    </row>
    <row r="166" spans="1:187">
      <c r="A166" s="161"/>
      <c r="B166" s="267"/>
      <c r="C166" s="161"/>
      <c r="D166" s="161"/>
      <c r="E166" s="161"/>
      <c r="F166" s="161"/>
      <c r="G166" s="161"/>
      <c r="H166" s="161"/>
      <c r="I166" s="161"/>
      <c r="J166" s="161"/>
      <c r="K166" s="161"/>
      <c r="L166" s="264"/>
      <c r="M166" s="264"/>
      <c r="N166" s="264"/>
      <c r="O166" s="264"/>
      <c r="P166" s="264"/>
      <c r="Q166" s="264"/>
      <c r="R166" s="264"/>
      <c r="S166" s="264"/>
      <c r="T166" s="264"/>
      <c r="U166" s="264"/>
      <c r="V166" s="264"/>
      <c r="W166" s="264"/>
      <c r="X166" s="264"/>
      <c r="Y166" s="264"/>
      <c r="Z166" s="264"/>
      <c r="AA166" s="264"/>
      <c r="AB166" s="264"/>
      <c r="AC166" s="264"/>
      <c r="AD166" s="264"/>
      <c r="AE166" s="264"/>
      <c r="AF166" s="264"/>
      <c r="AG166" s="264"/>
      <c r="AH166" s="264"/>
      <c r="AI166" s="264"/>
      <c r="AJ166" s="264"/>
      <c r="AK166" s="264"/>
      <c r="AL166" s="264"/>
      <c r="AM166" s="264"/>
      <c r="AN166" s="265"/>
      <c r="AO166" s="265"/>
      <c r="AP166" s="264"/>
      <c r="AQ166" s="285"/>
      <c r="AR166" s="285"/>
      <c r="AS166" s="285"/>
      <c r="AT166" s="285"/>
      <c r="AU166" s="285"/>
      <c r="AV166" s="285"/>
      <c r="AW166" s="285"/>
      <c r="AX166" s="285"/>
      <c r="AY166" s="285"/>
      <c r="AZ166" s="285"/>
      <c r="BA166" s="285"/>
      <c r="BB166" s="285"/>
      <c r="BC166" s="306"/>
      <c r="BD166" s="306"/>
      <c r="BE166" s="306"/>
      <c r="BF166" s="306"/>
      <c r="BG166" s="306"/>
      <c r="BH166" s="306"/>
      <c r="BI166" s="285"/>
      <c r="BJ166" s="285"/>
      <c r="BK166" s="264"/>
      <c r="BL166" s="264"/>
      <c r="BM166" s="264"/>
      <c r="BN166" s="264"/>
      <c r="BO166" s="264"/>
      <c r="BP166" s="264"/>
      <c r="BQ166" s="264"/>
      <c r="BR166" s="264"/>
      <c r="BS166" s="264"/>
      <c r="BT166" s="264"/>
      <c r="BU166" s="782"/>
      <c r="BV166" s="782"/>
      <c r="BW166" s="782"/>
      <c r="BX166" s="782"/>
      <c r="BY166" s="161"/>
      <c r="BZ166" s="161"/>
      <c r="CA166" s="161"/>
      <c r="CB166" s="161"/>
      <c r="CC166" s="161"/>
      <c r="CD166" s="161"/>
      <c r="CE166" s="161"/>
      <c r="CF166" s="161"/>
      <c r="CG166" s="161"/>
      <c r="CH166" s="161"/>
      <c r="CI166" s="161"/>
      <c r="CJ166" s="161"/>
      <c r="CK166" s="161"/>
      <c r="CL166" s="161"/>
      <c r="CM166" s="161"/>
      <c r="CN166" s="161"/>
      <c r="CO166" s="161"/>
      <c r="CP166" s="161"/>
      <c r="CQ166" s="161"/>
      <c r="CR166" s="161"/>
      <c r="CS166" s="161"/>
      <c r="CT166" s="161"/>
      <c r="CU166" s="161"/>
      <c r="CV166" s="161"/>
      <c r="CW166" s="161"/>
      <c r="CX166" s="161"/>
      <c r="CY166" s="161"/>
      <c r="CZ166" s="161"/>
      <c r="DA166" s="161"/>
      <c r="DB166" s="161"/>
      <c r="DC166" s="161"/>
      <c r="DD166" s="161"/>
      <c r="DE166" s="161"/>
      <c r="DF166" s="161"/>
      <c r="DG166" s="161"/>
      <c r="DH166" s="161"/>
      <c r="DI166" s="161"/>
      <c r="DJ166" s="161"/>
      <c r="DK166" s="177"/>
      <c r="DL166" s="177"/>
      <c r="DM166" s="177"/>
      <c r="DN166" s="177"/>
      <c r="DO166" s="177"/>
      <c r="DP166" s="177"/>
      <c r="DQ166" s="177"/>
      <c r="DR166" s="177"/>
      <c r="DS166" s="177"/>
      <c r="DT166" s="177"/>
      <c r="DU166" s="177"/>
      <c r="DV166" s="177"/>
      <c r="DW166" s="177"/>
      <c r="DX166" s="177"/>
      <c r="DY166" s="177"/>
      <c r="DZ166" s="177"/>
      <c r="EA166" s="177"/>
      <c r="EB166" s="808"/>
      <c r="EC166" s="808"/>
      <c r="ED166" s="808"/>
      <c r="EF166" s="161"/>
      <c r="EH166" s="161"/>
      <c r="EM166" s="161"/>
      <c r="EN166" s="161"/>
      <c r="EO166" s="161"/>
      <c r="EP166" s="161"/>
      <c r="FL166" s="285"/>
      <c r="FM166" s="285"/>
      <c r="FN166" s="285"/>
      <c r="FO166" s="432"/>
      <c r="FP166" s="161"/>
      <c r="FQ166" s="161"/>
      <c r="FR166" s="430"/>
      <c r="FS166" s="641"/>
      <c r="FT166" s="639"/>
      <c r="FU166" s="668"/>
      <c r="FV166" s="667"/>
      <c r="FW166" s="668"/>
      <c r="FX166" s="667"/>
      <c r="FY166" s="749"/>
      <c r="FZ166" s="747"/>
      <c r="GA166" s="782"/>
      <c r="GB166" s="782"/>
      <c r="GC166" s="808"/>
      <c r="GD166" s="782"/>
      <c r="GE166" s="808"/>
    </row>
    <row r="167" spans="1:187">
      <c r="A167" s="161"/>
      <c r="B167" s="267"/>
      <c r="C167" s="161"/>
      <c r="D167" s="161"/>
      <c r="E167" s="161"/>
      <c r="F167" s="161"/>
      <c r="G167" s="161"/>
      <c r="H167" s="161"/>
      <c r="I167" s="161"/>
      <c r="J167" s="161"/>
      <c r="K167" s="161"/>
      <c r="L167" s="264"/>
      <c r="M167" s="264"/>
      <c r="N167" s="264"/>
      <c r="O167" s="264"/>
      <c r="P167" s="264"/>
      <c r="Q167" s="264"/>
      <c r="R167" s="264"/>
      <c r="S167" s="264"/>
      <c r="T167" s="264"/>
      <c r="U167" s="264"/>
      <c r="V167" s="264"/>
      <c r="W167" s="264"/>
      <c r="X167" s="264"/>
      <c r="Y167" s="264"/>
      <c r="Z167" s="264"/>
      <c r="AA167" s="264"/>
      <c r="AB167" s="264"/>
      <c r="AC167" s="264"/>
      <c r="AD167" s="264"/>
      <c r="AE167" s="264"/>
      <c r="AF167" s="264"/>
      <c r="AG167" s="264"/>
      <c r="AH167" s="264"/>
      <c r="AI167" s="264"/>
      <c r="AJ167" s="264"/>
      <c r="AK167" s="264"/>
      <c r="AL167" s="264"/>
      <c r="AM167" s="264"/>
      <c r="AN167" s="265"/>
      <c r="AO167" s="265"/>
      <c r="AP167" s="264"/>
      <c r="AQ167" s="285"/>
      <c r="AR167" s="285"/>
      <c r="AS167" s="285"/>
      <c r="AT167" s="285"/>
      <c r="AU167" s="285"/>
      <c r="AV167" s="285"/>
      <c r="AW167" s="285"/>
      <c r="AX167" s="285"/>
      <c r="AY167" s="285"/>
      <c r="AZ167" s="285"/>
      <c r="BA167" s="285"/>
      <c r="BB167" s="285"/>
      <c r="BC167" s="306"/>
      <c r="BD167" s="306"/>
      <c r="BE167" s="306"/>
      <c r="BF167" s="306"/>
      <c r="BG167" s="306"/>
      <c r="BH167" s="306"/>
      <c r="BI167" s="285"/>
      <c r="BJ167" s="285"/>
      <c r="BK167" s="264"/>
      <c r="BL167" s="264"/>
      <c r="BM167" s="264"/>
      <c r="BN167" s="264"/>
      <c r="BO167" s="264"/>
      <c r="BP167" s="264"/>
      <c r="BQ167" s="264"/>
      <c r="BR167" s="264"/>
      <c r="BS167" s="264"/>
      <c r="BT167" s="264"/>
      <c r="BU167" s="782"/>
      <c r="BV167" s="782"/>
      <c r="BW167" s="782"/>
      <c r="BX167" s="782"/>
      <c r="BY167" s="161"/>
      <c r="BZ167" s="161"/>
      <c r="CA167" s="161"/>
      <c r="CB167" s="161"/>
      <c r="CC167" s="161"/>
      <c r="CD167" s="161"/>
      <c r="CE167" s="161"/>
      <c r="CF167" s="161"/>
      <c r="CG167" s="161"/>
      <c r="CH167" s="161"/>
      <c r="CI167" s="161"/>
      <c r="CJ167" s="161"/>
      <c r="CK167" s="161"/>
      <c r="CL167" s="161"/>
      <c r="CM167" s="161"/>
      <c r="CN167" s="161"/>
      <c r="CO167" s="161"/>
      <c r="CP167" s="161"/>
      <c r="CQ167" s="161"/>
      <c r="CR167" s="161"/>
      <c r="CS167" s="161"/>
      <c r="CT167" s="161"/>
      <c r="CU167" s="161"/>
      <c r="CV167" s="161"/>
      <c r="CW167" s="161"/>
      <c r="CX167" s="161"/>
      <c r="CY167" s="161"/>
      <c r="CZ167" s="161"/>
      <c r="DA167" s="161"/>
      <c r="DB167" s="161"/>
      <c r="DC167" s="161"/>
      <c r="DD167" s="161"/>
      <c r="DE167" s="161"/>
      <c r="DF167" s="161"/>
      <c r="DG167" s="161"/>
      <c r="DH167" s="161"/>
      <c r="DI167" s="161"/>
      <c r="DJ167" s="161"/>
      <c r="DK167" s="177"/>
      <c r="DL167" s="177"/>
      <c r="DM167" s="177"/>
      <c r="DN167" s="177"/>
      <c r="DO167" s="177"/>
      <c r="DP167" s="177"/>
      <c r="DQ167" s="177"/>
      <c r="DR167" s="177"/>
      <c r="DS167" s="177"/>
      <c r="DT167" s="177"/>
      <c r="DU167" s="177"/>
      <c r="DV167" s="177"/>
      <c r="DW167" s="177"/>
      <c r="DX167" s="177"/>
      <c r="DY167" s="177"/>
      <c r="DZ167" s="177"/>
      <c r="EA167" s="177"/>
      <c r="EB167" s="808"/>
      <c r="EC167" s="808"/>
      <c r="ED167" s="808"/>
      <c r="EF167" s="161"/>
      <c r="EH167" s="161"/>
      <c r="EM167" s="161"/>
      <c r="EN167" s="161"/>
      <c r="EO167" s="161"/>
      <c r="EP167" s="161"/>
      <c r="FL167" s="285"/>
      <c r="FM167" s="285"/>
      <c r="FN167" s="285"/>
      <c r="FO167" s="432"/>
      <c r="FP167" s="161"/>
      <c r="FQ167" s="161"/>
      <c r="FR167" s="430"/>
      <c r="FS167" s="641"/>
      <c r="FT167" s="639"/>
      <c r="FU167" s="668"/>
      <c r="FV167" s="667"/>
      <c r="FW167" s="668"/>
      <c r="FX167" s="667"/>
      <c r="FY167" s="749"/>
      <c r="FZ167" s="747"/>
      <c r="GA167" s="782"/>
      <c r="GB167" s="782"/>
      <c r="GC167" s="808"/>
      <c r="GD167" s="782"/>
      <c r="GE167" s="808"/>
    </row>
    <row r="168" spans="1:187">
      <c r="A168" s="161"/>
      <c r="B168" s="267"/>
      <c r="C168" s="161"/>
      <c r="D168" s="161"/>
      <c r="E168" s="161"/>
      <c r="F168" s="161"/>
      <c r="G168" s="161"/>
      <c r="H168" s="161"/>
      <c r="I168" s="161"/>
      <c r="J168" s="161"/>
      <c r="K168" s="161"/>
      <c r="L168" s="264"/>
      <c r="M168" s="264"/>
      <c r="N168" s="264"/>
      <c r="O168" s="264"/>
      <c r="P168" s="264"/>
      <c r="Q168" s="264"/>
      <c r="R168" s="264"/>
      <c r="S168" s="264"/>
      <c r="T168" s="264"/>
      <c r="U168" s="264"/>
      <c r="V168" s="264"/>
      <c r="W168" s="264"/>
      <c r="X168" s="264"/>
      <c r="Y168" s="264"/>
      <c r="Z168" s="264"/>
      <c r="AA168" s="264"/>
      <c r="AB168" s="264"/>
      <c r="AC168" s="264"/>
      <c r="AD168" s="264"/>
      <c r="AE168" s="264"/>
      <c r="AF168" s="264"/>
      <c r="AG168" s="264"/>
      <c r="AH168" s="264"/>
      <c r="AI168" s="264"/>
      <c r="AJ168" s="264"/>
      <c r="AK168" s="264"/>
      <c r="AL168" s="264"/>
      <c r="AM168" s="264"/>
      <c r="AN168" s="265"/>
      <c r="AO168" s="265"/>
      <c r="AP168" s="264"/>
      <c r="AQ168" s="285"/>
      <c r="AR168" s="285"/>
      <c r="AS168" s="285"/>
      <c r="AT168" s="285"/>
      <c r="AU168" s="285"/>
      <c r="AV168" s="285"/>
      <c r="AW168" s="285"/>
      <c r="AX168" s="285"/>
      <c r="AY168" s="285"/>
      <c r="AZ168" s="285"/>
      <c r="BA168" s="285"/>
      <c r="BB168" s="285"/>
      <c r="BC168" s="306"/>
      <c r="BD168" s="306"/>
      <c r="BE168" s="306"/>
      <c r="BF168" s="306"/>
      <c r="BG168" s="306"/>
      <c r="BH168" s="306"/>
      <c r="BI168" s="285"/>
      <c r="BJ168" s="285"/>
      <c r="BK168" s="264"/>
      <c r="BL168" s="264"/>
      <c r="BM168" s="264"/>
      <c r="BN168" s="264"/>
      <c r="BO168" s="264"/>
      <c r="BP168" s="264"/>
      <c r="BQ168" s="264"/>
      <c r="BR168" s="264"/>
      <c r="BS168" s="264"/>
      <c r="BT168" s="264"/>
      <c r="BU168" s="782"/>
      <c r="BV168" s="782"/>
      <c r="BW168" s="782"/>
      <c r="BX168" s="782"/>
      <c r="BY168" s="161"/>
      <c r="BZ168" s="161"/>
      <c r="CA168" s="161"/>
      <c r="CB168" s="161"/>
      <c r="CC168" s="161"/>
      <c r="CD168" s="161"/>
      <c r="CE168" s="161"/>
      <c r="CF168" s="161"/>
      <c r="CG168" s="161"/>
      <c r="CH168" s="161"/>
      <c r="CI168" s="161"/>
      <c r="CJ168" s="161"/>
      <c r="CK168" s="161"/>
      <c r="CL168" s="161"/>
      <c r="CM168" s="161"/>
      <c r="CN168" s="161"/>
      <c r="CO168" s="161"/>
      <c r="CP168" s="161"/>
      <c r="CQ168" s="161"/>
      <c r="CR168" s="161"/>
      <c r="CS168" s="161"/>
      <c r="CT168" s="161"/>
      <c r="CU168" s="161"/>
      <c r="CV168" s="161"/>
      <c r="CW168" s="161"/>
      <c r="CX168" s="161"/>
      <c r="CY168" s="161"/>
      <c r="CZ168" s="161"/>
      <c r="DA168" s="161"/>
      <c r="DB168" s="161"/>
      <c r="DC168" s="161"/>
      <c r="DD168" s="161"/>
      <c r="DE168" s="161"/>
      <c r="DF168" s="161"/>
      <c r="DG168" s="161"/>
      <c r="DH168" s="161"/>
      <c r="DI168" s="161"/>
      <c r="DJ168" s="161"/>
      <c r="DK168" s="177"/>
      <c r="DL168" s="177"/>
      <c r="DM168" s="177"/>
      <c r="DN168" s="177"/>
      <c r="DO168" s="177"/>
      <c r="DP168" s="177"/>
      <c r="DQ168" s="177"/>
      <c r="DR168" s="177"/>
      <c r="DS168" s="177"/>
      <c r="DT168" s="177"/>
      <c r="DU168" s="177"/>
      <c r="DV168" s="177"/>
      <c r="DW168" s="177"/>
      <c r="DX168" s="177"/>
      <c r="DY168" s="177"/>
      <c r="DZ168" s="177"/>
      <c r="EA168" s="177"/>
      <c r="EB168" s="808"/>
      <c r="EC168" s="808"/>
      <c r="ED168" s="808"/>
      <c r="EF168" s="161"/>
      <c r="EH168" s="161"/>
      <c r="EM168" s="161"/>
      <c r="EN168" s="161"/>
      <c r="EO168" s="161"/>
      <c r="EP168" s="161"/>
      <c r="FL168" s="285"/>
      <c r="FM168" s="285"/>
      <c r="FN168" s="285"/>
      <c r="FO168" s="432"/>
      <c r="FP168" s="161"/>
      <c r="FQ168" s="161"/>
      <c r="FR168" s="430"/>
      <c r="FS168" s="641"/>
      <c r="FT168" s="639"/>
      <c r="FU168" s="668"/>
      <c r="FV168" s="667"/>
      <c r="FW168" s="668"/>
      <c r="FX168" s="667"/>
      <c r="FY168" s="749"/>
      <c r="FZ168" s="747"/>
      <c r="GA168" s="782"/>
      <c r="GB168" s="782"/>
      <c r="GC168" s="808"/>
      <c r="GD168" s="782"/>
      <c r="GE168" s="808"/>
    </row>
    <row r="169" spans="1:187">
      <c r="A169" s="161"/>
      <c r="B169" s="268" t="s">
        <v>92</v>
      </c>
      <c r="C169" s="161"/>
      <c r="D169" s="161"/>
      <c r="E169" s="161"/>
      <c r="F169" s="161"/>
      <c r="G169" s="161"/>
      <c r="H169" s="161"/>
      <c r="I169" s="161"/>
      <c r="J169" s="161"/>
      <c r="K169" s="161"/>
      <c r="L169" s="264"/>
      <c r="M169" s="264"/>
      <c r="N169" s="264"/>
      <c r="O169" s="264"/>
      <c r="P169" s="264"/>
      <c r="Q169" s="264"/>
      <c r="R169" s="264"/>
      <c r="S169" s="264"/>
      <c r="T169" s="264"/>
      <c r="U169" s="264"/>
      <c r="V169" s="264"/>
      <c r="W169" s="264"/>
      <c r="X169" s="264"/>
      <c r="Y169" s="264"/>
      <c r="Z169" s="264"/>
      <c r="AA169" s="264"/>
      <c r="AB169" s="264"/>
      <c r="AC169" s="264"/>
      <c r="AD169" s="264"/>
      <c r="AE169" s="264"/>
      <c r="AF169" s="264"/>
      <c r="AG169" s="264"/>
      <c r="AH169" s="264"/>
      <c r="AI169" s="264"/>
      <c r="AJ169" s="264"/>
      <c r="AK169" s="264"/>
      <c r="AL169" s="264"/>
      <c r="AM169" s="264"/>
      <c r="AN169" s="294">
        <f t="shared" ref="AN169:BD169" si="224">AN140-AN159</f>
        <v>1001.5349999999999</v>
      </c>
      <c r="AO169" s="294">
        <f t="shared" si="224"/>
        <v>925.96799999999985</v>
      </c>
      <c r="AP169" s="294">
        <f t="shared" si="224"/>
        <v>874.73900000000003</v>
      </c>
      <c r="AQ169" s="294">
        <f t="shared" si="224"/>
        <v>791.57699999999977</v>
      </c>
      <c r="AR169" s="294">
        <f t="shared" si="224"/>
        <v>1165.413</v>
      </c>
      <c r="AS169" s="294">
        <f t="shared" si="224"/>
        <v>1000.183</v>
      </c>
      <c r="AT169" s="294">
        <f t="shared" si="224"/>
        <v>942.69999999999982</v>
      </c>
      <c r="AU169" s="294">
        <f t="shared" si="224"/>
        <v>517.56200000000013</v>
      </c>
      <c r="AV169" s="294">
        <f t="shared" si="224"/>
        <v>1520.6370000000002</v>
      </c>
      <c r="AW169" s="294">
        <f t="shared" si="224"/>
        <v>1393.0540000000001</v>
      </c>
      <c r="AX169" s="294">
        <f t="shared" si="224"/>
        <v>998.94600000000014</v>
      </c>
      <c r="AY169" s="294">
        <f t="shared" si="224"/>
        <v>-946.38999999999987</v>
      </c>
      <c r="AZ169" s="294">
        <f t="shared" si="224"/>
        <v>1127.2739999999999</v>
      </c>
      <c r="BA169" s="294">
        <f t="shared" si="224"/>
        <v>978</v>
      </c>
      <c r="BB169" s="294">
        <f t="shared" si="224"/>
        <v>621.97599999999966</v>
      </c>
      <c r="BC169" s="294">
        <f t="shared" si="224"/>
        <v>-77.045999999999822</v>
      </c>
      <c r="BD169" s="294">
        <f t="shared" si="224"/>
        <v>888.48799999999983</v>
      </c>
      <c r="BE169" s="294">
        <f>BE140-BE159</f>
        <v>461.60199999999986</v>
      </c>
      <c r="BF169" s="294">
        <f>BF140-BF159</f>
        <v>423.44899999999961</v>
      </c>
      <c r="BG169" s="294">
        <f>BG140-BG159</f>
        <v>-840.09700000000021</v>
      </c>
      <c r="BH169" s="294">
        <f>BH140-BH159</f>
        <v>1033.6950000000002</v>
      </c>
      <c r="BI169" s="294">
        <f t="shared" ref="BI169:BO169" si="225">BI140-BI159</f>
        <v>357.3739999999998</v>
      </c>
      <c r="BJ169" s="294">
        <f t="shared" si="225"/>
        <v>-487.7510000000002</v>
      </c>
      <c r="BK169" s="294">
        <f t="shared" si="225"/>
        <v>-532.32400000000007</v>
      </c>
      <c r="BL169" s="294">
        <f t="shared" si="225"/>
        <v>1326.6039999999998</v>
      </c>
      <c r="BM169" s="294">
        <f>BM140-BM159</f>
        <v>857.69400000000041</v>
      </c>
      <c r="BN169" s="294">
        <f>BN140-BN159</f>
        <v>823.95800000000008</v>
      </c>
      <c r="BO169" s="294">
        <f t="shared" si="225"/>
        <v>1281.9409999999998</v>
      </c>
      <c r="BP169" s="294">
        <f>BP140-BP159</f>
        <v>1675.6610000000001</v>
      </c>
      <c r="BQ169" s="294">
        <f>BQ140-BQ159</f>
        <v>2043.3829999999998</v>
      </c>
      <c r="BR169" s="294">
        <f>BR140-BR159</f>
        <v>1568.5300000000002</v>
      </c>
      <c r="BS169" s="294">
        <f>BS140-BS159</f>
        <v>1461.0680000000002</v>
      </c>
      <c r="BT169" s="294">
        <f>BT140-BT159</f>
        <v>2333.3559999999998</v>
      </c>
      <c r="BU169" s="792">
        <f t="shared" ref="BU169:BW169" si="226">BU140-BU159</f>
        <v>1896.4951420000002</v>
      </c>
      <c r="BV169" s="792">
        <f t="shared" si="226"/>
        <v>1750.3037316000004</v>
      </c>
      <c r="BW169" s="792">
        <f t="shared" si="226"/>
        <v>1620.5005937000028</v>
      </c>
      <c r="BX169" s="792">
        <f>BX140-BX159</f>
        <v>7600.6554673000028</v>
      </c>
      <c r="BY169" s="161"/>
      <c r="BZ169" s="161"/>
      <c r="CA169" s="161"/>
      <c r="CB169" s="161"/>
      <c r="CC169" s="161"/>
      <c r="CD169" s="161"/>
      <c r="CE169" s="161"/>
      <c r="CF169" s="161"/>
      <c r="CG169" s="161"/>
      <c r="CH169" s="161"/>
      <c r="CI169" s="161"/>
      <c r="CJ169" s="161"/>
      <c r="CK169" s="161"/>
      <c r="CL169" s="161"/>
      <c r="CM169" s="161"/>
      <c r="CN169" s="161"/>
      <c r="CO169" s="161"/>
      <c r="CP169" s="161"/>
      <c r="CQ169" s="161"/>
      <c r="CR169" s="161"/>
      <c r="CS169" s="161"/>
      <c r="CT169" s="161"/>
      <c r="CU169" s="161"/>
      <c r="CV169" s="161"/>
      <c r="CW169" s="161"/>
      <c r="CX169" s="161"/>
      <c r="CY169" s="161"/>
      <c r="CZ169" s="161"/>
      <c r="DA169" s="161"/>
      <c r="DB169" s="161"/>
      <c r="DC169" s="161"/>
      <c r="DD169" s="161"/>
      <c r="DE169" s="161"/>
      <c r="DF169" s="161"/>
      <c r="DG169" s="161"/>
      <c r="DH169" s="161"/>
      <c r="DI169" s="161"/>
      <c r="DJ169" s="161"/>
      <c r="DK169" s="486">
        <f t="shared" ref="DK169:DU169" si="227">BD169/AZ169-1</f>
        <v>-0.21182605116413589</v>
      </c>
      <c r="DL169" s="486">
        <f t="shared" si="227"/>
        <v>-0.52801431492842554</v>
      </c>
      <c r="DM169" s="486">
        <f t="shared" si="227"/>
        <v>-0.31918755707615754</v>
      </c>
      <c r="DN169" s="486">
        <f t="shared" si="227"/>
        <v>9.9038366690029616</v>
      </c>
      <c r="DO169" s="486">
        <f t="shared" si="227"/>
        <v>0.16343158264377267</v>
      </c>
      <c r="DP169" s="486">
        <f t="shared" si="227"/>
        <v>-0.22579624871642689</v>
      </c>
      <c r="DQ169" s="486">
        <f t="shared" si="227"/>
        <v>-2.151852997645527</v>
      </c>
      <c r="DR169" s="486">
        <f t="shared" si="227"/>
        <v>-0.36635412339289397</v>
      </c>
      <c r="DS169" s="486">
        <f t="shared" si="227"/>
        <v>0.28336114617948205</v>
      </c>
      <c r="DT169" s="486">
        <f t="shared" si="227"/>
        <v>1.399989926519559</v>
      </c>
      <c r="DU169" s="486">
        <f t="shared" si="227"/>
        <v>-2.6893004832383731</v>
      </c>
      <c r="DV169" s="486"/>
      <c r="DW169" s="486">
        <f>BP169/BL169-1</f>
        <v>0.26312072027522926</v>
      </c>
      <c r="DX169" s="486">
        <f>BQ169/BM169-1</f>
        <v>1.3824149405265733</v>
      </c>
      <c r="DY169" s="486">
        <f>BR169/BN169-1</f>
        <v>0.90365285609217949</v>
      </c>
      <c r="DZ169" s="486">
        <f>BS169/BO169-1</f>
        <v>0.13973107966747333</v>
      </c>
      <c r="EA169" s="486">
        <f>BT169/BP169-1</f>
        <v>0.39249884075597619</v>
      </c>
      <c r="EB169" s="983"/>
      <c r="EC169" s="983"/>
      <c r="ED169" s="983"/>
      <c r="EF169" s="161"/>
      <c r="EH169" s="161"/>
      <c r="EM169" s="161"/>
      <c r="EN169" s="161"/>
      <c r="EO169" s="161"/>
      <c r="EP169" s="161"/>
      <c r="FL169" s="294">
        <v>326.73771089999946</v>
      </c>
      <c r="FM169" s="294">
        <v>452.58001677499988</v>
      </c>
      <c r="FN169" s="294">
        <v>505.9138233599997</v>
      </c>
      <c r="FO169" s="441">
        <v>-452.97087867587652</v>
      </c>
      <c r="FP169" s="161"/>
      <c r="FQ169" s="161"/>
      <c r="FR169" s="430"/>
      <c r="FS169" s="653">
        <v>915</v>
      </c>
      <c r="FT169" s="639"/>
      <c r="FU169" s="682">
        <v>770</v>
      </c>
      <c r="FV169" s="667"/>
      <c r="FW169" s="682">
        <v>939.56424471240734</v>
      </c>
      <c r="FX169" s="667"/>
      <c r="FY169" s="760"/>
      <c r="FZ169" s="747"/>
      <c r="GA169" s="792">
        <v>1530.0277000000006</v>
      </c>
      <c r="GB169" s="792">
        <v>1400.8669300000001</v>
      </c>
      <c r="GC169" s="808"/>
      <c r="GD169" s="792">
        <v>922.63922018500125</v>
      </c>
      <c r="GE169" s="808"/>
    </row>
    <row r="170" spans="1:187">
      <c r="A170" s="161"/>
      <c r="B170" s="268"/>
      <c r="C170" s="161"/>
      <c r="D170" s="161"/>
      <c r="E170" s="161"/>
      <c r="F170" s="161"/>
      <c r="G170" s="161"/>
      <c r="H170" s="161"/>
      <c r="I170" s="161"/>
      <c r="J170" s="161"/>
      <c r="K170" s="161"/>
      <c r="L170" s="264"/>
      <c r="M170" s="264"/>
      <c r="N170" s="264"/>
      <c r="O170" s="264"/>
      <c r="P170" s="264"/>
      <c r="Q170" s="264"/>
      <c r="R170" s="264"/>
      <c r="S170" s="264"/>
      <c r="T170" s="264"/>
      <c r="U170" s="264"/>
      <c r="V170" s="264"/>
      <c r="W170" s="264"/>
      <c r="X170" s="264"/>
      <c r="Y170" s="264"/>
      <c r="Z170" s="264"/>
      <c r="AA170" s="264"/>
      <c r="AB170" s="264"/>
      <c r="AC170" s="264"/>
      <c r="AD170" s="264"/>
      <c r="AE170" s="264"/>
      <c r="AF170" s="264"/>
      <c r="AG170" s="264"/>
      <c r="AH170" s="264"/>
      <c r="AI170" s="264"/>
      <c r="AJ170" s="264"/>
      <c r="AK170" s="264"/>
      <c r="AL170" s="264"/>
      <c r="AM170" s="264"/>
      <c r="AN170" s="294"/>
      <c r="AO170" s="294"/>
      <c r="AP170" s="294"/>
      <c r="AQ170" s="285">
        <f>SUM(AN169:AQ169)/SUM(AN72:AQ72)</f>
        <v>0.1849033190942718</v>
      </c>
      <c r="AR170" s="285"/>
      <c r="AS170" s="285"/>
      <c r="AT170" s="285"/>
      <c r="AU170" s="285"/>
      <c r="AV170" s="285"/>
      <c r="AW170" s="285"/>
      <c r="AX170" s="285"/>
      <c r="AY170" s="285"/>
      <c r="AZ170" s="285"/>
      <c r="BA170" s="285"/>
      <c r="BB170" s="285"/>
      <c r="BC170" s="285"/>
      <c r="BD170" s="285"/>
      <c r="BE170" s="285"/>
      <c r="BF170" s="285"/>
      <c r="BG170" s="285"/>
      <c r="BH170" s="285"/>
      <c r="BI170" s="285"/>
      <c r="BJ170" s="285"/>
      <c r="BK170" s="285"/>
      <c r="BL170" s="285"/>
      <c r="BM170" s="285"/>
      <c r="BN170" s="285"/>
      <c r="BO170" s="285"/>
      <c r="BP170" s="285"/>
      <c r="BQ170" s="285"/>
      <c r="BR170" s="285"/>
      <c r="BS170" s="285"/>
      <c r="BT170" s="285"/>
      <c r="BU170" s="802"/>
      <c r="BV170" s="802"/>
      <c r="BW170" s="802"/>
      <c r="BX170" s="802"/>
      <c r="BY170" s="161"/>
      <c r="BZ170" s="161"/>
      <c r="CA170" s="161"/>
      <c r="CB170" s="161"/>
      <c r="CC170" s="161"/>
      <c r="CD170" s="161"/>
      <c r="CE170" s="161"/>
      <c r="CF170" s="161"/>
      <c r="CG170" s="161"/>
      <c r="CH170" s="161"/>
      <c r="CI170" s="161"/>
      <c r="CJ170" s="161"/>
      <c r="CK170" s="161"/>
      <c r="CL170" s="161"/>
      <c r="CM170" s="161"/>
      <c r="CN170" s="161"/>
      <c r="CO170" s="161"/>
      <c r="CP170" s="161"/>
      <c r="CQ170" s="161"/>
      <c r="CR170" s="161"/>
      <c r="CS170" s="161"/>
      <c r="CT170" s="161"/>
      <c r="CU170" s="161"/>
      <c r="CV170" s="161"/>
      <c r="CW170" s="161"/>
      <c r="CX170" s="161"/>
      <c r="CY170" s="161"/>
      <c r="CZ170" s="161"/>
      <c r="DA170" s="161"/>
      <c r="DB170" s="161"/>
      <c r="DC170" s="161"/>
      <c r="DD170" s="161"/>
      <c r="DE170" s="161"/>
      <c r="DF170" s="161"/>
      <c r="DG170" s="161"/>
      <c r="DH170" s="161"/>
      <c r="DI170" s="161"/>
      <c r="DJ170" s="161"/>
      <c r="DK170" s="177"/>
      <c r="DL170" s="177"/>
      <c r="DM170" s="177"/>
      <c r="DN170" s="177"/>
      <c r="DO170" s="177"/>
      <c r="DP170" s="177"/>
      <c r="DQ170" s="177"/>
      <c r="DR170" s="177"/>
      <c r="DS170" s="177"/>
      <c r="DT170" s="177"/>
      <c r="DU170" s="177"/>
      <c r="DV170" s="177"/>
      <c r="DW170" s="177"/>
      <c r="DX170" s="177"/>
      <c r="DY170" s="177"/>
      <c r="DZ170" s="177"/>
      <c r="EA170" s="177"/>
      <c r="EB170" s="808"/>
      <c r="EC170" s="808"/>
      <c r="ED170" s="808"/>
      <c r="EF170" s="161"/>
      <c r="EH170" s="161"/>
      <c r="EM170" s="161"/>
      <c r="EN170" s="161"/>
      <c r="EO170" s="161"/>
      <c r="EP170" s="161"/>
      <c r="FL170" s="285"/>
      <c r="FM170" s="285"/>
      <c r="FN170" s="285"/>
      <c r="FO170" s="447"/>
      <c r="FP170" s="161"/>
      <c r="FQ170" s="161"/>
      <c r="FR170" s="430"/>
      <c r="FS170" s="660"/>
      <c r="FT170" s="639"/>
      <c r="FU170" s="690"/>
      <c r="FV170" s="667"/>
      <c r="FW170" s="690"/>
      <c r="FX170" s="667"/>
      <c r="FY170" s="769"/>
      <c r="FZ170" s="747"/>
      <c r="GA170" s="802"/>
      <c r="GB170" s="802"/>
      <c r="GC170" s="808"/>
      <c r="GD170" s="802"/>
      <c r="GE170" s="808"/>
    </row>
    <row r="171" spans="1:187">
      <c r="A171" s="161"/>
      <c r="B171" s="267"/>
      <c r="C171" s="161"/>
      <c r="D171" s="161"/>
      <c r="E171" s="161"/>
      <c r="F171" s="161"/>
      <c r="G171" s="161"/>
      <c r="H171" s="161"/>
      <c r="I171" s="161"/>
      <c r="J171" s="161"/>
      <c r="K171" s="161"/>
      <c r="L171" s="264"/>
      <c r="M171" s="264"/>
      <c r="N171" s="264"/>
      <c r="O171" s="264"/>
      <c r="P171" s="264"/>
      <c r="Q171" s="264"/>
      <c r="R171" s="264"/>
      <c r="S171" s="264"/>
      <c r="T171" s="264"/>
      <c r="U171" s="264"/>
      <c r="V171" s="264"/>
      <c r="W171" s="264"/>
      <c r="X171" s="264"/>
      <c r="Y171" s="264"/>
      <c r="Z171" s="264"/>
      <c r="AA171" s="264"/>
      <c r="AB171" s="264"/>
      <c r="AC171" s="264"/>
      <c r="AD171" s="264"/>
      <c r="AE171" s="264"/>
      <c r="AF171" s="264"/>
      <c r="AG171" s="264"/>
      <c r="AH171" s="264"/>
      <c r="AI171" s="264"/>
      <c r="AJ171" s="264"/>
      <c r="AK171" s="264"/>
      <c r="AL171" s="264"/>
      <c r="AM171" s="264"/>
      <c r="AN171" s="264"/>
      <c r="AO171" s="264"/>
      <c r="AP171" s="264"/>
      <c r="AQ171" s="264"/>
      <c r="AR171" s="264"/>
      <c r="AS171" s="264"/>
      <c r="AT171" s="264"/>
      <c r="AU171" s="264"/>
      <c r="AV171" s="264"/>
      <c r="AW171" s="264"/>
      <c r="AX171" s="264"/>
      <c r="AY171" s="264"/>
      <c r="AZ171" s="264"/>
      <c r="BA171" s="264"/>
      <c r="BB171" s="264"/>
      <c r="BC171" s="264"/>
      <c r="BD171" s="264"/>
      <c r="BE171" s="264"/>
      <c r="BF171" s="264"/>
      <c r="BG171" s="264"/>
      <c r="BH171" s="264"/>
      <c r="BI171" s="264"/>
      <c r="BJ171" s="264"/>
      <c r="BK171" s="161"/>
      <c r="BL171" s="161"/>
      <c r="BM171" s="161"/>
      <c r="BN171" s="161"/>
      <c r="BO171" s="161"/>
      <c r="BP171" s="161"/>
      <c r="BQ171" s="161"/>
      <c r="BR171" s="161"/>
      <c r="BS171" s="161"/>
      <c r="BT171" s="161"/>
      <c r="BU171" s="780"/>
      <c r="BV171" s="780"/>
      <c r="BW171" s="780"/>
      <c r="BX171" s="780"/>
      <c r="BY171" s="161"/>
      <c r="BZ171" s="161"/>
      <c r="CA171" s="161"/>
      <c r="CB171" s="161"/>
      <c r="CC171" s="161"/>
      <c r="CD171" s="161"/>
      <c r="CE171" s="161"/>
      <c r="CF171" s="161"/>
      <c r="CG171" s="161"/>
      <c r="CH171" s="161"/>
      <c r="CI171" s="161"/>
      <c r="CJ171" s="161"/>
      <c r="CK171" s="161"/>
      <c r="CL171" s="161"/>
      <c r="CM171" s="161"/>
      <c r="CN171" s="161"/>
      <c r="CO171" s="161"/>
      <c r="CP171" s="161"/>
      <c r="CQ171" s="161"/>
      <c r="CR171" s="161"/>
      <c r="CS171" s="161"/>
      <c r="CT171" s="161"/>
      <c r="CU171" s="161"/>
      <c r="CV171" s="161"/>
      <c r="CW171" s="161"/>
      <c r="CX171" s="161"/>
      <c r="CY171" s="161"/>
      <c r="CZ171" s="161"/>
      <c r="DA171" s="161"/>
      <c r="DB171" s="161"/>
      <c r="DC171" s="161"/>
      <c r="DD171" s="161"/>
      <c r="DE171" s="161"/>
      <c r="DF171" s="161"/>
      <c r="DG171" s="161"/>
      <c r="DH171" s="161"/>
      <c r="DI171" s="161"/>
      <c r="DJ171" s="161"/>
      <c r="DK171" s="177"/>
      <c r="DL171" s="177"/>
      <c r="DM171" s="177"/>
      <c r="DN171" s="177"/>
      <c r="DO171" s="177"/>
      <c r="DP171" s="177"/>
      <c r="DQ171" s="177"/>
      <c r="DR171" s="177"/>
      <c r="DS171" s="177"/>
      <c r="DT171" s="177"/>
      <c r="DU171" s="177"/>
      <c r="DV171" s="177"/>
      <c r="DW171" s="177"/>
      <c r="DX171" s="177"/>
      <c r="DY171" s="177"/>
      <c r="DZ171" s="177"/>
      <c r="EA171" s="177"/>
      <c r="EB171" s="808"/>
      <c r="EC171" s="808"/>
      <c r="ED171" s="808"/>
      <c r="EF171" s="161"/>
      <c r="EH171" s="161"/>
      <c r="EM171" s="161"/>
      <c r="EN171" s="161"/>
      <c r="EO171" s="161"/>
      <c r="EP171" s="161"/>
      <c r="FL171" s="264"/>
      <c r="FM171" s="264"/>
      <c r="FN171" s="264"/>
      <c r="FO171" s="430"/>
      <c r="FP171" s="161"/>
      <c r="FQ171" s="161"/>
      <c r="FR171" s="430"/>
      <c r="FS171" s="639"/>
      <c r="FT171" s="639"/>
      <c r="FU171" s="667"/>
      <c r="FV171" s="667"/>
      <c r="FW171" s="667"/>
      <c r="FX171" s="667"/>
      <c r="FY171" s="747"/>
      <c r="FZ171" s="747"/>
      <c r="GA171" s="780"/>
      <c r="GB171" s="780"/>
      <c r="GC171" s="808"/>
      <c r="GD171" s="780"/>
      <c r="GE171" s="808"/>
    </row>
    <row r="172" spans="1:187">
      <c r="A172" s="161"/>
      <c r="B172" s="268" t="s">
        <v>31</v>
      </c>
      <c r="C172" s="163"/>
      <c r="D172" s="163"/>
      <c r="E172" s="163"/>
      <c r="F172" s="163"/>
      <c r="G172" s="163"/>
      <c r="H172" s="163"/>
      <c r="I172" s="163"/>
      <c r="J172" s="163"/>
      <c r="K172" s="163"/>
      <c r="L172" s="285"/>
      <c r="M172" s="285"/>
      <c r="N172" s="285"/>
      <c r="O172" s="285"/>
      <c r="P172" s="285"/>
      <c r="Q172" s="285"/>
      <c r="R172" s="285"/>
      <c r="S172" s="285"/>
      <c r="T172" s="285"/>
      <c r="U172" s="285"/>
      <c r="V172" s="285"/>
      <c r="W172" s="285"/>
      <c r="X172" s="294">
        <f t="shared" ref="X172:AM172" si="228">X133-X156-X204-X200</f>
        <v>610.09999999999991</v>
      </c>
      <c r="Y172" s="294">
        <f t="shared" si="228"/>
        <v>312.5</v>
      </c>
      <c r="Z172" s="294">
        <f t="shared" si="228"/>
        <v>343.2</v>
      </c>
      <c r="AA172" s="294">
        <f t="shared" si="228"/>
        <v>417.8</v>
      </c>
      <c r="AB172" s="294">
        <f t="shared" si="228"/>
        <v>401</v>
      </c>
      <c r="AC172" s="294">
        <f t="shared" si="228"/>
        <v>79.70100000000005</v>
      </c>
      <c r="AD172" s="294">
        <f t="shared" si="228"/>
        <v>7.6999999999999531</v>
      </c>
      <c r="AE172" s="294">
        <f t="shared" si="228"/>
        <v>550.91399999999999</v>
      </c>
      <c r="AF172" s="294">
        <f t="shared" si="228"/>
        <v>745.40000000000009</v>
      </c>
      <c r="AG172" s="294">
        <f t="shared" si="228"/>
        <v>321.31200000000001</v>
      </c>
      <c r="AH172" s="294">
        <f t="shared" si="228"/>
        <v>31.400000000000055</v>
      </c>
      <c r="AI172" s="294">
        <f t="shared" si="228"/>
        <v>-15.369000000000057</v>
      </c>
      <c r="AJ172" s="294">
        <f t="shared" si="228"/>
        <v>802.90099999999995</v>
      </c>
      <c r="AK172" s="294">
        <f t="shared" si="228"/>
        <v>772.72299999999996</v>
      </c>
      <c r="AL172" s="294">
        <f t="shared" si="228"/>
        <v>391.9020000000001</v>
      </c>
      <c r="AM172" s="294">
        <f t="shared" si="228"/>
        <v>44.542999999999978</v>
      </c>
      <c r="AN172" s="294">
        <f t="shared" ref="AN172:BD172" si="229">AN140-AN159-AN204-AN200</f>
        <v>593.53499999999985</v>
      </c>
      <c r="AO172" s="294">
        <f t="shared" si="229"/>
        <v>594.96799999999985</v>
      </c>
      <c r="AP172" s="294">
        <f t="shared" si="229"/>
        <v>497.08900000000006</v>
      </c>
      <c r="AQ172" s="294">
        <f t="shared" si="229"/>
        <v>478.57699999999977</v>
      </c>
      <c r="AR172" s="294">
        <f t="shared" si="229"/>
        <v>793.75</v>
      </c>
      <c r="AS172" s="294">
        <f t="shared" si="229"/>
        <v>580.38400000000001</v>
      </c>
      <c r="AT172" s="294">
        <f t="shared" si="229"/>
        <v>502.50099999999981</v>
      </c>
      <c r="AU172" s="294">
        <f t="shared" si="229"/>
        <v>69.840000000000146</v>
      </c>
      <c r="AV172" s="294">
        <f t="shared" si="229"/>
        <v>1225.663</v>
      </c>
      <c r="AW172" s="294">
        <f t="shared" si="229"/>
        <v>880.05100000000004</v>
      </c>
      <c r="AX172" s="294">
        <f t="shared" si="229"/>
        <v>494.2560000000002</v>
      </c>
      <c r="AY172" s="294">
        <f t="shared" si="229"/>
        <v>-1520.3899999999999</v>
      </c>
      <c r="AZ172" s="294">
        <f t="shared" si="229"/>
        <v>509.27399999999989</v>
      </c>
      <c r="BA172" s="294">
        <f t="shared" si="229"/>
        <v>411</v>
      </c>
      <c r="BB172" s="294">
        <f t="shared" si="229"/>
        <v>-16.639000000000408</v>
      </c>
      <c r="BC172" s="294">
        <f t="shared" si="229"/>
        <v>-595.61599999999987</v>
      </c>
      <c r="BD172" s="294">
        <f t="shared" si="229"/>
        <v>347.77699999999982</v>
      </c>
      <c r="BE172" s="294">
        <f t="shared" ref="BE172:BS172" si="230">BE140-BE159-BE204-BE200</f>
        <v>-183.35800000000017</v>
      </c>
      <c r="BF172" s="294">
        <f t="shared" si="230"/>
        <v>-367.78500000000037</v>
      </c>
      <c r="BG172" s="294">
        <f t="shared" si="230"/>
        <v>-1673.7090000000003</v>
      </c>
      <c r="BH172" s="294">
        <f t="shared" si="230"/>
        <v>432.01400000000024</v>
      </c>
      <c r="BI172" s="294">
        <f t="shared" si="230"/>
        <v>-490.48300000000023</v>
      </c>
      <c r="BJ172" s="294">
        <f t="shared" si="230"/>
        <v>-1390.1520000000003</v>
      </c>
      <c r="BK172" s="294">
        <f t="shared" si="230"/>
        <v>-1416.19</v>
      </c>
      <c r="BL172" s="294">
        <f t="shared" si="230"/>
        <v>438.51999999999975</v>
      </c>
      <c r="BM172" s="294">
        <f t="shared" si="230"/>
        <v>-85.233999999999469</v>
      </c>
      <c r="BN172" s="294">
        <f t="shared" si="230"/>
        <v>-97.001999999999839</v>
      </c>
      <c r="BO172" s="294">
        <f t="shared" si="230"/>
        <v>354.44999999999982</v>
      </c>
      <c r="BP172" s="294">
        <f t="shared" si="230"/>
        <v>733.22500000000014</v>
      </c>
      <c r="BQ172" s="294">
        <f t="shared" si="230"/>
        <v>1208.23</v>
      </c>
      <c r="BR172" s="294">
        <f t="shared" si="230"/>
        <v>733.38200000000029</v>
      </c>
      <c r="BS172" s="294">
        <f t="shared" si="230"/>
        <v>658.08700000000022</v>
      </c>
      <c r="BT172" s="294">
        <f>BT140-BT159-BT204-BT200</f>
        <v>1395.3749999999998</v>
      </c>
      <c r="BU172" s="784"/>
      <c r="BV172" s="784"/>
      <c r="BW172" s="784"/>
      <c r="BX172" s="784"/>
      <c r="BY172" s="161"/>
      <c r="BZ172" s="161"/>
      <c r="CA172" s="161"/>
      <c r="CB172" s="161"/>
      <c r="CC172" s="161"/>
      <c r="CD172" s="161"/>
      <c r="CE172" s="161"/>
      <c r="CF172" s="161"/>
      <c r="CG172" s="161"/>
      <c r="CH172" s="161"/>
      <c r="CI172" s="161"/>
      <c r="CJ172" s="161"/>
      <c r="CK172" s="161"/>
      <c r="CL172" s="161"/>
      <c r="CM172" s="161"/>
      <c r="CN172" s="161"/>
      <c r="CO172" s="161"/>
      <c r="CP172" s="161"/>
      <c r="CQ172" s="161"/>
      <c r="CR172" s="161"/>
      <c r="CS172" s="161"/>
      <c r="CT172" s="161"/>
      <c r="CU172" s="161"/>
      <c r="CV172" s="161"/>
      <c r="CW172" s="161"/>
      <c r="CX172" s="161"/>
      <c r="CY172" s="161"/>
      <c r="CZ172" s="161"/>
      <c r="DA172" s="161"/>
      <c r="DB172" s="161"/>
      <c r="DC172" s="161"/>
      <c r="DD172" s="161"/>
      <c r="DE172" s="161"/>
      <c r="DF172" s="161"/>
      <c r="DG172" s="161"/>
      <c r="DH172" s="161"/>
      <c r="DI172" s="161"/>
      <c r="DJ172" s="161"/>
      <c r="DK172" s="177"/>
      <c r="DL172" s="177"/>
      <c r="DM172" s="177"/>
      <c r="DN172" s="177"/>
      <c r="DO172" s="177"/>
      <c r="DP172" s="177"/>
      <c r="DQ172" s="177"/>
      <c r="DR172" s="177"/>
      <c r="DS172" s="177"/>
      <c r="DT172" s="177"/>
      <c r="DU172" s="177"/>
      <c r="DV172" s="177"/>
      <c r="DW172" s="177"/>
      <c r="DX172" s="177"/>
      <c r="DY172" s="177"/>
      <c r="DZ172" s="177"/>
      <c r="EA172" s="177"/>
      <c r="EB172" s="808"/>
      <c r="EC172" s="808"/>
      <c r="ED172" s="808"/>
      <c r="EF172" s="161"/>
      <c r="EH172" s="161"/>
      <c r="EM172" s="161"/>
      <c r="EN172" s="161"/>
      <c r="EO172" s="161"/>
      <c r="EP172" s="161"/>
      <c r="FL172" s="263">
        <v>-813.28332215200044</v>
      </c>
      <c r="FM172" s="263">
        <v>-352.8287545435</v>
      </c>
      <c r="FN172" s="263">
        <v>-644.94215429600024</v>
      </c>
      <c r="FO172" s="433">
        <v>-1260.664091558896</v>
      </c>
      <c r="FP172" s="161"/>
      <c r="FQ172" s="161"/>
      <c r="FR172" s="430"/>
      <c r="FS172" s="643">
        <v>-96.200000000000045</v>
      </c>
      <c r="FT172" s="639"/>
      <c r="FU172" s="670">
        <v>-180.89999999999998</v>
      </c>
      <c r="FV172" s="667"/>
      <c r="FW172" s="670">
        <v>10.939917477180188</v>
      </c>
      <c r="FX172" s="667"/>
      <c r="FY172" s="751"/>
      <c r="FZ172" s="747"/>
      <c r="GA172" s="784"/>
      <c r="GB172" s="784"/>
      <c r="GC172" s="808"/>
      <c r="GD172" s="784"/>
      <c r="GE172" s="808"/>
    </row>
    <row r="173" spans="1:187">
      <c r="A173" s="161"/>
      <c r="B173" s="267" t="s">
        <v>498</v>
      </c>
      <c r="C173" s="161"/>
      <c r="D173" s="161"/>
      <c r="E173" s="161"/>
      <c r="F173" s="161"/>
      <c r="G173" s="161"/>
      <c r="H173" s="161"/>
      <c r="I173" s="161"/>
      <c r="J173" s="161"/>
      <c r="K173" s="161"/>
      <c r="L173" s="264"/>
      <c r="M173" s="264"/>
      <c r="N173" s="264"/>
      <c r="O173" s="264"/>
      <c r="P173" s="264"/>
      <c r="Q173" s="264"/>
      <c r="R173" s="264"/>
      <c r="S173" s="264"/>
      <c r="T173" s="264"/>
      <c r="U173" s="264"/>
      <c r="V173" s="264"/>
      <c r="W173" s="264"/>
      <c r="X173" s="263"/>
      <c r="Y173" s="263"/>
      <c r="Z173" s="263"/>
      <c r="AA173" s="263"/>
      <c r="AB173" s="263"/>
      <c r="AC173" s="263"/>
      <c r="AD173" s="263"/>
      <c r="AE173" s="263"/>
      <c r="AF173" s="263"/>
      <c r="AG173" s="263"/>
      <c r="AH173" s="263"/>
      <c r="AI173" s="263"/>
      <c r="AJ173" s="263"/>
      <c r="AK173" s="263"/>
      <c r="AL173" s="263"/>
      <c r="AM173" s="263"/>
      <c r="AN173" s="263"/>
      <c r="AO173" s="263"/>
      <c r="AP173" s="263"/>
      <c r="AQ173" s="263"/>
      <c r="AR173" s="263">
        <f t="shared" ref="AR173:BG173" si="231">-AR183-AR172-AR174</f>
        <v>-793.75</v>
      </c>
      <c r="AS173" s="263">
        <f t="shared" si="231"/>
        <v>-580.38400000000001</v>
      </c>
      <c r="AT173" s="263">
        <f t="shared" si="231"/>
        <v>-502.50099999999981</v>
      </c>
      <c r="AU173" s="263">
        <f t="shared" si="231"/>
        <v>-69.840000000000146</v>
      </c>
      <c r="AV173" s="263">
        <f t="shared" si="231"/>
        <v>-1225.663</v>
      </c>
      <c r="AW173" s="263">
        <f t="shared" si="231"/>
        <v>-880.05100000000004</v>
      </c>
      <c r="AX173" s="263">
        <f t="shared" si="231"/>
        <v>-494.2560000000002</v>
      </c>
      <c r="AY173" s="263">
        <f t="shared" si="231"/>
        <v>1520.3899999999999</v>
      </c>
      <c r="AZ173" s="263">
        <f t="shared" si="231"/>
        <v>-509.27399999999989</v>
      </c>
      <c r="BA173" s="263">
        <f t="shared" si="231"/>
        <v>1790.6972799999999</v>
      </c>
      <c r="BB173" s="263">
        <f t="shared" si="231"/>
        <v>16.639000000000408</v>
      </c>
      <c r="BC173" s="263">
        <f t="shared" si="231"/>
        <v>595.61599999999987</v>
      </c>
      <c r="BD173" s="263">
        <f t="shared" si="231"/>
        <v>-511.84500000000003</v>
      </c>
      <c r="BE173" s="263">
        <f t="shared" si="231"/>
        <v>-372.39067999999997</v>
      </c>
      <c r="BF173" s="263">
        <f t="shared" si="231"/>
        <v>-2092.7840000000001</v>
      </c>
      <c r="BG173" s="263">
        <f t="shared" si="231"/>
        <v>-900.44599999999855</v>
      </c>
      <c r="BH173" s="263">
        <f t="shared" ref="BH173:BM173" si="232">-BH183-BH172-BH174</f>
        <v>-1960.9160000000002</v>
      </c>
      <c r="BI173" s="263">
        <f t="shared" si="232"/>
        <v>-944.70919999999978</v>
      </c>
      <c r="BJ173" s="263">
        <f t="shared" si="232"/>
        <v>823.88500000000045</v>
      </c>
      <c r="BK173" s="263">
        <f t="shared" si="232"/>
        <v>109.95099999999866</v>
      </c>
      <c r="BL173" s="263">
        <f t="shared" si="232"/>
        <v>427.21300000000042</v>
      </c>
      <c r="BM173" s="263">
        <f t="shared" si="232"/>
        <v>68.982539999998608</v>
      </c>
      <c r="BN173" s="263">
        <f>-BN183-BN172-BN174</f>
        <v>158.7790000000017</v>
      </c>
      <c r="BO173" s="263">
        <f>Master!X236-BL173-BM173-BN173</f>
        <v>-343.05853999999931</v>
      </c>
      <c r="BP173" s="263">
        <f>-BP183-BP172-BP174</f>
        <v>151.76199999999722</v>
      </c>
      <c r="BQ173" s="263">
        <f>-BQ183-BQ172-BQ174</f>
        <v>-3577.8149999999991</v>
      </c>
      <c r="BR173" s="263">
        <f>-BR183-BR172-BR174</f>
        <v>419.82799999999884</v>
      </c>
      <c r="BS173" s="263">
        <f>-BS183-BS172-BS174</f>
        <v>177.19200000000205</v>
      </c>
      <c r="BT173" s="263">
        <f>-BT183-BT172-BT174</f>
        <v>-333.80900000000088</v>
      </c>
      <c r="BU173" s="784"/>
      <c r="BV173" s="784"/>
      <c r="BW173" s="784"/>
      <c r="BX173" s="784"/>
      <c r="BY173" s="263"/>
      <c r="BZ173" s="263"/>
      <c r="CA173" s="161"/>
      <c r="CB173" s="161"/>
      <c r="CC173" s="161"/>
      <c r="CD173" s="161"/>
      <c r="CE173" s="161"/>
      <c r="CF173" s="161"/>
      <c r="CG173" s="161"/>
      <c r="CH173" s="161"/>
      <c r="CI173" s="161"/>
      <c r="CJ173" s="161"/>
      <c r="CK173" s="161"/>
      <c r="CL173" s="161"/>
      <c r="CM173" s="161"/>
      <c r="CN173" s="161"/>
      <c r="CO173" s="161"/>
      <c r="CP173" s="161"/>
      <c r="CQ173" s="161"/>
      <c r="CR173" s="161"/>
      <c r="CS173" s="161"/>
      <c r="CT173" s="161"/>
      <c r="CU173" s="161"/>
      <c r="CV173" s="161"/>
      <c r="CW173" s="161"/>
      <c r="CX173" s="161"/>
      <c r="CY173" s="161"/>
      <c r="CZ173" s="161"/>
      <c r="DA173" s="161"/>
      <c r="DB173" s="161"/>
      <c r="DC173" s="161"/>
      <c r="DD173" s="161"/>
      <c r="DE173" s="161"/>
      <c r="DF173" s="161"/>
      <c r="DG173" s="161"/>
      <c r="DH173" s="161"/>
      <c r="DI173" s="161"/>
      <c r="DJ173" s="161"/>
      <c r="DK173" s="177"/>
      <c r="DL173" s="177"/>
      <c r="DM173" s="177"/>
      <c r="DN173" s="177"/>
      <c r="DO173" s="177"/>
      <c r="DP173" s="177"/>
      <c r="DQ173" s="177"/>
      <c r="DR173" s="177"/>
      <c r="DS173" s="177"/>
      <c r="DT173" s="177"/>
      <c r="DU173" s="177"/>
      <c r="DV173" s="177"/>
      <c r="DW173" s="177"/>
      <c r="DX173" s="177"/>
      <c r="DY173" s="177"/>
      <c r="DZ173" s="177"/>
      <c r="EA173" s="177"/>
      <c r="EB173" s="808"/>
      <c r="EC173" s="808"/>
      <c r="ED173" s="808"/>
      <c r="EF173" s="161"/>
      <c r="EH173" s="161"/>
      <c r="EM173" s="161"/>
      <c r="EN173" s="161"/>
      <c r="EO173" s="161"/>
      <c r="EP173" s="161"/>
      <c r="FL173" s="263"/>
      <c r="FM173" s="271">
        <v>100</v>
      </c>
      <c r="FN173" s="271">
        <v>100</v>
      </c>
      <c r="FO173" s="433">
        <v>647.98825778025889</v>
      </c>
      <c r="FP173" s="161"/>
      <c r="FQ173" s="161"/>
      <c r="FR173" s="430"/>
      <c r="FS173" s="650">
        <v>20</v>
      </c>
      <c r="FT173" s="639"/>
      <c r="FU173" s="677">
        <v>20</v>
      </c>
      <c r="FV173" s="667"/>
      <c r="FW173" s="670">
        <v>-3179.7252942882087</v>
      </c>
      <c r="FX173" s="667"/>
      <c r="FY173" s="751"/>
      <c r="FZ173" s="747"/>
      <c r="GA173" s="784"/>
      <c r="GB173" s="784"/>
      <c r="GC173" s="808"/>
      <c r="GD173" s="784"/>
      <c r="GE173" s="808"/>
    </row>
    <row r="174" spans="1:187">
      <c r="A174" s="161"/>
      <c r="B174" s="267" t="s">
        <v>499</v>
      </c>
      <c r="C174" s="161"/>
      <c r="D174" s="161"/>
      <c r="E174" s="161"/>
      <c r="F174" s="161"/>
      <c r="G174" s="161"/>
      <c r="H174" s="161"/>
      <c r="I174" s="161"/>
      <c r="J174" s="161"/>
      <c r="K174" s="161"/>
      <c r="L174" s="264"/>
      <c r="M174" s="264"/>
      <c r="N174" s="264"/>
      <c r="O174" s="264"/>
      <c r="P174" s="264"/>
      <c r="Q174" s="264"/>
      <c r="R174" s="264"/>
      <c r="S174" s="264"/>
      <c r="T174" s="264"/>
      <c r="U174" s="264"/>
      <c r="V174" s="264"/>
      <c r="W174" s="264"/>
      <c r="X174" s="263"/>
      <c r="Y174" s="263"/>
      <c r="Z174" s="263"/>
      <c r="AA174" s="263"/>
      <c r="AB174" s="263"/>
      <c r="AC174" s="263"/>
      <c r="AD174" s="263"/>
      <c r="AE174" s="263"/>
      <c r="AF174" s="263"/>
      <c r="AG174" s="263">
        <f>Master!O362</f>
        <v>1168.58952</v>
      </c>
      <c r="AH174" s="263"/>
      <c r="AI174" s="263"/>
      <c r="AJ174" s="263"/>
      <c r="AK174" s="263"/>
      <c r="AL174" s="263"/>
      <c r="AM174" s="263"/>
      <c r="AN174" s="263"/>
      <c r="AO174" s="263"/>
      <c r="AP174" s="263"/>
      <c r="AQ174" s="263"/>
      <c r="AR174" s="263"/>
      <c r="AS174" s="263"/>
      <c r="AT174" s="263"/>
      <c r="AU174" s="263"/>
      <c r="AV174" s="263"/>
      <c r="AW174" s="263"/>
      <c r="AX174" s="263"/>
      <c r="AY174" s="263"/>
      <c r="AZ174" s="263"/>
      <c r="BA174" s="263">
        <f>Master!U98</f>
        <v>-2201.6972799999999</v>
      </c>
      <c r="BB174" s="263"/>
      <c r="BC174" s="263"/>
      <c r="BD174" s="263"/>
      <c r="BE174" s="263">
        <f>Master!V98</f>
        <v>-2418.08232</v>
      </c>
      <c r="BF174" s="263"/>
      <c r="BG174" s="263"/>
      <c r="BH174" s="263"/>
      <c r="BI174" s="263">
        <f>Master!W98</f>
        <v>-2538.5477999999998</v>
      </c>
      <c r="BJ174" s="263"/>
      <c r="BK174" s="263"/>
      <c r="BL174" s="263"/>
      <c r="BM174" s="263">
        <f>Master!X98</f>
        <v>-2644.18154</v>
      </c>
      <c r="BN174" s="263"/>
      <c r="BO174" s="263"/>
      <c r="BP174" s="263"/>
      <c r="BQ174" s="844"/>
      <c r="BR174" s="263"/>
      <c r="BS174" s="263"/>
      <c r="BT174" s="263"/>
      <c r="BU174" s="784"/>
      <c r="BV174" s="784"/>
      <c r="BW174" s="784"/>
      <c r="BX174" s="784"/>
      <c r="BY174" s="161"/>
      <c r="BZ174" s="161"/>
      <c r="CA174" s="161"/>
      <c r="CB174" s="161"/>
      <c r="CC174" s="161"/>
      <c r="CD174" s="161"/>
      <c r="CE174" s="161"/>
      <c r="CF174" s="161"/>
      <c r="CG174" s="161"/>
      <c r="CH174" s="161"/>
      <c r="CI174" s="161"/>
      <c r="CJ174" s="161"/>
      <c r="CK174" s="161"/>
      <c r="CL174" s="161"/>
      <c r="CM174" s="161"/>
      <c r="CN174" s="161"/>
      <c r="CO174" s="161"/>
      <c r="CP174" s="161"/>
      <c r="CQ174" s="161"/>
      <c r="CR174" s="161"/>
      <c r="CS174" s="161"/>
      <c r="CT174" s="161"/>
      <c r="CU174" s="161"/>
      <c r="CV174" s="161"/>
      <c r="CW174" s="161"/>
      <c r="CX174" s="161"/>
      <c r="CY174" s="161"/>
      <c r="CZ174" s="161"/>
      <c r="DA174" s="161"/>
      <c r="DB174" s="161"/>
      <c r="DC174" s="161"/>
      <c r="DD174" s="161"/>
      <c r="DE174" s="161"/>
      <c r="DF174" s="161"/>
      <c r="DG174" s="161"/>
      <c r="DH174" s="161"/>
      <c r="DI174" s="161"/>
      <c r="DJ174" s="161"/>
      <c r="DK174" s="177"/>
      <c r="DL174" s="177"/>
      <c r="DM174" s="177"/>
      <c r="DN174" s="177"/>
      <c r="DO174" s="177"/>
      <c r="DP174" s="177"/>
      <c r="DQ174" s="177"/>
      <c r="DR174" s="177"/>
      <c r="DS174" s="177"/>
      <c r="DT174" s="177"/>
      <c r="DU174" s="177"/>
      <c r="DV174" s="177"/>
      <c r="DW174" s="177"/>
      <c r="DX174" s="177"/>
      <c r="DY174" s="177"/>
      <c r="DZ174" s="177"/>
      <c r="EA174" s="177"/>
      <c r="EB174" s="808"/>
      <c r="EC174" s="808"/>
      <c r="ED174" s="808"/>
      <c r="EF174" s="161"/>
      <c r="EH174" s="161"/>
      <c r="EM174" s="161"/>
      <c r="EN174" s="161"/>
      <c r="EO174" s="161"/>
      <c r="EP174" s="161"/>
      <c r="FL174" s="263"/>
      <c r="FM174" s="263">
        <v>2538.5477999999998</v>
      </c>
      <c r="FN174" s="263"/>
      <c r="FO174" s="433"/>
      <c r="FP174" s="161"/>
      <c r="FQ174" s="161"/>
      <c r="FR174" s="430"/>
      <c r="FS174" s="643">
        <v>-2618.4265249999999</v>
      </c>
      <c r="FT174" s="639"/>
      <c r="FU174" s="670"/>
      <c r="FV174" s="667"/>
      <c r="FW174" s="670"/>
      <c r="FX174" s="667"/>
      <c r="FY174" s="751"/>
      <c r="FZ174" s="747"/>
      <c r="GA174" s="784"/>
      <c r="GB174" s="784"/>
      <c r="GC174" s="808"/>
      <c r="GD174" s="784"/>
      <c r="GE174" s="808"/>
    </row>
    <row r="175" spans="1:187">
      <c r="A175" s="161"/>
      <c r="B175" s="267"/>
      <c r="C175" s="161"/>
      <c r="D175" s="161"/>
      <c r="E175" s="161"/>
      <c r="F175" s="161"/>
      <c r="G175" s="161"/>
      <c r="H175" s="161"/>
      <c r="I175" s="161"/>
      <c r="J175" s="161"/>
      <c r="K175" s="161"/>
      <c r="L175" s="264"/>
      <c r="M175" s="264"/>
      <c r="N175" s="264"/>
      <c r="O175" s="264"/>
      <c r="P175" s="264"/>
      <c r="Q175" s="264"/>
      <c r="R175" s="264"/>
      <c r="S175" s="264"/>
      <c r="T175" s="264"/>
      <c r="U175" s="264"/>
      <c r="V175" s="264"/>
      <c r="W175" s="264"/>
      <c r="X175" s="264"/>
      <c r="Y175" s="264"/>
      <c r="Z175" s="264"/>
      <c r="AA175" s="264"/>
      <c r="AB175" s="264"/>
      <c r="AC175" s="264"/>
      <c r="AD175" s="264"/>
      <c r="AE175" s="264"/>
      <c r="AF175" s="264"/>
      <c r="AG175" s="264"/>
      <c r="AH175" s="264"/>
      <c r="AI175" s="264"/>
      <c r="AJ175" s="264"/>
      <c r="AK175" s="264"/>
      <c r="AL175" s="264"/>
      <c r="AM175" s="264"/>
      <c r="AN175" s="264"/>
      <c r="AO175" s="264"/>
      <c r="AP175" s="264"/>
      <c r="AQ175" s="264"/>
      <c r="AR175" s="264"/>
      <c r="AS175" s="264"/>
      <c r="AT175" s="264"/>
      <c r="AU175" s="264"/>
      <c r="AV175" s="264"/>
      <c r="AW175" s="264"/>
      <c r="AX175" s="264"/>
      <c r="AY175" s="264"/>
      <c r="AZ175" s="264"/>
      <c r="BA175" s="264"/>
      <c r="BB175" s="264"/>
      <c r="BC175" s="264"/>
      <c r="BD175" s="264"/>
      <c r="BE175" s="264"/>
      <c r="BF175" s="264"/>
      <c r="BG175" s="264"/>
      <c r="BH175" s="264"/>
      <c r="BI175" s="264"/>
      <c r="BJ175" s="264"/>
      <c r="BK175" s="264"/>
      <c r="BL175" s="264"/>
      <c r="BM175" s="264"/>
      <c r="BN175" s="264"/>
      <c r="BO175" s="264"/>
      <c r="BP175" s="264"/>
      <c r="BQ175" s="264"/>
      <c r="BR175" s="264"/>
      <c r="BS175" s="264"/>
      <c r="BT175" s="264"/>
      <c r="BU175" s="782"/>
      <c r="BV175" s="782"/>
      <c r="BW175" s="782"/>
      <c r="BX175" s="782"/>
      <c r="BY175" s="161"/>
      <c r="BZ175" s="161"/>
      <c r="CA175" s="161"/>
      <c r="CB175" s="161"/>
      <c r="CC175" s="161"/>
      <c r="CD175" s="161"/>
      <c r="CE175" s="161"/>
      <c r="CF175" s="161"/>
      <c r="CG175" s="161"/>
      <c r="CH175" s="161"/>
      <c r="CI175" s="161"/>
      <c r="CJ175" s="161"/>
      <c r="CK175" s="161"/>
      <c r="CL175" s="161"/>
      <c r="CM175" s="161"/>
      <c r="CN175" s="161"/>
      <c r="CO175" s="161"/>
      <c r="CP175" s="161"/>
      <c r="CQ175" s="161"/>
      <c r="CR175" s="161"/>
      <c r="CS175" s="161"/>
      <c r="CT175" s="161"/>
      <c r="CU175" s="161"/>
      <c r="CV175" s="161"/>
      <c r="CW175" s="161"/>
      <c r="CX175" s="161"/>
      <c r="CY175" s="161"/>
      <c r="CZ175" s="161"/>
      <c r="DA175" s="161"/>
      <c r="DB175" s="161"/>
      <c r="DC175" s="161"/>
      <c r="DD175" s="161"/>
      <c r="DE175" s="161"/>
      <c r="DF175" s="161"/>
      <c r="DG175" s="161"/>
      <c r="DH175" s="161"/>
      <c r="DI175" s="161"/>
      <c r="DJ175" s="161"/>
      <c r="DK175" s="177"/>
      <c r="DL175" s="177"/>
      <c r="DM175" s="177"/>
      <c r="DN175" s="177"/>
      <c r="DO175" s="177"/>
      <c r="DP175" s="177"/>
      <c r="DQ175" s="177"/>
      <c r="DR175" s="177"/>
      <c r="DS175" s="177"/>
      <c r="DT175" s="177"/>
      <c r="DU175" s="177"/>
      <c r="DV175" s="177"/>
      <c r="DW175" s="177"/>
      <c r="DX175" s="177"/>
      <c r="DY175" s="177"/>
      <c r="DZ175" s="177"/>
      <c r="EA175" s="177"/>
      <c r="EB175" s="808"/>
      <c r="EC175" s="808"/>
      <c r="ED175" s="808"/>
      <c r="EF175" s="161"/>
      <c r="EH175" s="161"/>
      <c r="EM175" s="161"/>
      <c r="EN175" s="161"/>
      <c r="EO175" s="161"/>
      <c r="EP175" s="161"/>
      <c r="FL175" s="264"/>
      <c r="FM175" s="264"/>
      <c r="FN175" s="264"/>
      <c r="FO175" s="432"/>
      <c r="FP175" s="161"/>
      <c r="FQ175" s="161"/>
      <c r="FR175" s="430"/>
      <c r="FS175" s="641"/>
      <c r="FT175" s="639"/>
      <c r="FU175" s="668"/>
      <c r="FV175" s="667"/>
      <c r="FW175" s="668"/>
      <c r="FX175" s="667"/>
      <c r="FY175" s="749"/>
      <c r="FZ175" s="747"/>
      <c r="GA175" s="782"/>
      <c r="GB175" s="782"/>
      <c r="GC175" s="808"/>
      <c r="GD175" s="782"/>
      <c r="GE175" s="808"/>
    </row>
    <row r="176" spans="1:187">
      <c r="A176" s="161"/>
      <c r="B176" s="267" t="s">
        <v>231</v>
      </c>
      <c r="C176" s="161"/>
      <c r="D176" s="161"/>
      <c r="E176" s="161"/>
      <c r="F176" s="161"/>
      <c r="G176" s="161"/>
      <c r="H176" s="161"/>
      <c r="I176" s="161"/>
      <c r="J176" s="161"/>
      <c r="K176" s="161"/>
      <c r="L176" s="264"/>
      <c r="M176" s="264"/>
      <c r="N176" s="264"/>
      <c r="O176" s="264"/>
      <c r="P176" s="264"/>
      <c r="Q176" s="264"/>
      <c r="R176" s="264"/>
      <c r="S176" s="264"/>
      <c r="T176" s="264"/>
      <c r="U176" s="264"/>
      <c r="V176" s="264"/>
      <c r="W176" s="264"/>
      <c r="X176" s="264"/>
      <c r="Y176" s="264"/>
      <c r="Z176" s="264"/>
      <c r="AA176" s="264"/>
      <c r="AB176" s="264"/>
      <c r="AC176" s="263">
        <v>3053.0210000000002</v>
      </c>
      <c r="AD176" s="263">
        <v>3159</v>
      </c>
      <c r="AE176" s="264"/>
      <c r="AF176" s="263">
        <v>3899.3319999999999</v>
      </c>
      <c r="AG176" s="263">
        <v>4331.8969999999999</v>
      </c>
      <c r="AH176" s="263">
        <v>3804</v>
      </c>
      <c r="AI176" s="263">
        <f>AI178-AI177</f>
        <v>1336.0039999999999</v>
      </c>
      <c r="AJ176" s="263"/>
      <c r="AK176" s="263"/>
      <c r="AL176" s="263">
        <v>3864</v>
      </c>
      <c r="AM176" s="263">
        <v>4058.6</v>
      </c>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784"/>
      <c r="BV176" s="784"/>
      <c r="BW176" s="784"/>
      <c r="BX176" s="784"/>
      <c r="BY176" s="161"/>
      <c r="BZ176" s="161"/>
      <c r="CA176" s="161"/>
      <c r="CB176" s="161"/>
      <c r="CC176" s="161"/>
      <c r="CD176" s="161"/>
      <c r="CE176" s="161"/>
      <c r="CF176" s="161"/>
      <c r="CG176" s="161"/>
      <c r="CH176" s="161"/>
      <c r="CI176" s="161"/>
      <c r="CJ176" s="161"/>
      <c r="CK176" s="161"/>
      <c r="CL176" s="161"/>
      <c r="CM176" s="161"/>
      <c r="CN176" s="161"/>
      <c r="CO176" s="161"/>
      <c r="CP176" s="161"/>
      <c r="CQ176" s="161"/>
      <c r="CR176" s="161"/>
      <c r="CS176" s="161"/>
      <c r="CT176" s="161"/>
      <c r="CU176" s="161"/>
      <c r="CV176" s="161"/>
      <c r="CW176" s="161"/>
      <c r="CX176" s="161"/>
      <c r="CY176" s="161"/>
      <c r="CZ176" s="161"/>
      <c r="DA176" s="161"/>
      <c r="DB176" s="161"/>
      <c r="DC176" s="161"/>
      <c r="DD176" s="161"/>
      <c r="DE176" s="161"/>
      <c r="DF176" s="161"/>
      <c r="DG176" s="161"/>
      <c r="DH176" s="161"/>
      <c r="DI176" s="161"/>
      <c r="DJ176" s="161"/>
      <c r="DK176" s="177"/>
      <c r="DL176" s="177"/>
      <c r="DM176" s="177"/>
      <c r="DN176" s="177"/>
      <c r="DO176" s="177"/>
      <c r="DP176" s="177"/>
      <c r="DQ176" s="177"/>
      <c r="DR176" s="177"/>
      <c r="DS176" s="177"/>
      <c r="DT176" s="177"/>
      <c r="DU176" s="177"/>
      <c r="DV176" s="177"/>
      <c r="DW176" s="177"/>
      <c r="DX176" s="177"/>
      <c r="DY176" s="177"/>
      <c r="DZ176" s="177"/>
      <c r="EA176" s="177"/>
      <c r="EB176" s="808"/>
      <c r="EC176" s="808"/>
      <c r="ED176" s="808"/>
      <c r="EF176" s="161"/>
      <c r="EH176" s="161"/>
      <c r="EM176" s="161"/>
      <c r="EN176" s="161"/>
      <c r="EO176" s="161"/>
      <c r="EP176" s="161"/>
      <c r="FL176" s="263"/>
      <c r="FM176" s="263"/>
      <c r="FN176" s="263"/>
      <c r="FO176" s="433"/>
      <c r="FP176" s="161"/>
      <c r="FQ176" s="161"/>
      <c r="FR176" s="430"/>
      <c r="FS176" s="643"/>
      <c r="FT176" s="639"/>
      <c r="FU176" s="670"/>
      <c r="FV176" s="667"/>
      <c r="FW176" s="670"/>
      <c r="FX176" s="667"/>
      <c r="FY176" s="751"/>
      <c r="FZ176" s="747"/>
      <c r="GA176" s="784"/>
      <c r="GB176" s="784"/>
      <c r="GC176" s="808"/>
      <c r="GD176" s="784"/>
      <c r="GE176" s="808"/>
    </row>
    <row r="177" spans="1:187">
      <c r="A177" s="161"/>
      <c r="B177" s="267" t="s">
        <v>500</v>
      </c>
      <c r="C177" s="161"/>
      <c r="D177" s="161"/>
      <c r="E177" s="161"/>
      <c r="F177" s="161"/>
      <c r="G177" s="161"/>
      <c r="H177" s="161"/>
      <c r="I177" s="161"/>
      <c r="J177" s="161"/>
      <c r="K177" s="161"/>
      <c r="L177" s="264"/>
      <c r="M177" s="264"/>
      <c r="N177" s="264"/>
      <c r="O177" s="264"/>
      <c r="P177" s="264"/>
      <c r="Q177" s="264"/>
      <c r="R177" s="264"/>
      <c r="S177" s="264"/>
      <c r="T177" s="264"/>
      <c r="U177" s="264"/>
      <c r="V177" s="264"/>
      <c r="W177" s="264"/>
      <c r="X177" s="264"/>
      <c r="Y177" s="264"/>
      <c r="Z177" s="264"/>
      <c r="AA177" s="264"/>
      <c r="AB177" s="264"/>
      <c r="AC177" s="263">
        <f>AC176-AC178</f>
        <v>4478.0210000000006</v>
      </c>
      <c r="AD177" s="263">
        <f>AD176-AD178</f>
        <v>3799</v>
      </c>
      <c r="AE177" s="264"/>
      <c r="AF177" s="263">
        <f>AF176-AF178</f>
        <v>4183.491</v>
      </c>
      <c r="AG177" s="263">
        <f>AG176-AG178</f>
        <v>2857.5429999999997</v>
      </c>
      <c r="AH177" s="263">
        <f>AH176-AH178</f>
        <v>1673.7539999999999</v>
      </c>
      <c r="AI177" s="263">
        <v>1153.9960000000001</v>
      </c>
      <c r="AJ177" s="263"/>
      <c r="AK177" s="263"/>
      <c r="AL177" s="263">
        <f>AL176-AL178</f>
        <v>3049.6</v>
      </c>
      <c r="AM177" s="263">
        <f>AM176-AM178</f>
        <v>3116.7</v>
      </c>
      <c r="AN177" s="263"/>
      <c r="AO177" s="263"/>
      <c r="AP177" s="263"/>
      <c r="AQ177" s="263"/>
      <c r="AR177" s="263"/>
      <c r="AS177" s="263"/>
      <c r="AT177" s="263"/>
      <c r="AU177" s="263"/>
      <c r="AV177" s="263"/>
      <c r="AW177" s="263"/>
      <c r="AX177" s="263"/>
      <c r="AY177" s="263"/>
      <c r="AZ177" s="263"/>
      <c r="BA177" s="263"/>
      <c r="BB177" s="263"/>
      <c r="BC177" s="263"/>
      <c r="BD177" s="263"/>
      <c r="BE177" s="263"/>
      <c r="BF177" s="263"/>
      <c r="BG177" s="263"/>
      <c r="BH177" s="263"/>
      <c r="BI177" s="263"/>
      <c r="BJ177" s="263"/>
      <c r="BK177" s="263"/>
      <c r="BL177" s="263"/>
      <c r="BM177" s="263"/>
      <c r="BN177" s="263"/>
      <c r="BO177" s="263"/>
      <c r="BP177" s="263"/>
      <c r="BQ177" s="263"/>
      <c r="BR177" s="263"/>
      <c r="BS177" s="263"/>
      <c r="BT177" s="263"/>
      <c r="BU177" s="784"/>
      <c r="BV177" s="784"/>
      <c r="BW177" s="784"/>
      <c r="BX177" s="784"/>
      <c r="BY177" s="161"/>
      <c r="BZ177" s="161"/>
      <c r="CA177" s="161"/>
      <c r="CB177" s="161"/>
      <c r="CC177" s="161"/>
      <c r="CD177" s="161"/>
      <c r="CE177" s="161"/>
      <c r="CF177" s="161"/>
      <c r="CG177" s="161"/>
      <c r="CH177" s="161"/>
      <c r="CI177" s="161"/>
      <c r="CJ177" s="161"/>
      <c r="CK177" s="161"/>
      <c r="CL177" s="161"/>
      <c r="CM177" s="161"/>
      <c r="CN177" s="161"/>
      <c r="CO177" s="161"/>
      <c r="CP177" s="161"/>
      <c r="CQ177" s="161"/>
      <c r="CR177" s="161"/>
      <c r="CS177" s="161"/>
      <c r="CT177" s="161"/>
      <c r="CU177" s="161"/>
      <c r="CV177" s="161"/>
      <c r="CW177" s="161"/>
      <c r="CX177" s="161"/>
      <c r="CY177" s="161"/>
      <c r="CZ177" s="161"/>
      <c r="DA177" s="161"/>
      <c r="DB177" s="161"/>
      <c r="DC177" s="161"/>
      <c r="DD177" s="161"/>
      <c r="DE177" s="161"/>
      <c r="DF177" s="161"/>
      <c r="DG177" s="161"/>
      <c r="DH177" s="161"/>
      <c r="DI177" s="161"/>
      <c r="DJ177" s="161"/>
      <c r="DK177" s="177"/>
      <c r="DL177" s="177"/>
      <c r="DM177" s="177"/>
      <c r="DN177" s="177"/>
      <c r="DO177" s="177"/>
      <c r="DP177" s="177"/>
      <c r="DQ177" s="177"/>
      <c r="DR177" s="177"/>
      <c r="DS177" s="177"/>
      <c r="DT177" s="177"/>
      <c r="DU177" s="177"/>
      <c r="DV177" s="177"/>
      <c r="DW177" s="177"/>
      <c r="DX177" s="177"/>
      <c r="DY177" s="177"/>
      <c r="DZ177" s="177"/>
      <c r="EA177" s="177"/>
      <c r="EB177" s="808"/>
      <c r="EC177" s="808"/>
      <c r="ED177" s="808"/>
      <c r="EF177" s="161"/>
      <c r="EH177" s="161"/>
      <c r="EM177" s="161"/>
      <c r="EN177" s="161"/>
      <c r="EO177" s="161"/>
      <c r="EP177" s="161"/>
      <c r="FL177" s="263"/>
      <c r="FM177" s="263"/>
      <c r="FN177" s="263"/>
      <c r="FO177" s="433"/>
      <c r="FP177" s="161"/>
      <c r="FQ177" s="161"/>
      <c r="FR177" s="430"/>
      <c r="FS177" s="643"/>
      <c r="FT177" s="639"/>
      <c r="FU177" s="670"/>
      <c r="FV177" s="667"/>
      <c r="FW177" s="670"/>
      <c r="FX177" s="667"/>
      <c r="FY177" s="751"/>
      <c r="FZ177" s="747"/>
      <c r="GA177" s="784"/>
      <c r="GB177" s="784"/>
      <c r="GC177" s="808"/>
      <c r="GD177" s="784"/>
      <c r="GE177" s="808"/>
    </row>
    <row r="178" spans="1:187">
      <c r="A178" s="161"/>
      <c r="B178" s="267" t="s">
        <v>24</v>
      </c>
      <c r="C178" s="161"/>
      <c r="D178" s="161"/>
      <c r="E178" s="161"/>
      <c r="F178" s="161"/>
      <c r="G178" s="161"/>
      <c r="H178" s="161"/>
      <c r="I178" s="161"/>
      <c r="J178" s="161"/>
      <c r="K178" s="161">
        <v>420</v>
      </c>
      <c r="L178" s="161">
        <v>146</v>
      </c>
      <c r="M178" s="161">
        <v>-143</v>
      </c>
      <c r="N178" s="161">
        <v>310</v>
      </c>
      <c r="O178" s="161">
        <v>574</v>
      </c>
      <c r="P178" s="161">
        <v>-79</v>
      </c>
      <c r="Q178" s="161">
        <v>-408</v>
      </c>
      <c r="R178" s="161">
        <v>-610</v>
      </c>
      <c r="S178" s="161">
        <v>340</v>
      </c>
      <c r="T178" s="161">
        <v>-951</v>
      </c>
      <c r="U178" s="161"/>
      <c r="V178" s="161">
        <v>-1226</v>
      </c>
      <c r="W178" s="277">
        <v>-403</v>
      </c>
      <c r="X178" s="161">
        <v>-755</v>
      </c>
      <c r="Y178" s="161">
        <v>-1609</v>
      </c>
      <c r="Z178" s="161">
        <v>-1555</v>
      </c>
      <c r="AA178" s="277">
        <v>-1098</v>
      </c>
      <c r="AB178" s="161">
        <v>-1309</v>
      </c>
      <c r="AC178" s="161">
        <v>-1425</v>
      </c>
      <c r="AD178" s="161">
        <v>-640</v>
      </c>
      <c r="AE178" s="263">
        <v>428.90300000000002</v>
      </c>
      <c r="AF178" s="263">
        <v>-284.15899999999999</v>
      </c>
      <c r="AG178" s="263">
        <v>1474.354</v>
      </c>
      <c r="AH178" s="263">
        <v>2130.2460000000001</v>
      </c>
      <c r="AI178" s="263">
        <v>2490</v>
      </c>
      <c r="AJ178" s="263">
        <v>741</v>
      </c>
      <c r="AK178" s="263">
        <v>1573.4860000000001</v>
      </c>
      <c r="AL178" s="263">
        <v>814.4</v>
      </c>
      <c r="AM178" s="263">
        <v>941.9</v>
      </c>
      <c r="AN178" s="263">
        <v>-176.8</v>
      </c>
      <c r="AO178" s="263">
        <v>1008.9</v>
      </c>
      <c r="AP178" s="263">
        <v>687.5</v>
      </c>
      <c r="AQ178" s="263">
        <v>572</v>
      </c>
      <c r="AR178" s="263"/>
      <c r="AS178" s="263"/>
      <c r="AT178" s="263"/>
      <c r="AU178" s="263"/>
      <c r="AV178" s="263"/>
      <c r="AW178" s="263"/>
      <c r="AX178" s="263"/>
      <c r="AY178" s="263"/>
      <c r="AZ178" s="263"/>
      <c r="BA178" s="263"/>
      <c r="BB178" s="263"/>
      <c r="BC178" s="263"/>
      <c r="BD178" s="263"/>
      <c r="BE178" s="263"/>
      <c r="BF178" s="263"/>
      <c r="BG178" s="263"/>
      <c r="BH178" s="263"/>
      <c r="BI178" s="263"/>
      <c r="BJ178" s="263"/>
      <c r="BK178" s="263"/>
      <c r="BL178" s="263"/>
      <c r="BM178" s="263"/>
      <c r="BN178" s="263"/>
      <c r="BO178" s="263"/>
      <c r="BP178" s="263"/>
      <c r="BQ178" s="263"/>
      <c r="BR178" s="263"/>
      <c r="BS178" s="263"/>
      <c r="BT178" s="263"/>
      <c r="BU178" s="784"/>
      <c r="BV178" s="784"/>
      <c r="BW178" s="784"/>
      <c r="BX178" s="784"/>
      <c r="BY178" s="161"/>
      <c r="BZ178" s="161"/>
      <c r="CA178" s="161"/>
      <c r="CB178" s="161"/>
      <c r="CC178" s="161"/>
      <c r="CD178" s="161"/>
      <c r="CE178" s="161"/>
      <c r="CF178" s="161"/>
      <c r="CG178" s="161"/>
      <c r="CH178" s="161"/>
      <c r="CI178" s="161"/>
      <c r="CJ178" s="161"/>
      <c r="CK178" s="161"/>
      <c r="CL178" s="161"/>
      <c r="CM178" s="161"/>
      <c r="CN178" s="161"/>
      <c r="CO178" s="161"/>
      <c r="CP178" s="161"/>
      <c r="CQ178" s="161"/>
      <c r="CR178" s="161"/>
      <c r="CS178" s="161"/>
      <c r="CT178" s="161"/>
      <c r="CU178" s="161"/>
      <c r="CV178" s="161"/>
      <c r="CW178" s="161"/>
      <c r="CX178" s="161"/>
      <c r="CY178" s="161"/>
      <c r="CZ178" s="161"/>
      <c r="DA178" s="161"/>
      <c r="DB178" s="161"/>
      <c r="DC178" s="161"/>
      <c r="DD178" s="161"/>
      <c r="DE178" s="161"/>
      <c r="DF178" s="161"/>
      <c r="DG178" s="161"/>
      <c r="DH178" s="161"/>
      <c r="DI178" s="161"/>
      <c r="DJ178" s="161"/>
      <c r="DK178" s="177"/>
      <c r="DL178" s="177"/>
      <c r="DM178" s="177"/>
      <c r="DN178" s="177"/>
      <c r="DO178" s="177"/>
      <c r="DP178" s="177"/>
      <c r="DQ178" s="177"/>
      <c r="DR178" s="177"/>
      <c r="DS178" s="177"/>
      <c r="DT178" s="177"/>
      <c r="DU178" s="177"/>
      <c r="DV178" s="177"/>
      <c r="DW178" s="177"/>
      <c r="DX178" s="177"/>
      <c r="DY178" s="177"/>
      <c r="DZ178" s="177"/>
      <c r="EA178" s="177"/>
      <c r="EB178" s="808"/>
      <c r="EC178" s="808"/>
      <c r="ED178" s="808"/>
      <c r="EF178" s="161"/>
      <c r="EH178" s="161"/>
      <c r="EM178" s="161"/>
      <c r="EN178" s="161"/>
      <c r="EO178" s="161"/>
      <c r="EP178" s="161"/>
      <c r="FL178" s="263"/>
      <c r="FM178" s="263"/>
      <c r="FN178" s="263"/>
      <c r="FO178" s="433"/>
      <c r="FP178" s="161"/>
      <c r="FQ178" s="161"/>
      <c r="FR178" s="430"/>
      <c r="FS178" s="643"/>
      <c r="FT178" s="639"/>
      <c r="FU178" s="670"/>
      <c r="FV178" s="667"/>
      <c r="FW178" s="670"/>
      <c r="FX178" s="667"/>
      <c r="FY178" s="751"/>
      <c r="FZ178" s="747"/>
      <c r="GA178" s="784"/>
      <c r="GB178" s="784"/>
      <c r="GC178" s="808"/>
      <c r="GD178" s="784"/>
      <c r="GE178" s="808"/>
    </row>
    <row r="179" spans="1:187">
      <c r="A179" s="161"/>
      <c r="B179" s="161" t="s">
        <v>501</v>
      </c>
      <c r="C179" s="161"/>
      <c r="D179" s="161"/>
      <c r="E179" s="161"/>
      <c r="F179" s="161"/>
      <c r="G179" s="161"/>
      <c r="H179" s="161"/>
      <c r="I179" s="161"/>
      <c r="J179" s="161"/>
      <c r="K179" s="161"/>
      <c r="L179" s="161"/>
      <c r="M179" s="161"/>
      <c r="N179" s="161"/>
      <c r="O179" s="161"/>
      <c r="P179" s="161"/>
      <c r="Q179" s="161"/>
      <c r="R179" s="161"/>
      <c r="S179" s="161"/>
      <c r="T179" s="161"/>
      <c r="U179" s="161"/>
      <c r="V179" s="161"/>
      <c r="W179" s="161"/>
      <c r="X179" s="161">
        <f t="shared" ref="X179:AQ179" si="233">X178-W178</f>
        <v>-352</v>
      </c>
      <c r="Y179" s="161">
        <f t="shared" si="233"/>
        <v>-854</v>
      </c>
      <c r="Z179" s="161">
        <f t="shared" si="233"/>
        <v>54</v>
      </c>
      <c r="AA179" s="161">
        <f t="shared" si="233"/>
        <v>457</v>
      </c>
      <c r="AB179" s="161">
        <f t="shared" si="233"/>
        <v>-211</v>
      </c>
      <c r="AC179" s="161">
        <f t="shared" si="233"/>
        <v>-116</v>
      </c>
      <c r="AD179" s="161">
        <f t="shared" si="233"/>
        <v>785</v>
      </c>
      <c r="AE179" s="263">
        <f t="shared" si="233"/>
        <v>1068.903</v>
      </c>
      <c r="AF179" s="263">
        <f t="shared" si="233"/>
        <v>-713.06200000000001</v>
      </c>
      <c r="AG179" s="263">
        <f t="shared" si="233"/>
        <v>1758.5129999999999</v>
      </c>
      <c r="AH179" s="263">
        <f t="shared" si="233"/>
        <v>655.89200000000005</v>
      </c>
      <c r="AI179" s="263">
        <f t="shared" si="233"/>
        <v>359.75399999999991</v>
      </c>
      <c r="AJ179" s="263">
        <f t="shared" si="233"/>
        <v>-1749</v>
      </c>
      <c r="AK179" s="263">
        <f t="shared" si="233"/>
        <v>832.4860000000001</v>
      </c>
      <c r="AL179" s="263">
        <f t="shared" si="233"/>
        <v>-759.08600000000013</v>
      </c>
      <c r="AM179" s="263">
        <f t="shared" si="233"/>
        <v>127.5</v>
      </c>
      <c r="AN179" s="263">
        <f t="shared" si="233"/>
        <v>-1118.7</v>
      </c>
      <c r="AO179" s="263">
        <f t="shared" si="233"/>
        <v>1185.7</v>
      </c>
      <c r="AP179" s="263">
        <f t="shared" si="233"/>
        <v>-321.39999999999998</v>
      </c>
      <c r="AQ179" s="263">
        <f t="shared" si="233"/>
        <v>-115.5</v>
      </c>
      <c r="AR179" s="263"/>
      <c r="AS179" s="263"/>
      <c r="AT179" s="263"/>
      <c r="AU179" s="263"/>
      <c r="AV179" s="263"/>
      <c r="AW179" s="263"/>
      <c r="AX179" s="263"/>
      <c r="AY179" s="263"/>
      <c r="AZ179" s="266"/>
      <c r="BA179" s="266"/>
      <c r="BB179" s="263"/>
      <c r="BC179" s="263"/>
      <c r="BD179" s="263"/>
      <c r="BE179" s="263"/>
      <c r="BF179" s="263"/>
      <c r="BG179" s="263"/>
      <c r="BH179" s="263"/>
      <c r="BI179" s="263"/>
      <c r="BJ179" s="263"/>
      <c r="BK179" s="263"/>
      <c r="BL179" s="263"/>
      <c r="BM179" s="263"/>
      <c r="BN179" s="263"/>
      <c r="BO179" s="263"/>
      <c r="BP179" s="263"/>
      <c r="BQ179" s="263"/>
      <c r="BR179" s="263"/>
      <c r="BS179" s="263"/>
      <c r="BT179" s="263"/>
      <c r="BU179" s="784"/>
      <c r="BV179" s="784"/>
      <c r="BW179" s="784"/>
      <c r="BX179" s="784"/>
      <c r="BY179" s="161"/>
      <c r="BZ179" s="161"/>
      <c r="CA179" s="161"/>
      <c r="CB179" s="161"/>
      <c r="CC179" s="161"/>
      <c r="CD179" s="161"/>
      <c r="CE179" s="161"/>
      <c r="CF179" s="161"/>
      <c r="CG179" s="161"/>
      <c r="CH179" s="161"/>
      <c r="CI179" s="161"/>
      <c r="CJ179" s="161"/>
      <c r="CK179" s="161"/>
      <c r="CL179" s="161"/>
      <c r="CM179" s="161"/>
      <c r="CN179" s="161"/>
      <c r="CO179" s="161"/>
      <c r="CP179" s="161"/>
      <c r="CQ179" s="161"/>
      <c r="CR179" s="161"/>
      <c r="CS179" s="161"/>
      <c r="CT179" s="161"/>
      <c r="CU179" s="161"/>
      <c r="CV179" s="161"/>
      <c r="CW179" s="161"/>
      <c r="CX179" s="161"/>
      <c r="CY179" s="161"/>
      <c r="CZ179" s="161"/>
      <c r="DA179" s="161"/>
      <c r="DB179" s="161"/>
      <c r="DC179" s="161"/>
      <c r="DD179" s="161"/>
      <c r="DE179" s="161"/>
      <c r="DF179" s="161"/>
      <c r="DG179" s="161"/>
      <c r="DH179" s="161"/>
      <c r="DI179" s="161"/>
      <c r="DJ179" s="161"/>
      <c r="DK179" s="177"/>
      <c r="DL179" s="177"/>
      <c r="DM179" s="177"/>
      <c r="DN179" s="177"/>
      <c r="DO179" s="177"/>
      <c r="DP179" s="177"/>
      <c r="DQ179" s="177"/>
      <c r="DR179" s="177"/>
      <c r="DS179" s="177"/>
      <c r="DT179" s="177"/>
      <c r="DU179" s="177"/>
      <c r="DV179" s="177"/>
      <c r="DW179" s="177"/>
      <c r="DX179" s="177"/>
      <c r="DY179" s="177"/>
      <c r="DZ179" s="177"/>
      <c r="EA179" s="177"/>
      <c r="EB179" s="808"/>
      <c r="EC179" s="808"/>
      <c r="ED179" s="808"/>
      <c r="EF179" s="161"/>
      <c r="EH179" s="161"/>
      <c r="EM179" s="161"/>
      <c r="EN179" s="161"/>
      <c r="EO179" s="161"/>
      <c r="EP179" s="161"/>
      <c r="FL179" s="263"/>
      <c r="FM179" s="263"/>
      <c r="FN179" s="263"/>
      <c r="FO179" s="433"/>
      <c r="FP179" s="161"/>
      <c r="FQ179" s="161"/>
      <c r="FR179" s="430"/>
      <c r="FS179" s="643"/>
      <c r="FT179" s="639"/>
      <c r="FU179" s="670"/>
      <c r="FV179" s="667"/>
      <c r="FW179" s="670"/>
      <c r="FX179" s="667"/>
      <c r="FY179" s="751"/>
      <c r="FZ179" s="747"/>
      <c r="GA179" s="784"/>
      <c r="GB179" s="784"/>
      <c r="GC179" s="808"/>
      <c r="GD179" s="784"/>
      <c r="GE179" s="808"/>
    </row>
    <row r="180" spans="1:187">
      <c r="A180" s="161"/>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161"/>
      <c r="X180" s="161"/>
      <c r="Y180" s="161"/>
      <c r="Z180" s="161"/>
      <c r="AA180" s="161"/>
      <c r="AB180" s="161"/>
      <c r="AC180" s="161"/>
      <c r="AD180" s="161"/>
      <c r="AE180" s="263"/>
      <c r="AF180" s="263"/>
      <c r="AG180" s="263"/>
      <c r="AH180" s="263"/>
      <c r="AI180" s="263"/>
      <c r="AJ180" s="263"/>
      <c r="AK180" s="263"/>
      <c r="AL180" s="263"/>
      <c r="AM180" s="263"/>
      <c r="AN180" s="263"/>
      <c r="AO180" s="263"/>
      <c r="AP180" s="263"/>
      <c r="AQ180" s="263"/>
      <c r="AR180" s="263"/>
      <c r="AS180" s="263"/>
      <c r="AT180" s="263"/>
      <c r="AU180" s="263"/>
      <c r="AV180" s="263"/>
      <c r="AW180" s="263"/>
      <c r="AX180" s="263"/>
      <c r="AY180" s="263"/>
      <c r="AZ180" s="263"/>
      <c r="BA180" s="263"/>
      <c r="BB180" s="263"/>
      <c r="BC180" s="263"/>
      <c r="BD180" s="263"/>
      <c r="BE180" s="263"/>
      <c r="BF180" s="263"/>
      <c r="BG180" s="263"/>
      <c r="BH180" s="263"/>
      <c r="BI180" s="263"/>
      <c r="BJ180" s="263"/>
      <c r="BK180" s="263"/>
      <c r="BL180" s="263"/>
      <c r="BM180" s="263"/>
      <c r="BN180" s="263"/>
      <c r="BO180" s="263"/>
      <c r="BP180" s="263"/>
      <c r="BQ180" s="263"/>
      <c r="BR180" s="263"/>
      <c r="BS180" s="263"/>
      <c r="BT180" s="263"/>
      <c r="BU180" s="784"/>
      <c r="BV180" s="784"/>
      <c r="BW180" s="784"/>
      <c r="BX180" s="784"/>
      <c r="BY180" s="161"/>
      <c r="BZ180" s="161"/>
      <c r="CA180" s="161"/>
      <c r="CB180" s="161"/>
      <c r="CC180" s="161"/>
      <c r="CD180" s="161"/>
      <c r="CE180" s="161"/>
      <c r="CF180" s="161"/>
      <c r="CG180" s="161"/>
      <c r="CH180" s="161"/>
      <c r="CI180" s="161"/>
      <c r="CJ180" s="161"/>
      <c r="CK180" s="161"/>
      <c r="CL180" s="161"/>
      <c r="CM180" s="161"/>
      <c r="CN180" s="161"/>
      <c r="CO180" s="161"/>
      <c r="CP180" s="161"/>
      <c r="CQ180" s="161"/>
      <c r="CR180" s="161"/>
      <c r="CS180" s="161"/>
      <c r="CT180" s="161"/>
      <c r="CU180" s="161"/>
      <c r="CV180" s="161"/>
      <c r="CW180" s="161"/>
      <c r="CX180" s="161"/>
      <c r="CY180" s="161"/>
      <c r="CZ180" s="161"/>
      <c r="DA180" s="161"/>
      <c r="DB180" s="161"/>
      <c r="DC180" s="161"/>
      <c r="DD180" s="161"/>
      <c r="DE180" s="161"/>
      <c r="DF180" s="161"/>
      <c r="DG180" s="161"/>
      <c r="DH180" s="161"/>
      <c r="DI180" s="161"/>
      <c r="DJ180" s="161"/>
      <c r="DK180" s="177"/>
      <c r="DL180" s="177"/>
      <c r="DM180" s="177"/>
      <c r="DN180" s="177"/>
      <c r="DO180" s="177"/>
      <c r="DP180" s="177"/>
      <c r="DQ180" s="177"/>
      <c r="DR180" s="177"/>
      <c r="DS180" s="177"/>
      <c r="DT180" s="177"/>
      <c r="DU180" s="177"/>
      <c r="DV180" s="177"/>
      <c r="DW180" s="177"/>
      <c r="DX180" s="177"/>
      <c r="DY180" s="177"/>
      <c r="DZ180" s="177"/>
      <c r="EA180" s="177"/>
      <c r="EB180" s="808"/>
      <c r="EC180" s="808"/>
      <c r="ED180" s="808"/>
      <c r="EF180" s="161"/>
      <c r="EH180" s="161"/>
      <c r="EM180" s="161"/>
      <c r="EN180" s="161"/>
      <c r="EO180" s="161"/>
      <c r="EP180" s="161"/>
      <c r="FL180" s="263"/>
      <c r="FM180" s="263"/>
      <c r="FN180" s="263"/>
      <c r="FO180" s="433"/>
      <c r="FP180" s="161"/>
      <c r="FQ180" s="161"/>
      <c r="FR180" s="430"/>
      <c r="FS180" s="643"/>
      <c r="FT180" s="639"/>
      <c r="FU180" s="670"/>
      <c r="FV180" s="667"/>
      <c r="FW180" s="670"/>
      <c r="FX180" s="667"/>
      <c r="FY180" s="751"/>
      <c r="FZ180" s="747"/>
      <c r="GA180" s="784"/>
      <c r="GB180" s="784"/>
      <c r="GC180" s="808"/>
      <c r="GD180" s="784"/>
      <c r="GE180" s="808"/>
    </row>
    <row r="181" spans="1:187">
      <c r="A181" s="161"/>
      <c r="B181" s="288" t="s">
        <v>502</v>
      </c>
      <c r="C181" s="161"/>
      <c r="D181" s="161"/>
      <c r="E181" s="161"/>
      <c r="F181" s="161"/>
      <c r="G181" s="161"/>
      <c r="H181" s="161"/>
      <c r="I181" s="161"/>
      <c r="J181" s="161"/>
      <c r="K181" s="161"/>
      <c r="L181" s="161"/>
      <c r="M181" s="161"/>
      <c r="N181" s="161"/>
      <c r="O181" s="161"/>
      <c r="P181" s="161"/>
      <c r="Q181" s="161"/>
      <c r="R181" s="161"/>
      <c r="S181" s="161"/>
      <c r="T181" s="161"/>
      <c r="U181" s="161"/>
      <c r="V181" s="161"/>
      <c r="W181" s="161"/>
      <c r="X181" s="161"/>
      <c r="Y181" s="161"/>
      <c r="Z181" s="161"/>
      <c r="AA181" s="161"/>
      <c r="AB181" s="161"/>
      <c r="AC181" s="161"/>
      <c r="AD181" s="161"/>
      <c r="AE181" s="263"/>
      <c r="AF181" s="263"/>
      <c r="AG181" s="263">
        <v>1425</v>
      </c>
      <c r="AH181" s="263">
        <v>1100</v>
      </c>
      <c r="AI181" s="263">
        <v>900</v>
      </c>
      <c r="AJ181" s="263">
        <v>0</v>
      </c>
      <c r="AK181" s="263"/>
      <c r="AL181" s="263"/>
      <c r="AM181" s="263"/>
      <c r="AN181" s="263"/>
      <c r="AO181" s="263"/>
      <c r="AP181" s="263"/>
      <c r="AQ181" s="263"/>
      <c r="AR181" s="263"/>
      <c r="AS181" s="263"/>
      <c r="AT181" s="263"/>
      <c r="AU181" s="263"/>
      <c r="AV181" s="263"/>
      <c r="AW181" s="263"/>
      <c r="AX181" s="263"/>
      <c r="AY181" s="263"/>
      <c r="AZ181" s="263"/>
      <c r="BA181" s="263"/>
      <c r="BB181" s="263"/>
      <c r="BC181" s="263"/>
      <c r="BD181" s="263"/>
      <c r="BE181" s="263"/>
      <c r="BF181" s="263"/>
      <c r="BG181" s="263"/>
      <c r="BH181" s="263"/>
      <c r="BI181" s="263"/>
      <c r="BJ181" s="263"/>
      <c r="BK181" s="263"/>
      <c r="BL181" s="263"/>
      <c r="BM181" s="263"/>
      <c r="BN181" s="263"/>
      <c r="BO181" s="263"/>
      <c r="BP181" s="263"/>
      <c r="BQ181" s="263"/>
      <c r="BR181" s="263"/>
      <c r="BS181" s="263"/>
      <c r="BT181" s="263"/>
      <c r="BU181" s="784"/>
      <c r="BV181" s="784"/>
      <c r="BW181" s="784"/>
      <c r="BX181" s="784"/>
      <c r="BY181" s="161"/>
      <c r="BZ181" s="161"/>
      <c r="CA181" s="161"/>
      <c r="CB181" s="161"/>
      <c r="CC181" s="161"/>
      <c r="CD181" s="161"/>
      <c r="CE181" s="161"/>
      <c r="CF181" s="161"/>
      <c r="CG181" s="161"/>
      <c r="CH181" s="161"/>
      <c r="CI181" s="161"/>
      <c r="CJ181" s="161"/>
      <c r="CK181" s="161"/>
      <c r="CL181" s="161"/>
      <c r="CM181" s="161"/>
      <c r="CN181" s="161"/>
      <c r="CO181" s="161"/>
      <c r="CP181" s="161"/>
      <c r="CQ181" s="161"/>
      <c r="CR181" s="161"/>
      <c r="CS181" s="161"/>
      <c r="CT181" s="161"/>
      <c r="CU181" s="161"/>
      <c r="CV181" s="161"/>
      <c r="CW181" s="161"/>
      <c r="CX181" s="161"/>
      <c r="CY181" s="161"/>
      <c r="CZ181" s="161"/>
      <c r="DA181" s="161"/>
      <c r="DB181" s="161"/>
      <c r="DC181" s="161"/>
      <c r="DD181" s="161"/>
      <c r="DE181" s="161"/>
      <c r="DF181" s="161"/>
      <c r="DG181" s="161"/>
      <c r="DH181" s="161"/>
      <c r="DI181" s="161"/>
      <c r="DJ181" s="161"/>
      <c r="DK181" s="177"/>
      <c r="DL181" s="177"/>
      <c r="DM181" s="177"/>
      <c r="DN181" s="177"/>
      <c r="DO181" s="177"/>
      <c r="DP181" s="177"/>
      <c r="DQ181" s="177"/>
      <c r="DR181" s="177"/>
      <c r="DS181" s="177"/>
      <c r="DT181" s="177"/>
      <c r="DU181" s="177"/>
      <c r="DV181" s="177"/>
      <c r="DW181" s="177"/>
      <c r="DX181" s="177"/>
      <c r="DY181" s="177"/>
      <c r="DZ181" s="177"/>
      <c r="EA181" s="177"/>
      <c r="EB181" s="808"/>
      <c r="EC181" s="808"/>
      <c r="ED181" s="808"/>
      <c r="EF181" s="161"/>
      <c r="EH181" s="161"/>
      <c r="EM181" s="161"/>
      <c r="EN181" s="161"/>
      <c r="EO181" s="161"/>
      <c r="EP181" s="161"/>
      <c r="FL181" s="263"/>
      <c r="FM181" s="263"/>
      <c r="FN181" s="263"/>
      <c r="FO181" s="433"/>
      <c r="FP181" s="161"/>
      <c r="FQ181" s="161"/>
      <c r="FR181" s="430"/>
      <c r="FS181" s="643"/>
      <c r="FT181" s="639"/>
      <c r="FU181" s="670"/>
      <c r="FV181" s="667"/>
      <c r="FW181" s="670"/>
      <c r="FX181" s="667"/>
      <c r="FY181" s="751"/>
      <c r="FZ181" s="747"/>
      <c r="GA181" s="784"/>
      <c r="GB181" s="784"/>
      <c r="GC181" s="808"/>
      <c r="GD181" s="784"/>
      <c r="GE181" s="808"/>
    </row>
    <row r="182" spans="1:187">
      <c r="A182" s="161"/>
      <c r="B182" s="326" t="s">
        <v>503</v>
      </c>
      <c r="C182" s="163"/>
      <c r="D182" s="163"/>
      <c r="E182" s="163"/>
      <c r="F182" s="163"/>
      <c r="G182" s="163"/>
      <c r="H182" s="163"/>
      <c r="I182" s="163"/>
      <c r="J182" s="163"/>
      <c r="K182" s="163"/>
      <c r="L182" s="163"/>
      <c r="M182" s="163"/>
      <c r="N182" s="163"/>
      <c r="O182" s="163"/>
      <c r="P182" s="163"/>
      <c r="Q182" s="163"/>
      <c r="R182" s="163"/>
      <c r="S182" s="163"/>
      <c r="T182" s="163"/>
      <c r="U182" s="163"/>
      <c r="V182" s="163"/>
      <c r="W182" s="163"/>
      <c r="X182" s="163"/>
      <c r="Y182" s="163"/>
      <c r="Z182" s="163"/>
      <c r="AA182" s="163"/>
      <c r="AB182" s="163"/>
      <c r="AC182" s="163"/>
      <c r="AD182" s="163"/>
      <c r="AE182" s="294"/>
      <c r="AF182" s="294"/>
      <c r="AG182" s="294">
        <f>AG178-AG181</f>
        <v>49.354000000000042</v>
      </c>
      <c r="AH182" s="294">
        <f>AH178-AH181</f>
        <v>1030.2460000000001</v>
      </c>
      <c r="AI182" s="294">
        <f>AI178-AI181</f>
        <v>1590</v>
      </c>
      <c r="AJ182" s="294">
        <f>AJ178-AJ181</f>
        <v>741</v>
      </c>
      <c r="AK182" s="294"/>
      <c r="AL182" s="294"/>
      <c r="AM182" s="294">
        <f>AM178</f>
        <v>941.9</v>
      </c>
      <c r="AN182" s="294">
        <f>AN178</f>
        <v>-176.8</v>
      </c>
      <c r="AO182" s="294">
        <f>AO178</f>
        <v>1008.9</v>
      </c>
      <c r="AP182" s="294">
        <f>AP178</f>
        <v>687.5</v>
      </c>
      <c r="AQ182" s="294">
        <f>AQ178</f>
        <v>572</v>
      </c>
      <c r="AR182" s="296">
        <v>11.586</v>
      </c>
      <c r="AS182" s="296">
        <v>4538.05</v>
      </c>
      <c r="AT182" s="296">
        <v>4153.9470000000001</v>
      </c>
      <c r="AU182" s="296">
        <v>4799.7389999999996</v>
      </c>
      <c r="AV182" s="296">
        <v>3720.0320000000002</v>
      </c>
      <c r="AW182" s="296">
        <v>5396.9</v>
      </c>
      <c r="AX182" s="296">
        <v>4909</v>
      </c>
      <c r="AY182" s="296">
        <v>3572</v>
      </c>
      <c r="AZ182" s="296">
        <v>2717</v>
      </c>
      <c r="BA182" s="296">
        <v>4014</v>
      </c>
      <c r="BB182" s="296">
        <v>4282.9549999999999</v>
      </c>
      <c r="BC182" s="296">
        <v>4670</v>
      </c>
      <c r="BD182" s="296">
        <v>4834.0680000000002</v>
      </c>
      <c r="BE182" s="296">
        <v>7807.8990000000003</v>
      </c>
      <c r="BF182" s="296">
        <v>10268.468000000001</v>
      </c>
      <c r="BG182" s="296">
        <v>12842.623</v>
      </c>
      <c r="BH182" s="296">
        <v>14371.525</v>
      </c>
      <c r="BI182" s="296">
        <v>18345.264999999999</v>
      </c>
      <c r="BJ182" s="296">
        <v>18911.531999999999</v>
      </c>
      <c r="BK182" s="296">
        <v>20217.771000000001</v>
      </c>
      <c r="BL182" s="296">
        <v>19352.038</v>
      </c>
      <c r="BM182" s="296">
        <v>22012.471000000001</v>
      </c>
      <c r="BN182" s="296">
        <v>21950.694</v>
      </c>
      <c r="BO182" s="296">
        <v>21960.905999999999</v>
      </c>
      <c r="BP182" s="296">
        <v>21075.919000000002</v>
      </c>
      <c r="BQ182" s="296">
        <v>23445.504000000001</v>
      </c>
      <c r="BR182" s="296">
        <v>22292.294000000002</v>
      </c>
      <c r="BS182" s="296">
        <v>21457.014999999999</v>
      </c>
      <c r="BT182" s="296">
        <v>20395.449000000001</v>
      </c>
      <c r="BU182" s="792"/>
      <c r="BV182" s="792"/>
      <c r="BW182" s="792"/>
      <c r="BX182" s="792"/>
      <c r="BY182" s="294"/>
      <c r="BZ182" s="294"/>
      <c r="CA182" s="161"/>
      <c r="CB182" s="161"/>
      <c r="CC182" s="161"/>
      <c r="CD182" s="161"/>
      <c r="CE182" s="161"/>
      <c r="CF182" s="161"/>
      <c r="CG182" s="161"/>
      <c r="CH182" s="161"/>
      <c r="CI182" s="161"/>
      <c r="CJ182" s="161"/>
      <c r="CK182" s="161"/>
      <c r="CL182" s="161"/>
      <c r="CM182" s="161"/>
      <c r="CN182" s="161"/>
      <c r="CO182" s="161"/>
      <c r="CP182" s="161"/>
      <c r="CQ182" s="161"/>
      <c r="CR182" s="161"/>
      <c r="CS182" s="161"/>
      <c r="CT182" s="161"/>
      <c r="CU182" s="161"/>
      <c r="CV182" s="161"/>
      <c r="CW182" s="161"/>
      <c r="CX182" s="161"/>
      <c r="CY182" s="161"/>
      <c r="CZ182" s="161"/>
      <c r="DA182" s="161"/>
      <c r="DB182" s="161"/>
      <c r="DC182" s="161"/>
      <c r="DD182" s="161"/>
      <c r="DE182" s="161"/>
      <c r="DF182" s="161"/>
      <c r="DG182" s="161"/>
      <c r="DH182" s="161"/>
      <c r="DI182" s="161"/>
      <c r="DJ182" s="161"/>
      <c r="DK182" s="177"/>
      <c r="DL182" s="177"/>
      <c r="DM182" s="177"/>
      <c r="DN182" s="177"/>
      <c r="DO182" s="177"/>
      <c r="DP182" s="177"/>
      <c r="DQ182" s="177"/>
      <c r="DR182" s="177"/>
      <c r="DS182" s="177"/>
      <c r="DT182" s="177"/>
      <c r="DU182" s="177"/>
      <c r="DV182" s="177"/>
      <c r="DW182" s="177"/>
      <c r="DX182" s="177"/>
      <c r="DY182" s="177"/>
      <c r="DZ182" s="177"/>
      <c r="EA182" s="177"/>
      <c r="EB182" s="808"/>
      <c r="EC182" s="808"/>
      <c r="ED182" s="808"/>
      <c r="EF182" s="161"/>
      <c r="EH182" s="161"/>
      <c r="EM182" s="161"/>
      <c r="EN182" s="161"/>
      <c r="EO182" s="161"/>
      <c r="EP182" s="161"/>
      <c r="FL182" s="263">
        <v>12029.339677847998</v>
      </c>
      <c r="FM182" s="263">
        <v>17162.9015545435</v>
      </c>
      <c r="FN182" s="294">
        <v>18890.207154296</v>
      </c>
      <c r="FO182" s="441">
        <v>19524.207833778633</v>
      </c>
      <c r="FP182" s="161"/>
      <c r="FQ182" s="161"/>
      <c r="FR182" s="430"/>
      <c r="FS182" s="653">
        <v>22046.664525</v>
      </c>
      <c r="FT182" s="639"/>
      <c r="FU182" s="682">
        <v>22173.371000000003</v>
      </c>
      <c r="FV182" s="667"/>
      <c r="FW182" s="682">
        <v>25119.479376811028</v>
      </c>
      <c r="FX182" s="667"/>
      <c r="FY182" s="760"/>
      <c r="FZ182" s="747"/>
      <c r="GA182" s="792"/>
      <c r="GB182" s="792"/>
      <c r="GC182" s="808"/>
      <c r="GD182" s="792"/>
      <c r="GE182" s="808"/>
    </row>
    <row r="183" spans="1:187">
      <c r="A183" s="161"/>
      <c r="B183" s="288" t="s">
        <v>225</v>
      </c>
      <c r="C183" s="161"/>
      <c r="D183" s="161"/>
      <c r="E183" s="161"/>
      <c r="F183" s="161"/>
      <c r="G183" s="161"/>
      <c r="H183" s="161"/>
      <c r="I183" s="161"/>
      <c r="J183" s="161"/>
      <c r="K183" s="161"/>
      <c r="L183" s="161"/>
      <c r="M183" s="161"/>
      <c r="N183" s="161"/>
      <c r="O183" s="161"/>
      <c r="P183" s="161"/>
      <c r="Q183" s="161"/>
      <c r="R183" s="161"/>
      <c r="S183" s="161"/>
      <c r="T183" s="161"/>
      <c r="U183" s="161"/>
      <c r="V183" s="161"/>
      <c r="W183" s="161"/>
      <c r="X183" s="161"/>
      <c r="Y183" s="161"/>
      <c r="Z183" s="161"/>
      <c r="AA183" s="161"/>
      <c r="AB183" s="161"/>
      <c r="AC183" s="161"/>
      <c r="AD183" s="161"/>
      <c r="AE183" s="263"/>
      <c r="AF183" s="263"/>
      <c r="AG183" s="263"/>
      <c r="AH183" s="263"/>
      <c r="AI183" s="263"/>
      <c r="AJ183" s="263"/>
      <c r="AK183" s="263"/>
      <c r="AL183" s="263"/>
      <c r="AM183" s="263"/>
      <c r="AN183" s="263"/>
      <c r="AO183" s="263"/>
      <c r="AP183" s="263"/>
      <c r="AQ183" s="263"/>
      <c r="AR183" s="263"/>
      <c r="AS183" s="263"/>
      <c r="AT183" s="263"/>
      <c r="AU183" s="263"/>
      <c r="AV183" s="263"/>
      <c r="AW183" s="263"/>
      <c r="AX183" s="263"/>
      <c r="AY183" s="263"/>
      <c r="AZ183" s="263"/>
      <c r="BA183" s="263"/>
      <c r="BB183" s="263"/>
      <c r="BC183" s="263"/>
      <c r="BD183" s="263">
        <f>BD182-BC182</f>
        <v>164.06800000000021</v>
      </c>
      <c r="BE183" s="263">
        <f>BE182-BD182</f>
        <v>2973.8310000000001</v>
      </c>
      <c r="BF183" s="263">
        <f>BF182-BE182</f>
        <v>2460.5690000000004</v>
      </c>
      <c r="BG183" s="263">
        <f>BG182-BF182</f>
        <v>2574.1549999999988</v>
      </c>
      <c r="BH183" s="263">
        <f t="shared" ref="BH183:BN183" si="234">BH182-BG182</f>
        <v>1528.902</v>
      </c>
      <c r="BI183" s="263">
        <f t="shared" si="234"/>
        <v>3973.74</v>
      </c>
      <c r="BJ183" s="263">
        <f t="shared" si="234"/>
        <v>566.26699999999983</v>
      </c>
      <c r="BK183" s="263">
        <f t="shared" si="234"/>
        <v>1306.2390000000014</v>
      </c>
      <c r="BL183" s="263">
        <f t="shared" si="234"/>
        <v>-865.73300000000017</v>
      </c>
      <c r="BM183" s="263">
        <f t="shared" si="234"/>
        <v>2660.4330000000009</v>
      </c>
      <c r="BN183" s="263">
        <f t="shared" si="234"/>
        <v>-61.777000000001863</v>
      </c>
      <c r="BO183" s="263">
        <f t="shared" ref="BO183:BT183" si="235">BO182-BN182</f>
        <v>10.211999999999534</v>
      </c>
      <c r="BP183" s="263">
        <f t="shared" si="235"/>
        <v>-884.98699999999735</v>
      </c>
      <c r="BQ183" s="263">
        <f t="shared" si="235"/>
        <v>2369.5849999999991</v>
      </c>
      <c r="BR183" s="263">
        <f t="shared" si="235"/>
        <v>-1153.2099999999991</v>
      </c>
      <c r="BS183" s="263">
        <f t="shared" si="235"/>
        <v>-835.27900000000227</v>
      </c>
      <c r="BT183" s="263">
        <f t="shared" si="235"/>
        <v>-1061.5659999999989</v>
      </c>
      <c r="BU183" s="784"/>
      <c r="BV183" s="784"/>
      <c r="BW183" s="784"/>
      <c r="BX183" s="784"/>
      <c r="BY183" s="263"/>
      <c r="BZ183" s="263"/>
      <c r="CA183" s="161"/>
      <c r="CB183" s="161"/>
      <c r="CC183" s="161"/>
      <c r="CD183" s="161"/>
      <c r="CE183" s="161"/>
      <c r="CF183" s="161"/>
      <c r="CG183" s="161"/>
      <c r="CH183" s="161"/>
      <c r="CI183" s="161"/>
      <c r="CJ183" s="161"/>
      <c r="CK183" s="161"/>
      <c r="CL183" s="161"/>
      <c r="CM183" s="161"/>
      <c r="CN183" s="161"/>
      <c r="CO183" s="161"/>
      <c r="CP183" s="161"/>
      <c r="CQ183" s="161"/>
      <c r="CR183" s="161"/>
      <c r="CS183" s="161"/>
      <c r="CT183" s="161"/>
      <c r="CU183" s="161"/>
      <c r="CV183" s="161"/>
      <c r="CW183" s="161"/>
      <c r="CX183" s="161"/>
      <c r="CY183" s="161"/>
      <c r="CZ183" s="161"/>
      <c r="DA183" s="161"/>
      <c r="DB183" s="161"/>
      <c r="DC183" s="161"/>
      <c r="DD183" s="161"/>
      <c r="DE183" s="161"/>
      <c r="DF183" s="161"/>
      <c r="DG183" s="161"/>
      <c r="DH183" s="161"/>
      <c r="DI183" s="161"/>
      <c r="DJ183" s="161"/>
      <c r="DK183" s="177"/>
      <c r="DL183" s="177"/>
      <c r="DM183" s="177"/>
      <c r="DN183" s="177"/>
      <c r="DO183" s="177"/>
      <c r="DP183" s="177"/>
      <c r="DQ183" s="177"/>
      <c r="DR183" s="177"/>
      <c r="DS183" s="177"/>
      <c r="DT183" s="177"/>
      <c r="DU183" s="177"/>
      <c r="DV183" s="177"/>
      <c r="DW183" s="177"/>
      <c r="DX183" s="177"/>
      <c r="DY183" s="177"/>
      <c r="DZ183" s="177"/>
      <c r="EA183" s="177"/>
      <c r="EB183" s="808"/>
      <c r="EC183" s="808"/>
      <c r="ED183" s="808"/>
      <c r="EF183" s="161"/>
      <c r="EH183" s="161"/>
      <c r="EM183" s="161"/>
      <c r="EN183" s="161"/>
      <c r="EO183" s="161"/>
      <c r="EP183" s="161"/>
      <c r="FL183" s="263"/>
      <c r="FM183" s="263">
        <v>2791.3765545434999</v>
      </c>
      <c r="FN183" s="263">
        <v>544.94215429600081</v>
      </c>
      <c r="FO183" s="433">
        <v>612.67583377863411</v>
      </c>
      <c r="FP183" s="161"/>
      <c r="FQ183" s="161"/>
      <c r="FR183" s="430"/>
      <c r="FS183" s="643">
        <v>2694.6265249999997</v>
      </c>
      <c r="FT183" s="639"/>
      <c r="FU183" s="670">
        <v>160.90000000000146</v>
      </c>
      <c r="FV183" s="667"/>
      <c r="FW183" s="670">
        <v>3168.785376811029</v>
      </c>
      <c r="FX183" s="667"/>
      <c r="FY183" s="751"/>
      <c r="FZ183" s="747"/>
      <c r="GA183" s="784"/>
      <c r="GB183" s="784"/>
      <c r="GC183" s="808"/>
      <c r="GD183" s="784"/>
      <c r="GE183" s="808"/>
    </row>
    <row r="184" spans="1:187">
      <c r="A184" s="161"/>
      <c r="B184" s="326" t="s">
        <v>504</v>
      </c>
      <c r="C184" s="163"/>
      <c r="D184" s="163"/>
      <c r="E184" s="163"/>
      <c r="F184" s="163"/>
      <c r="G184" s="163"/>
      <c r="H184" s="163"/>
      <c r="I184" s="163"/>
      <c r="J184" s="163"/>
      <c r="K184" s="163"/>
      <c r="L184" s="163"/>
      <c r="M184" s="163"/>
      <c r="N184" s="163"/>
      <c r="O184" s="163"/>
      <c r="P184" s="163"/>
      <c r="Q184" s="163"/>
      <c r="R184" s="163"/>
      <c r="S184" s="163"/>
      <c r="T184" s="163"/>
      <c r="U184" s="163"/>
      <c r="V184" s="163"/>
      <c r="W184" s="163"/>
      <c r="X184" s="163"/>
      <c r="Y184" s="163"/>
      <c r="Z184" s="163"/>
      <c r="AA184" s="163"/>
      <c r="AB184" s="163"/>
      <c r="AC184" s="163"/>
      <c r="AD184" s="163"/>
      <c r="AE184" s="294"/>
      <c r="AF184" s="294"/>
      <c r="AG184" s="305">
        <f t="shared" ref="AG184:AO184" si="236">AG182/(AD133+AE133+AF133+AG133)</f>
        <v>7.6354501850847169E-3</v>
      </c>
      <c r="AH184" s="305">
        <f t="shared" si="236"/>
        <v>0.1544782677734666</v>
      </c>
      <c r="AI184" s="305">
        <f t="shared" si="236"/>
        <v>0.22994626343829827</v>
      </c>
      <c r="AJ184" s="305">
        <f t="shared" si="236"/>
        <v>0.10558924785116618</v>
      </c>
      <c r="AK184" s="305">
        <f t="shared" si="236"/>
        <v>0</v>
      </c>
      <c r="AL184" s="305">
        <f t="shared" si="236"/>
        <v>0</v>
      </c>
      <c r="AM184" s="305">
        <f t="shared" si="236"/>
        <v>0.12208320425962672</v>
      </c>
      <c r="AN184" s="305">
        <f t="shared" si="236"/>
        <v>-2.1923980581404622E-2</v>
      </c>
      <c r="AO184" s="305">
        <f t="shared" si="236"/>
        <v>0.12032085561497326</v>
      </c>
      <c r="AP184" s="305">
        <f t="shared" ref="AP184:BH184" si="237">AP182/(AM140+AN140+AO140+AP140)</f>
        <v>7.4622677891509379E-2</v>
      </c>
      <c r="AQ184" s="305">
        <f t="shared" si="237"/>
        <v>6.1196485438767038E-2</v>
      </c>
      <c r="AR184" s="305">
        <f t="shared" si="237"/>
        <v>1.2165286618184721E-3</v>
      </c>
      <c r="AS184" s="305">
        <f t="shared" si="237"/>
        <v>0.46490269216466262</v>
      </c>
      <c r="AT184" s="305">
        <f t="shared" si="237"/>
        <v>0.41848095519647849</v>
      </c>
      <c r="AU184" s="305">
        <f t="shared" si="237"/>
        <v>0.47238173354036578</v>
      </c>
      <c r="AV184" s="305">
        <f t="shared" si="237"/>
        <v>0.35849009510988061</v>
      </c>
      <c r="AW184" s="305">
        <f t="shared" si="237"/>
        <v>0.51474735089051415</v>
      </c>
      <c r="AX184" s="305">
        <f t="shared" si="237"/>
        <v>0.4551614933191212</v>
      </c>
      <c r="AY184" s="305">
        <f t="shared" si="237"/>
        <v>0.32363075289451104</v>
      </c>
      <c r="AZ184" s="305">
        <f t="shared" si="237"/>
        <v>0.24100527852120512</v>
      </c>
      <c r="BA184" s="305">
        <f t="shared" si="237"/>
        <v>0.34709497760312158</v>
      </c>
      <c r="BB184" s="305">
        <f t="shared" si="237"/>
        <v>0.36305889872389768</v>
      </c>
      <c r="BC184" s="305">
        <f t="shared" si="237"/>
        <v>0.38541602275918757</v>
      </c>
      <c r="BD184" s="305">
        <f t="shared" si="237"/>
        <v>0.39166715144990166</v>
      </c>
      <c r="BE184" s="305">
        <f t="shared" si="237"/>
        <v>0.6202215001039012</v>
      </c>
      <c r="BF184" s="305">
        <f t="shared" si="237"/>
        <v>0.80592059359766566</v>
      </c>
      <c r="BG184" s="305">
        <f t="shared" si="237"/>
        <v>1.0057642642712019</v>
      </c>
      <c r="BH184" s="305">
        <f t="shared" si="237"/>
        <v>1.1219666980659098</v>
      </c>
      <c r="BI184" s="305">
        <f t="shared" ref="BI184:BN184" si="238">BI182/(BF140+BG140+BH140+BI140)</f>
        <v>1.4288704616980235</v>
      </c>
      <c r="BJ184" s="305">
        <f t="shared" si="238"/>
        <v>1.4572867334231265</v>
      </c>
      <c r="BK184" s="305">
        <f t="shared" si="238"/>
        <v>1.5178513593925045</v>
      </c>
      <c r="BL184" s="305">
        <f t="shared" si="238"/>
        <v>1.4092757573367656</v>
      </c>
      <c r="BM184" s="305">
        <f t="shared" si="238"/>
        <v>1.5667173354930397</v>
      </c>
      <c r="BN184" s="306">
        <f t="shared" si="238"/>
        <v>1.5325928199982308</v>
      </c>
      <c r="BO184" s="306">
        <f t="shared" ref="BO184:BT184" si="239">BO182/(BL140+BM140+BN140+BO140)</f>
        <v>1.5011024034966314</v>
      </c>
      <c r="BP184" s="306">
        <f t="shared" si="239"/>
        <v>1.4113739660504194</v>
      </c>
      <c r="BQ184" s="306">
        <f t="shared" si="239"/>
        <v>1.5342938218466964</v>
      </c>
      <c r="BR184" s="306">
        <f t="shared" si="239"/>
        <v>1.4246346450190497</v>
      </c>
      <c r="BS184" s="306">
        <f t="shared" si="239"/>
        <v>1.3464463617484752</v>
      </c>
      <c r="BT184" s="306">
        <f t="shared" si="239"/>
        <v>1.2531974572356934</v>
      </c>
      <c r="BU184" s="800"/>
      <c r="BV184" s="800"/>
      <c r="BW184" s="800"/>
      <c r="BX184" s="800"/>
      <c r="BY184" s="161"/>
      <c r="BZ184" s="161"/>
      <c r="CA184" s="161"/>
      <c r="CB184" s="161"/>
      <c r="CC184" s="161"/>
      <c r="CD184" s="161"/>
      <c r="CE184" s="161"/>
      <c r="CF184" s="161"/>
      <c r="CG184" s="161"/>
      <c r="CH184" s="161"/>
      <c r="CI184" s="161"/>
      <c r="CJ184" s="161"/>
      <c r="CK184" s="161"/>
      <c r="CL184" s="161"/>
      <c r="CM184" s="161"/>
      <c r="CN184" s="161"/>
      <c r="CO184" s="161"/>
      <c r="CP184" s="161"/>
      <c r="CQ184" s="161"/>
      <c r="CR184" s="161"/>
      <c r="CS184" s="161"/>
      <c r="CT184" s="161"/>
      <c r="CU184" s="161"/>
      <c r="CV184" s="161"/>
      <c r="CW184" s="161"/>
      <c r="CX184" s="161"/>
      <c r="CY184" s="161"/>
      <c r="CZ184" s="161"/>
      <c r="DA184" s="161"/>
      <c r="DB184" s="161"/>
      <c r="DC184" s="161"/>
      <c r="DD184" s="161"/>
      <c r="DE184" s="161"/>
      <c r="DF184" s="161"/>
      <c r="DG184" s="161"/>
      <c r="DH184" s="161"/>
      <c r="DI184" s="161"/>
      <c r="DJ184" s="161"/>
      <c r="DK184" s="177"/>
      <c r="DL184" s="177"/>
      <c r="DM184" s="177"/>
      <c r="DN184" s="177"/>
      <c r="DO184" s="177"/>
      <c r="DP184" s="177"/>
      <c r="DQ184" s="177"/>
      <c r="DR184" s="177"/>
      <c r="DS184" s="177"/>
      <c r="DT184" s="177"/>
      <c r="DU184" s="177"/>
      <c r="DV184" s="177"/>
      <c r="DW184" s="177"/>
      <c r="DX184" s="177"/>
      <c r="DY184" s="177"/>
      <c r="DZ184" s="177"/>
      <c r="EA184" s="177"/>
      <c r="EB184" s="808"/>
      <c r="EC184" s="808"/>
      <c r="ED184" s="808"/>
      <c r="EF184" s="161"/>
      <c r="EH184" s="161"/>
      <c r="EM184" s="161"/>
      <c r="EN184" s="161"/>
      <c r="EO184" s="161"/>
      <c r="EP184" s="161"/>
      <c r="FL184" s="266">
        <v>0.94842705264353921</v>
      </c>
      <c r="FM184" s="266">
        <v>1.3422862624173943</v>
      </c>
      <c r="FN184" s="266">
        <v>1.4485808711961408</v>
      </c>
      <c r="FO184" s="446">
        <v>1.487219127371606</v>
      </c>
      <c r="FP184" s="161"/>
      <c r="FQ184" s="161"/>
      <c r="FR184" s="430"/>
      <c r="FS184" s="658">
        <v>1.5570196243815739</v>
      </c>
      <c r="FT184" s="639"/>
      <c r="FU184" s="688">
        <v>1.5277429565358789</v>
      </c>
      <c r="FV184" s="667"/>
      <c r="FW184" s="688">
        <v>1.7128918497651933</v>
      </c>
      <c r="FX184" s="667"/>
      <c r="FY184" s="767"/>
      <c r="FZ184" s="747"/>
      <c r="GA184" s="800"/>
      <c r="GB184" s="800"/>
      <c r="GC184" s="808"/>
      <c r="GD184" s="800"/>
      <c r="GE184" s="808"/>
    </row>
    <row r="185" spans="1:187">
      <c r="A185" s="161"/>
      <c r="B185" s="288" t="s">
        <v>286</v>
      </c>
      <c r="C185" s="161"/>
      <c r="D185" s="161"/>
      <c r="E185" s="161"/>
      <c r="F185" s="161"/>
      <c r="G185" s="161"/>
      <c r="H185" s="161"/>
      <c r="I185" s="161"/>
      <c r="J185" s="161"/>
      <c r="K185" s="161"/>
      <c r="L185" s="161"/>
      <c r="M185" s="161"/>
      <c r="N185" s="161"/>
      <c r="O185" s="161"/>
      <c r="P185" s="161"/>
      <c r="Q185" s="161"/>
      <c r="R185" s="161"/>
      <c r="S185" s="161"/>
      <c r="T185" s="161"/>
      <c r="U185" s="161"/>
      <c r="V185" s="161"/>
      <c r="W185" s="161"/>
      <c r="X185" s="161"/>
      <c r="Y185" s="161"/>
      <c r="Z185" s="161"/>
      <c r="AA185" s="161"/>
      <c r="AB185" s="161"/>
      <c r="AC185" s="161"/>
      <c r="AD185" s="161"/>
      <c r="AE185" s="263"/>
      <c r="AF185" s="263"/>
      <c r="AG185" s="263"/>
      <c r="AH185" s="263">
        <f>AH182-AG182</f>
        <v>980.89200000000005</v>
      </c>
      <c r="AI185" s="263">
        <f>AI182-AH182</f>
        <v>559.75399999999991</v>
      </c>
      <c r="AJ185" s="263"/>
      <c r="AK185" s="263"/>
      <c r="AL185" s="263"/>
      <c r="AM185" s="263"/>
      <c r="AN185" s="263"/>
      <c r="AO185" s="263"/>
      <c r="AP185" s="263"/>
      <c r="AQ185" s="263"/>
      <c r="AR185" s="275">
        <f t="shared" ref="AR185:BI185" si="240">AR184-AQ184</f>
        <v>-5.9979956776948569E-2</v>
      </c>
      <c r="AS185" s="275">
        <f t="shared" si="240"/>
        <v>0.46368616350284414</v>
      </c>
      <c r="AT185" s="275">
        <f t="shared" si="240"/>
        <v>-4.6421736968184135E-2</v>
      </c>
      <c r="AU185" s="275">
        <f t="shared" si="240"/>
        <v>5.390077834388729E-2</v>
      </c>
      <c r="AV185" s="275">
        <f t="shared" si="240"/>
        <v>-0.11389163843048516</v>
      </c>
      <c r="AW185" s="275">
        <f t="shared" si="240"/>
        <v>0.15625725578063354</v>
      </c>
      <c r="AX185" s="275">
        <f t="shared" si="240"/>
        <v>-5.9585857571392953E-2</v>
      </c>
      <c r="AY185" s="275">
        <f t="shared" si="240"/>
        <v>-0.13153074042461016</v>
      </c>
      <c r="AZ185" s="275">
        <f t="shared" si="240"/>
        <v>-8.2625474373305918E-2</v>
      </c>
      <c r="BA185" s="275">
        <f t="shared" si="240"/>
        <v>0.10608969908191646</v>
      </c>
      <c r="BB185" s="275">
        <f t="shared" si="240"/>
        <v>1.5963921120776103E-2</v>
      </c>
      <c r="BC185" s="275">
        <f t="shared" si="240"/>
        <v>2.2357124035289888E-2</v>
      </c>
      <c r="BD185" s="275">
        <f t="shared" si="240"/>
        <v>6.2511286907140917E-3</v>
      </c>
      <c r="BE185" s="275">
        <f t="shared" si="240"/>
        <v>0.22855434865399954</v>
      </c>
      <c r="BF185" s="275">
        <f t="shared" si="240"/>
        <v>0.18569909349376446</v>
      </c>
      <c r="BG185" s="275">
        <f t="shared" si="240"/>
        <v>0.19984367067353626</v>
      </c>
      <c r="BH185" s="275">
        <f t="shared" si="240"/>
        <v>0.11620243379470785</v>
      </c>
      <c r="BI185" s="275">
        <f t="shared" si="240"/>
        <v>0.30690376363211369</v>
      </c>
      <c r="BJ185" s="275">
        <f>BJ184-BI184</f>
        <v>2.8416271725103082E-2</v>
      </c>
      <c r="BK185" s="275">
        <f>BK184-BJ184</f>
        <v>6.056462596937795E-2</v>
      </c>
      <c r="BL185" s="275">
        <f t="shared" ref="BL185:BT185" si="241">BL184-BK184</f>
        <v>-0.10857560205573891</v>
      </c>
      <c r="BM185" s="275">
        <f t="shared" si="241"/>
        <v>0.15744157815627413</v>
      </c>
      <c r="BN185" s="275">
        <f t="shared" si="241"/>
        <v>-3.4124515494808882E-2</v>
      </c>
      <c r="BO185" s="275">
        <f t="shared" si="241"/>
        <v>-3.149041650159945E-2</v>
      </c>
      <c r="BP185" s="275">
        <f t="shared" si="241"/>
        <v>-8.9728437446211951E-2</v>
      </c>
      <c r="BQ185" s="275">
        <f t="shared" si="241"/>
        <v>0.12291985579627696</v>
      </c>
      <c r="BR185" s="275">
        <f t="shared" si="241"/>
        <v>-0.1096591768276467</v>
      </c>
      <c r="BS185" s="275">
        <f t="shared" si="241"/>
        <v>-7.8188283270574477E-2</v>
      </c>
      <c r="BT185" s="275">
        <f t="shared" si="241"/>
        <v>-9.3248904512781783E-2</v>
      </c>
      <c r="BU185" s="787"/>
      <c r="BV185" s="787"/>
      <c r="BW185" s="787"/>
      <c r="BX185" s="787"/>
      <c r="BY185" s="161"/>
      <c r="BZ185" s="161"/>
      <c r="CA185" s="161"/>
      <c r="CB185" s="161"/>
      <c r="CC185" s="161"/>
      <c r="CD185" s="161"/>
      <c r="CE185" s="161"/>
      <c r="CF185" s="161"/>
      <c r="CG185" s="161"/>
      <c r="CH185" s="161"/>
      <c r="CI185" s="161"/>
      <c r="CJ185" s="161"/>
      <c r="CK185" s="161"/>
      <c r="CL185" s="161"/>
      <c r="CM185" s="161"/>
      <c r="CN185" s="161"/>
      <c r="CO185" s="161"/>
      <c r="CP185" s="161"/>
      <c r="CQ185" s="161"/>
      <c r="CR185" s="161"/>
      <c r="CS185" s="161"/>
      <c r="CT185" s="161"/>
      <c r="CU185" s="161"/>
      <c r="CV185" s="161"/>
      <c r="CW185" s="161"/>
      <c r="CX185" s="161"/>
      <c r="CY185" s="161"/>
      <c r="CZ185" s="161"/>
      <c r="DA185" s="161"/>
      <c r="DB185" s="161"/>
      <c r="DC185" s="161"/>
      <c r="DD185" s="161"/>
      <c r="DE185" s="161"/>
      <c r="DF185" s="161"/>
      <c r="DG185" s="161"/>
      <c r="DH185" s="161"/>
      <c r="DI185" s="161"/>
      <c r="DJ185" s="161"/>
      <c r="DK185" s="177"/>
      <c r="DL185" s="177"/>
      <c r="DM185" s="177"/>
      <c r="DN185" s="177"/>
      <c r="DO185" s="177"/>
      <c r="DP185" s="177"/>
      <c r="DQ185" s="177"/>
      <c r="DR185" s="177"/>
      <c r="DS185" s="177"/>
      <c r="DT185" s="177"/>
      <c r="DU185" s="177"/>
      <c r="DV185" s="177"/>
      <c r="DW185" s="177"/>
      <c r="DX185" s="177"/>
      <c r="DY185" s="177"/>
      <c r="DZ185" s="177"/>
      <c r="EA185" s="177"/>
      <c r="EB185" s="808"/>
      <c r="EC185" s="808"/>
      <c r="ED185" s="808"/>
      <c r="EF185" s="161"/>
      <c r="EH185" s="161"/>
      <c r="EM185" s="161"/>
      <c r="EN185" s="161"/>
      <c r="EO185" s="161"/>
      <c r="EP185" s="161"/>
      <c r="FL185" s="263"/>
      <c r="FM185" s="263"/>
      <c r="FN185" s="263"/>
      <c r="FO185" s="435">
        <v>2.9932393948479463E-2</v>
      </c>
      <c r="FP185" s="161"/>
      <c r="FQ185" s="161"/>
      <c r="FR185" s="430"/>
      <c r="FS185" s="647">
        <v>0.14774386704480835</v>
      </c>
      <c r="FT185" s="639"/>
      <c r="FU185" s="674">
        <v>-3.8974378957160827E-2</v>
      </c>
      <c r="FV185" s="667"/>
      <c r="FW185" s="674">
        <v>0.18029902976696244</v>
      </c>
      <c r="FX185" s="667"/>
      <c r="FY185" s="754"/>
      <c r="FZ185" s="747"/>
      <c r="GA185" s="787"/>
      <c r="GB185" s="787"/>
      <c r="GC185" s="808"/>
      <c r="GD185" s="787"/>
      <c r="GE185" s="808"/>
    </row>
    <row r="186" spans="1:187">
      <c r="A186" s="161"/>
      <c r="B186" s="161"/>
      <c r="C186" s="161"/>
      <c r="D186" s="161"/>
      <c r="E186" s="161"/>
      <c r="F186" s="161"/>
      <c r="G186" s="161"/>
      <c r="H186" s="161"/>
      <c r="I186" s="161"/>
      <c r="J186" s="161"/>
      <c r="K186" s="161"/>
      <c r="L186" s="161"/>
      <c r="M186" s="161"/>
      <c r="N186" s="161"/>
      <c r="O186" s="161"/>
      <c r="P186" s="161"/>
      <c r="Q186" s="161"/>
      <c r="R186" s="161"/>
      <c r="S186" s="161"/>
      <c r="T186" s="161"/>
      <c r="U186" s="161"/>
      <c r="V186" s="161"/>
      <c r="W186" s="161"/>
      <c r="X186" s="161"/>
      <c r="Y186" s="161"/>
      <c r="Z186" s="161"/>
      <c r="AA186" s="161"/>
      <c r="AB186" s="161"/>
      <c r="AC186" s="161"/>
      <c r="AD186" s="264"/>
      <c r="AE186" s="264"/>
      <c r="AF186" s="264"/>
      <c r="AG186" s="264"/>
      <c r="AH186" s="264"/>
      <c r="AI186" s="264"/>
      <c r="AJ186" s="264"/>
      <c r="AK186" s="264"/>
      <c r="AL186" s="264"/>
      <c r="AM186" s="264"/>
      <c r="AN186" s="264"/>
      <c r="AO186" s="264"/>
      <c r="AP186" s="264"/>
      <c r="AQ186" s="264"/>
      <c r="AR186" s="264"/>
      <c r="AS186" s="264"/>
      <c r="AT186" s="264"/>
      <c r="AU186" s="264"/>
      <c r="AV186" s="264"/>
      <c r="AW186" s="263"/>
      <c r="AX186" s="263"/>
      <c r="AY186" s="263"/>
      <c r="AZ186" s="263"/>
      <c r="BA186" s="263"/>
      <c r="BB186" s="263"/>
      <c r="BC186" s="263"/>
      <c r="BD186" s="263"/>
      <c r="BE186" s="263"/>
      <c r="BF186" s="263"/>
      <c r="BG186" s="263"/>
      <c r="BH186" s="263"/>
      <c r="BI186" s="263"/>
      <c r="BJ186" s="263"/>
      <c r="BK186" s="263"/>
      <c r="BL186" s="263"/>
      <c r="BM186" s="263"/>
      <c r="BN186" s="263"/>
      <c r="BO186" s="263"/>
      <c r="BP186" s="263"/>
      <c r="BQ186" s="263"/>
      <c r="BR186" s="263"/>
      <c r="BS186" s="263"/>
      <c r="BT186" s="263"/>
      <c r="BU186" s="784"/>
      <c r="BV186" s="784"/>
      <c r="BW186" s="784"/>
      <c r="BX186" s="784"/>
      <c r="BY186" s="161"/>
      <c r="BZ186" s="161"/>
      <c r="CA186" s="161"/>
      <c r="CB186" s="161"/>
      <c r="CC186" s="161"/>
      <c r="CD186" s="161"/>
      <c r="CE186" s="161"/>
      <c r="CF186" s="161"/>
      <c r="CG186" s="161"/>
      <c r="CH186" s="161"/>
      <c r="CI186" s="161"/>
      <c r="CJ186" s="161"/>
      <c r="CK186" s="161"/>
      <c r="CL186" s="161"/>
      <c r="CM186" s="161"/>
      <c r="CN186" s="161"/>
      <c r="CO186" s="161"/>
      <c r="CP186" s="161"/>
      <c r="CQ186" s="161"/>
      <c r="CR186" s="161"/>
      <c r="CS186" s="161"/>
      <c r="CT186" s="161"/>
      <c r="CU186" s="161"/>
      <c r="CV186" s="161"/>
      <c r="CW186" s="161"/>
      <c r="CX186" s="161"/>
      <c r="CY186" s="161"/>
      <c r="CZ186" s="161"/>
      <c r="DA186" s="161"/>
      <c r="DB186" s="161"/>
      <c r="DC186" s="161"/>
      <c r="DD186" s="161"/>
      <c r="DE186" s="161"/>
      <c r="DF186" s="161"/>
      <c r="DG186" s="161"/>
      <c r="DH186" s="161"/>
      <c r="DI186" s="161"/>
      <c r="DJ186" s="161"/>
      <c r="DK186" s="177"/>
      <c r="DL186" s="177"/>
      <c r="DM186" s="177"/>
      <c r="DN186" s="177"/>
      <c r="DO186" s="177"/>
      <c r="DP186" s="177"/>
      <c r="DQ186" s="177"/>
      <c r="DR186" s="177"/>
      <c r="DS186" s="177"/>
      <c r="DT186" s="177"/>
      <c r="DU186" s="177"/>
      <c r="DV186" s="177"/>
      <c r="DW186" s="177"/>
      <c r="DX186" s="177"/>
      <c r="DY186" s="177"/>
      <c r="DZ186" s="177"/>
      <c r="EA186" s="177"/>
      <c r="EB186" s="808"/>
      <c r="EC186" s="808"/>
      <c r="ED186" s="808"/>
      <c r="EF186" s="161"/>
      <c r="EH186" s="161"/>
      <c r="EM186" s="161"/>
      <c r="EN186" s="161"/>
      <c r="EO186" s="161"/>
      <c r="EP186" s="161"/>
      <c r="FL186" s="264"/>
      <c r="FM186" s="264"/>
      <c r="FN186" s="263"/>
      <c r="FO186" s="433"/>
      <c r="FP186" s="161"/>
      <c r="FQ186" s="161"/>
      <c r="FR186" s="430"/>
      <c r="FS186" s="643"/>
      <c r="FT186" s="639"/>
      <c r="FU186" s="670"/>
      <c r="FV186" s="667"/>
      <c r="FW186" s="670"/>
      <c r="FX186" s="667"/>
      <c r="FY186" s="751"/>
      <c r="FZ186" s="747"/>
      <c r="GA186" s="784"/>
      <c r="GB186" s="784"/>
      <c r="GC186" s="808"/>
      <c r="GD186" s="784"/>
      <c r="GE186" s="808"/>
    </row>
    <row r="187" spans="1:187">
      <c r="A187" s="161"/>
      <c r="B187" s="161"/>
      <c r="C187" s="161"/>
      <c r="D187" s="161"/>
      <c r="E187" s="161"/>
      <c r="F187" s="161"/>
      <c r="G187" s="161"/>
      <c r="H187" s="161"/>
      <c r="I187" s="161"/>
      <c r="J187" s="161"/>
      <c r="K187" s="161"/>
      <c r="L187" s="161"/>
      <c r="M187" s="161"/>
      <c r="N187" s="161"/>
      <c r="O187" s="161"/>
      <c r="P187" s="161"/>
      <c r="Q187" s="161"/>
      <c r="R187" s="161"/>
      <c r="S187" s="161"/>
      <c r="T187" s="161"/>
      <c r="U187" s="161"/>
      <c r="V187" s="161"/>
      <c r="W187" s="161"/>
      <c r="X187" s="161"/>
      <c r="Y187" s="161"/>
      <c r="Z187" s="161"/>
      <c r="AA187" s="161"/>
      <c r="AB187" s="161"/>
      <c r="AC187" s="161"/>
      <c r="AD187" s="264"/>
      <c r="AE187" s="264"/>
      <c r="AF187" s="264"/>
      <c r="AG187" s="264"/>
      <c r="AH187" s="264"/>
      <c r="AI187" s="264"/>
      <c r="AJ187" s="264"/>
      <c r="AK187" s="264"/>
      <c r="AL187" s="264"/>
      <c r="AM187" s="264"/>
      <c r="AN187" s="264"/>
      <c r="AO187" s="264"/>
      <c r="AP187" s="264"/>
      <c r="AQ187" s="264"/>
      <c r="AR187" s="263"/>
      <c r="AS187" s="263"/>
      <c r="AT187" s="263"/>
      <c r="AU187" s="263"/>
      <c r="AV187" s="263"/>
      <c r="AW187" s="263"/>
      <c r="AX187" s="263"/>
      <c r="AY187" s="263"/>
      <c r="AZ187" s="263"/>
      <c r="BA187" s="263"/>
      <c r="BB187" s="263"/>
      <c r="BC187" s="263"/>
      <c r="BD187" s="263"/>
      <c r="BE187" s="263"/>
      <c r="BF187" s="263"/>
      <c r="BG187" s="263"/>
      <c r="BH187" s="263"/>
      <c r="BI187" s="263"/>
      <c r="BJ187" s="263"/>
      <c r="BK187" s="263"/>
      <c r="BL187" s="263"/>
      <c r="BM187" s="263"/>
      <c r="BN187" s="263"/>
      <c r="BO187" s="263"/>
      <c r="BP187" s="263"/>
      <c r="BQ187" s="263"/>
      <c r="BR187" s="263"/>
      <c r="BS187" s="263"/>
      <c r="BT187" s="263"/>
      <c r="BU187" s="784"/>
      <c r="BV187" s="784"/>
      <c r="BW187" s="784"/>
      <c r="BX187" s="784"/>
      <c r="BY187" s="161"/>
      <c r="BZ187" s="161"/>
      <c r="CA187" s="161"/>
      <c r="CB187" s="161"/>
      <c r="CC187" s="161"/>
      <c r="CD187" s="161"/>
      <c r="CE187" s="161"/>
      <c r="CF187" s="161"/>
      <c r="CG187" s="161"/>
      <c r="CH187" s="161"/>
      <c r="CI187" s="161"/>
      <c r="CJ187" s="161"/>
      <c r="CK187" s="161"/>
      <c r="CL187" s="161"/>
      <c r="CM187" s="161"/>
      <c r="CN187" s="161"/>
      <c r="CO187" s="161"/>
      <c r="CP187" s="161"/>
      <c r="CQ187" s="161"/>
      <c r="CR187" s="161"/>
      <c r="CS187" s="161"/>
      <c r="CT187" s="161"/>
      <c r="CU187" s="161"/>
      <c r="CV187" s="161"/>
      <c r="CW187" s="161"/>
      <c r="CX187" s="161"/>
      <c r="CY187" s="161"/>
      <c r="CZ187" s="161"/>
      <c r="DA187" s="161"/>
      <c r="DB187" s="161"/>
      <c r="DC187" s="161"/>
      <c r="DD187" s="161"/>
      <c r="DE187" s="161"/>
      <c r="DF187" s="161"/>
      <c r="DG187" s="161"/>
      <c r="DH187" s="161"/>
      <c r="DI187" s="161"/>
      <c r="DJ187" s="161"/>
      <c r="DK187" s="177"/>
      <c r="DL187" s="177"/>
      <c r="DM187" s="177"/>
      <c r="DN187" s="177"/>
      <c r="DO187" s="177"/>
      <c r="DP187" s="177"/>
      <c r="DQ187" s="177"/>
      <c r="DR187" s="177"/>
      <c r="DS187" s="177"/>
      <c r="DT187" s="177"/>
      <c r="DU187" s="177"/>
      <c r="DV187" s="177"/>
      <c r="DW187" s="177"/>
      <c r="DX187" s="177"/>
      <c r="DY187" s="177"/>
      <c r="DZ187" s="177"/>
      <c r="EA187" s="177"/>
      <c r="EB187" s="808"/>
      <c r="EC187" s="808"/>
      <c r="ED187" s="808"/>
      <c r="EF187" s="161"/>
      <c r="EH187" s="161"/>
      <c r="EM187" s="161"/>
      <c r="EN187" s="161"/>
      <c r="EO187" s="161"/>
      <c r="EP187" s="161"/>
      <c r="FL187" s="264"/>
      <c r="FM187" s="264"/>
      <c r="FN187" s="263"/>
      <c r="FO187" s="433"/>
      <c r="FP187" s="161"/>
      <c r="FQ187" s="161"/>
      <c r="FR187" s="430"/>
      <c r="FS187" s="643"/>
      <c r="FT187" s="639"/>
      <c r="FU187" s="670"/>
      <c r="FV187" s="667"/>
      <c r="FW187" s="670"/>
      <c r="FX187" s="667"/>
      <c r="FY187" s="751"/>
      <c r="FZ187" s="747"/>
      <c r="GA187" s="784"/>
      <c r="GB187" s="784"/>
      <c r="GC187" s="808"/>
      <c r="GD187" s="784"/>
      <c r="GE187" s="808"/>
    </row>
    <row r="188" spans="1:187">
      <c r="A188" s="161"/>
      <c r="B188" s="161"/>
      <c r="C188" s="161"/>
      <c r="D188" s="161"/>
      <c r="E188" s="161"/>
      <c r="F188" s="161"/>
      <c r="G188" s="161"/>
      <c r="H188" s="161"/>
      <c r="I188" s="161"/>
      <c r="J188" s="161"/>
      <c r="K188" s="161"/>
      <c r="L188" s="161"/>
      <c r="M188" s="161"/>
      <c r="N188" s="161"/>
      <c r="O188" s="161"/>
      <c r="P188" s="161"/>
      <c r="Q188" s="161"/>
      <c r="R188" s="161"/>
      <c r="S188" s="161"/>
      <c r="T188" s="161"/>
      <c r="U188" s="161"/>
      <c r="V188" s="161"/>
      <c r="W188" s="161"/>
      <c r="X188" s="161"/>
      <c r="Y188" s="161"/>
      <c r="Z188" s="161"/>
      <c r="AA188" s="161"/>
      <c r="AB188" s="161"/>
      <c r="AC188" s="161"/>
      <c r="AD188" s="264"/>
      <c r="AE188" s="264"/>
      <c r="AF188" s="264"/>
      <c r="AG188" s="264"/>
      <c r="AH188" s="264"/>
      <c r="AI188" s="264"/>
      <c r="AJ188" s="264"/>
      <c r="AK188" s="264"/>
      <c r="AL188" s="264"/>
      <c r="AM188" s="264"/>
      <c r="AN188" s="264"/>
      <c r="AO188" s="264"/>
      <c r="AP188" s="264"/>
      <c r="AQ188" s="264"/>
      <c r="AR188" s="263"/>
      <c r="AS188" s="263"/>
      <c r="AT188" s="263"/>
      <c r="AU188" s="263"/>
      <c r="AV188" s="263"/>
      <c r="AW188" s="263"/>
      <c r="AX188" s="263"/>
      <c r="AY188" s="263"/>
      <c r="AZ188" s="263"/>
      <c r="BA188" s="263"/>
      <c r="BB188" s="263"/>
      <c r="BC188" s="263"/>
      <c r="BD188" s="263"/>
      <c r="BE188" s="263"/>
      <c r="BF188" s="263"/>
      <c r="BG188" s="263"/>
      <c r="BH188" s="263"/>
      <c r="BI188" s="263"/>
      <c r="BJ188" s="263"/>
      <c r="BK188" s="263"/>
      <c r="BL188" s="263"/>
      <c r="BM188" s="263"/>
      <c r="BN188" s="263"/>
      <c r="BO188" s="263"/>
      <c r="BP188" s="263"/>
      <c r="BQ188" s="263"/>
      <c r="BR188" s="263"/>
      <c r="BS188" s="263"/>
      <c r="BT188" s="263"/>
      <c r="BU188" s="784"/>
      <c r="BV188" s="784"/>
      <c r="BW188" s="784"/>
      <c r="BX188" s="784"/>
      <c r="BY188" s="161"/>
      <c r="BZ188" s="161"/>
      <c r="CA188" s="161"/>
      <c r="CB188" s="161"/>
      <c r="CC188" s="161"/>
      <c r="CD188" s="161"/>
      <c r="CE188" s="161"/>
      <c r="CF188" s="161"/>
      <c r="CG188" s="161"/>
      <c r="CH188" s="161"/>
      <c r="CI188" s="161"/>
      <c r="CJ188" s="161"/>
      <c r="CK188" s="161"/>
      <c r="CL188" s="161"/>
      <c r="CM188" s="161"/>
      <c r="CN188" s="161"/>
      <c r="CO188" s="161"/>
      <c r="CP188" s="161"/>
      <c r="CQ188" s="161"/>
      <c r="CR188" s="161"/>
      <c r="CS188" s="161"/>
      <c r="CT188" s="161"/>
      <c r="CU188" s="161"/>
      <c r="CV188" s="161"/>
      <c r="CW188" s="161"/>
      <c r="CX188" s="161"/>
      <c r="CY188" s="161"/>
      <c r="CZ188" s="161"/>
      <c r="DA188" s="161"/>
      <c r="DB188" s="161"/>
      <c r="DC188" s="161"/>
      <c r="DD188" s="161"/>
      <c r="DE188" s="161"/>
      <c r="DF188" s="161"/>
      <c r="DG188" s="161"/>
      <c r="DH188" s="161"/>
      <c r="DI188" s="161"/>
      <c r="DJ188" s="161"/>
      <c r="DK188" s="177"/>
      <c r="DL188" s="177"/>
      <c r="DM188" s="177"/>
      <c r="DN188" s="177"/>
      <c r="DO188" s="177"/>
      <c r="DP188" s="177"/>
      <c r="DQ188" s="177"/>
      <c r="DR188" s="177"/>
      <c r="DS188" s="177"/>
      <c r="DT188" s="177"/>
      <c r="DU188" s="177"/>
      <c r="DV188" s="177"/>
      <c r="DW188" s="177"/>
      <c r="DX188" s="177"/>
      <c r="DY188" s="177"/>
      <c r="DZ188" s="177"/>
      <c r="EA188" s="177"/>
      <c r="EB188" s="808"/>
      <c r="EC188" s="808"/>
      <c r="ED188" s="808"/>
      <c r="EF188" s="161"/>
      <c r="EH188" s="161"/>
      <c r="EM188" s="161"/>
      <c r="EN188" s="161"/>
      <c r="EO188" s="161"/>
      <c r="EP188" s="161"/>
      <c r="FL188" s="264"/>
      <c r="FM188" s="264"/>
      <c r="FN188" s="263"/>
      <c r="FO188" s="433"/>
      <c r="FP188" s="161"/>
      <c r="FQ188" s="161"/>
      <c r="FR188" s="430"/>
      <c r="FS188" s="643"/>
      <c r="FT188" s="639"/>
      <c r="FU188" s="670"/>
      <c r="FV188" s="667"/>
      <c r="FW188" s="670"/>
      <c r="FX188" s="667"/>
      <c r="FY188" s="751"/>
      <c r="FZ188" s="747"/>
      <c r="GA188" s="784"/>
      <c r="GB188" s="784"/>
      <c r="GC188" s="808"/>
      <c r="GD188" s="784"/>
      <c r="GE188" s="808"/>
    </row>
    <row r="189" spans="1:187">
      <c r="A189" s="161"/>
      <c r="B189" s="701" t="s">
        <v>505</v>
      </c>
      <c r="C189" s="161"/>
      <c r="D189" s="161"/>
      <c r="E189" s="161"/>
      <c r="F189" s="161"/>
      <c r="G189" s="161"/>
      <c r="H189" s="161"/>
      <c r="I189" s="161"/>
      <c r="J189" s="161"/>
      <c r="K189" s="161"/>
      <c r="L189" s="161"/>
      <c r="M189" s="161"/>
      <c r="N189" s="161"/>
      <c r="O189" s="161"/>
      <c r="P189" s="161"/>
      <c r="Q189" s="161"/>
      <c r="R189" s="161"/>
      <c r="S189" s="161"/>
      <c r="T189" s="161"/>
      <c r="U189" s="161"/>
      <c r="V189" s="161"/>
      <c r="W189" s="161"/>
      <c r="X189" s="161"/>
      <c r="Y189" s="161"/>
      <c r="Z189" s="161"/>
      <c r="AA189" s="161"/>
      <c r="AB189" s="161"/>
      <c r="AC189" s="161"/>
      <c r="AD189" s="264"/>
      <c r="AE189" s="264"/>
      <c r="AF189" s="264"/>
      <c r="AG189" s="264"/>
      <c r="AH189" s="264"/>
      <c r="AI189" s="264"/>
      <c r="AJ189" s="264"/>
      <c r="AK189" s="264"/>
      <c r="AL189" s="264"/>
      <c r="AM189" s="264"/>
      <c r="AN189" s="264"/>
      <c r="AO189" s="264"/>
      <c r="AP189" s="264"/>
      <c r="AQ189" s="264"/>
      <c r="AR189" s="263"/>
      <c r="AS189" s="263"/>
      <c r="AT189" s="263"/>
      <c r="AU189" s="263"/>
      <c r="AV189" s="263"/>
      <c r="AW189" s="263"/>
      <c r="AX189" s="263"/>
      <c r="AY189" s="263"/>
      <c r="AZ189" s="263"/>
      <c r="BA189" s="263"/>
      <c r="BB189" s="263"/>
      <c r="BC189" s="263"/>
      <c r="BD189" s="263"/>
      <c r="BE189" s="263"/>
      <c r="BF189" s="263"/>
      <c r="BG189" s="263"/>
      <c r="BH189" s="263"/>
      <c r="BI189" s="263"/>
      <c r="BJ189" s="263"/>
      <c r="BK189" s="263"/>
      <c r="BL189" s="263"/>
      <c r="BM189" s="263"/>
      <c r="BN189" s="263"/>
      <c r="BO189" s="263"/>
      <c r="BP189" s="263"/>
      <c r="BQ189" s="263"/>
      <c r="BR189" s="263"/>
      <c r="BS189" s="263"/>
      <c r="BT189" s="263"/>
      <c r="BU189" s="784"/>
      <c r="BV189" s="784"/>
      <c r="BW189" s="784"/>
      <c r="BX189" s="784"/>
      <c r="BY189" s="161"/>
      <c r="BZ189" s="161"/>
      <c r="CA189" s="161"/>
      <c r="CB189" s="161"/>
      <c r="CC189" s="161"/>
      <c r="CD189" s="161"/>
      <c r="CE189" s="161"/>
      <c r="CF189" s="161"/>
      <c r="CG189" s="161"/>
      <c r="CH189" s="161"/>
      <c r="CI189" s="161"/>
      <c r="CJ189" s="161"/>
      <c r="CK189" s="161"/>
      <c r="CL189" s="161"/>
      <c r="CM189" s="161"/>
      <c r="CN189" s="161"/>
      <c r="CO189" s="161"/>
      <c r="CP189" s="161"/>
      <c r="CQ189" s="161"/>
      <c r="CR189" s="161"/>
      <c r="CS189" s="161"/>
      <c r="CT189" s="161"/>
      <c r="CU189" s="161"/>
      <c r="CV189" s="161"/>
      <c r="CW189" s="161"/>
      <c r="CX189" s="161"/>
      <c r="CY189" s="161"/>
      <c r="CZ189" s="161"/>
      <c r="DA189" s="161"/>
      <c r="DB189" s="161"/>
      <c r="DC189" s="161"/>
      <c r="DD189" s="161"/>
      <c r="DE189" s="161"/>
      <c r="DF189" s="161"/>
      <c r="DG189" s="161"/>
      <c r="DH189" s="161"/>
      <c r="DI189" s="161"/>
      <c r="DJ189" s="161"/>
      <c r="DK189" s="177"/>
      <c r="DL189" s="177"/>
      <c r="DM189" s="177"/>
      <c r="DN189" s="177"/>
      <c r="DO189" s="177"/>
      <c r="DP189" s="177"/>
      <c r="DQ189" s="177"/>
      <c r="DR189" s="177"/>
      <c r="DS189" s="177"/>
      <c r="DT189" s="177"/>
      <c r="DU189" s="177"/>
      <c r="DV189" s="177"/>
      <c r="DW189" s="177"/>
      <c r="DX189" s="177"/>
      <c r="DY189" s="177"/>
      <c r="DZ189" s="177"/>
      <c r="EA189" s="177"/>
      <c r="EB189" s="808"/>
      <c r="EC189" s="808"/>
      <c r="ED189" s="808"/>
      <c r="EF189" s="161"/>
      <c r="EH189" s="161"/>
      <c r="EM189" s="161"/>
      <c r="EN189" s="161"/>
      <c r="EO189" s="161"/>
      <c r="EP189" s="161"/>
      <c r="FL189" s="264"/>
      <c r="FM189" s="264"/>
      <c r="FN189" s="263"/>
      <c r="FO189" s="433"/>
      <c r="FP189" s="161"/>
      <c r="FQ189" s="161"/>
      <c r="FR189" s="430"/>
      <c r="FS189" s="643"/>
      <c r="FT189" s="639"/>
      <c r="FU189" s="670"/>
      <c r="FV189" s="667"/>
      <c r="FW189" s="670"/>
      <c r="FX189" s="667"/>
      <c r="FY189" s="751"/>
      <c r="FZ189" s="747"/>
      <c r="GA189" s="784"/>
      <c r="GB189" s="784"/>
      <c r="GC189" s="808"/>
      <c r="GD189" s="784"/>
      <c r="GE189" s="808"/>
    </row>
    <row r="190" spans="1:187">
      <c r="A190" s="161"/>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c r="AA190" s="161"/>
      <c r="AB190" s="161"/>
      <c r="AC190" s="161"/>
      <c r="AD190" s="264"/>
      <c r="AE190" s="264"/>
      <c r="AF190" s="264"/>
      <c r="AG190" s="264"/>
      <c r="AH190" s="264"/>
      <c r="AI190" s="264"/>
      <c r="AJ190" s="264"/>
      <c r="AK190" s="264"/>
      <c r="AL190" s="264"/>
      <c r="AM190" s="264"/>
      <c r="AN190" s="264"/>
      <c r="AO190" s="264"/>
      <c r="AP190" s="264"/>
      <c r="AQ190" s="264"/>
      <c r="AR190" s="263"/>
      <c r="AS190" s="263"/>
      <c r="AT190" s="263"/>
      <c r="AU190" s="263"/>
      <c r="AV190" s="263"/>
      <c r="AW190" s="263"/>
      <c r="AX190" s="263"/>
      <c r="AY190" s="263"/>
      <c r="AZ190" s="263"/>
      <c r="BA190" s="263"/>
      <c r="BB190" s="263"/>
      <c r="BC190" s="263"/>
      <c r="BD190" s="263"/>
      <c r="BE190" s="263"/>
      <c r="BF190" s="263"/>
      <c r="BG190" s="263"/>
      <c r="BH190" s="263"/>
      <c r="BI190" s="263"/>
      <c r="BJ190" s="263"/>
      <c r="BK190" s="263"/>
      <c r="BL190" s="263"/>
      <c r="BM190" s="263"/>
      <c r="BN190" s="263"/>
      <c r="BO190" s="263"/>
      <c r="BP190" s="263"/>
      <c r="BQ190" s="263"/>
      <c r="BR190" s="263"/>
      <c r="BS190" s="263"/>
      <c r="BT190" s="263"/>
      <c r="BU190" s="784"/>
      <c r="BV190" s="784"/>
      <c r="BW190" s="784"/>
      <c r="BX190" s="784"/>
      <c r="BY190" s="161"/>
      <c r="BZ190" s="161"/>
      <c r="CA190" s="161"/>
      <c r="CB190" s="161"/>
      <c r="CC190" s="161"/>
      <c r="CD190" s="161"/>
      <c r="CE190" s="161"/>
      <c r="CF190" s="161"/>
      <c r="CG190" s="161"/>
      <c r="CH190" s="161"/>
      <c r="CI190" s="161"/>
      <c r="CJ190" s="161"/>
      <c r="CK190" s="161"/>
      <c r="CL190" s="161"/>
      <c r="CM190" s="161"/>
      <c r="CN190" s="161"/>
      <c r="CO190" s="161"/>
      <c r="CP190" s="161"/>
      <c r="CQ190" s="161"/>
      <c r="CR190" s="161"/>
      <c r="CS190" s="161"/>
      <c r="CT190" s="161"/>
      <c r="CU190" s="161"/>
      <c r="CV190" s="161"/>
      <c r="CW190" s="161"/>
      <c r="CX190" s="161"/>
      <c r="CY190" s="161"/>
      <c r="CZ190" s="161"/>
      <c r="DA190" s="161"/>
      <c r="DB190" s="161"/>
      <c r="DC190" s="161"/>
      <c r="DD190" s="161"/>
      <c r="DE190" s="161"/>
      <c r="DF190" s="161"/>
      <c r="DG190" s="161"/>
      <c r="DH190" s="161"/>
      <c r="DI190" s="161"/>
      <c r="DJ190" s="161"/>
      <c r="DK190" s="177"/>
      <c r="DL190" s="177"/>
      <c r="DM190" s="177"/>
      <c r="DN190" s="177"/>
      <c r="DO190" s="177"/>
      <c r="DP190" s="177"/>
      <c r="DQ190" s="177"/>
      <c r="DR190" s="177"/>
      <c r="DS190" s="177"/>
      <c r="DT190" s="177"/>
      <c r="DU190" s="177"/>
      <c r="DV190" s="177"/>
      <c r="DW190" s="177"/>
      <c r="DX190" s="177"/>
      <c r="DY190" s="177"/>
      <c r="DZ190" s="177"/>
      <c r="EA190" s="177"/>
      <c r="EB190" s="808"/>
      <c r="EC190" s="808"/>
      <c r="ED190" s="808"/>
      <c r="EF190" s="161"/>
      <c r="EH190" s="161"/>
      <c r="EM190" s="161"/>
      <c r="EN190" s="161"/>
      <c r="EO190" s="161"/>
      <c r="EP190" s="161"/>
      <c r="FL190" s="264"/>
      <c r="FM190" s="264"/>
      <c r="FN190" s="263"/>
      <c r="FO190" s="433"/>
      <c r="FP190" s="161"/>
      <c r="FQ190" s="161"/>
      <c r="FR190" s="430"/>
      <c r="FS190" s="643"/>
      <c r="FT190" s="639"/>
      <c r="FU190" s="670"/>
      <c r="FV190" s="667"/>
      <c r="FW190" s="670"/>
      <c r="FX190" s="667"/>
      <c r="FY190" s="751"/>
      <c r="FZ190" s="747"/>
      <c r="GA190" s="784"/>
      <c r="GB190" s="784"/>
      <c r="GC190" s="808"/>
      <c r="GD190" s="784"/>
      <c r="GE190" s="808"/>
    </row>
    <row r="191" spans="1:187">
      <c r="A191" s="161"/>
      <c r="B191" s="161" t="s">
        <v>43</v>
      </c>
      <c r="C191" s="161"/>
      <c r="D191" s="161"/>
      <c r="E191" s="161"/>
      <c r="F191" s="161"/>
      <c r="G191" s="161"/>
      <c r="H191" s="161"/>
      <c r="I191" s="161"/>
      <c r="J191" s="161"/>
      <c r="K191" s="161"/>
      <c r="L191" s="161"/>
      <c r="M191" s="161"/>
      <c r="N191" s="161"/>
      <c r="O191" s="161"/>
      <c r="P191" s="161"/>
      <c r="Q191" s="161"/>
      <c r="R191" s="161"/>
      <c r="S191" s="161"/>
      <c r="T191" s="307"/>
      <c r="U191" s="307"/>
      <c r="V191" s="307"/>
      <c r="W191" s="307"/>
      <c r="X191" s="307"/>
      <c r="Y191" s="307"/>
      <c r="Z191" s="307"/>
      <c r="AA191" s="307"/>
      <c r="AB191" s="307"/>
      <c r="AC191" s="307"/>
      <c r="AD191" s="307"/>
      <c r="AE191" s="307"/>
      <c r="AF191" s="307"/>
      <c r="AG191" s="307"/>
      <c r="AH191" s="307"/>
      <c r="AI191" s="307"/>
      <c r="AJ191" s="307"/>
      <c r="AK191" s="307"/>
      <c r="AL191" s="307"/>
      <c r="AM191" s="307"/>
      <c r="AN191" s="307">
        <f t="shared" ref="AN191:BG191" si="242">AN72</f>
        <v>4695</v>
      </c>
      <c r="AO191" s="307">
        <f t="shared" si="242"/>
        <v>4833.143</v>
      </c>
      <c r="AP191" s="307">
        <f t="shared" si="242"/>
        <v>4850.9660000000003</v>
      </c>
      <c r="AQ191" s="307">
        <f t="shared" si="242"/>
        <v>5057.0969999999998</v>
      </c>
      <c r="AR191" s="307">
        <f t="shared" si="242"/>
        <v>5150.2</v>
      </c>
      <c r="AS191" s="307">
        <f t="shared" si="242"/>
        <v>5345.0529999999999</v>
      </c>
      <c r="AT191" s="307">
        <f t="shared" si="242"/>
        <v>5405.4</v>
      </c>
      <c r="AU191" s="307">
        <f t="shared" si="242"/>
        <v>5624.95</v>
      </c>
      <c r="AV191" s="307">
        <f t="shared" si="242"/>
        <v>5520.0889999999999</v>
      </c>
      <c r="AW191" s="307">
        <f t="shared" si="242"/>
        <v>5460.4750000000004</v>
      </c>
      <c r="AX191" s="307">
        <f t="shared" si="242"/>
        <v>5621.4369999999999</v>
      </c>
      <c r="AY191" s="307">
        <f t="shared" si="242"/>
        <v>5780.8639999999996</v>
      </c>
      <c r="AZ191" s="307">
        <f t="shared" si="242"/>
        <v>5951.9790000000003</v>
      </c>
      <c r="BA191" s="307">
        <f t="shared" si="242"/>
        <v>6063.8</v>
      </c>
      <c r="BB191" s="307">
        <f t="shared" si="242"/>
        <v>6144.9260000000004</v>
      </c>
      <c r="BC191" s="307">
        <f t="shared" si="242"/>
        <v>6473.45</v>
      </c>
      <c r="BD191" s="307">
        <f t="shared" si="242"/>
        <v>6562.4260000000004</v>
      </c>
      <c r="BE191" s="307">
        <f t="shared" si="242"/>
        <v>6681.1859999999997</v>
      </c>
      <c r="BF191" s="307">
        <f t="shared" si="242"/>
        <v>6736.8850000000002</v>
      </c>
      <c r="BG191" s="307">
        <f t="shared" si="242"/>
        <v>7175.058</v>
      </c>
      <c r="BH191" s="307">
        <f t="shared" ref="BH191:BW191" si="243">BH72</f>
        <v>7152.1880000000001</v>
      </c>
      <c r="BI191" s="307">
        <f t="shared" si="243"/>
        <v>7373.6940000000004</v>
      </c>
      <c r="BJ191" s="307">
        <f t="shared" si="243"/>
        <v>7490.7309999999998</v>
      </c>
      <c r="BK191" s="307">
        <f t="shared" si="243"/>
        <v>7853.9269999999997</v>
      </c>
      <c r="BL191" s="307">
        <f t="shared" si="243"/>
        <v>7984.6030000000001</v>
      </c>
      <c r="BM191" s="307">
        <f t="shared" si="243"/>
        <v>8135.7120000000004</v>
      </c>
      <c r="BN191" s="307">
        <f t="shared" si="243"/>
        <v>8215.8770000000004</v>
      </c>
      <c r="BO191" s="307">
        <f t="shared" si="243"/>
        <v>8504.6560000000009</v>
      </c>
      <c r="BP191" s="307">
        <f t="shared" si="243"/>
        <v>8607.0949999999993</v>
      </c>
      <c r="BQ191" s="307">
        <f t="shared" si="243"/>
        <v>8699.5190000000002</v>
      </c>
      <c r="BR191" s="307">
        <f t="shared" si="243"/>
        <v>8921.018</v>
      </c>
      <c r="BS191" s="307">
        <f t="shared" si="243"/>
        <v>9202.0789999999997</v>
      </c>
      <c r="BT191" s="307">
        <f t="shared" si="243"/>
        <v>9356.7919999999995</v>
      </c>
      <c r="BU191" s="1009">
        <f t="shared" si="243"/>
        <v>9482.4757100000006</v>
      </c>
      <c r="BV191" s="1009">
        <f t="shared" si="243"/>
        <v>9723.9096200000004</v>
      </c>
      <c r="BW191" s="1009">
        <f t="shared" si="243"/>
        <v>9921.1541500000076</v>
      </c>
      <c r="BX191" s="1009">
        <f>Master!Z8</f>
        <v>38484.331480000008</v>
      </c>
      <c r="BY191" s="161"/>
      <c r="BZ191" s="161"/>
      <c r="CA191" s="161"/>
      <c r="CB191" s="161"/>
      <c r="CC191" s="161"/>
      <c r="CD191" s="161"/>
      <c r="CE191" s="161"/>
      <c r="CF191" s="161"/>
      <c r="CG191" s="161"/>
      <c r="CH191" s="161"/>
      <c r="CI191" s="161"/>
      <c r="CJ191" s="161"/>
      <c r="CK191" s="161"/>
      <c r="CL191" s="161"/>
      <c r="CM191" s="161"/>
      <c r="CN191" s="161"/>
      <c r="CO191" s="161"/>
      <c r="CP191" s="161"/>
      <c r="CQ191" s="161"/>
      <c r="CR191" s="161"/>
      <c r="CS191" s="161"/>
      <c r="CT191" s="161"/>
      <c r="CU191" s="161"/>
      <c r="CV191" s="161"/>
      <c r="CW191" s="161"/>
      <c r="CX191" s="161"/>
      <c r="CY191" s="161"/>
      <c r="CZ191" s="161"/>
      <c r="DA191" s="161"/>
      <c r="DB191" s="161"/>
      <c r="DC191" s="161"/>
      <c r="DD191" s="161"/>
      <c r="DE191" s="161"/>
      <c r="DF191" s="161"/>
      <c r="DG191" s="161"/>
      <c r="DH191" s="161"/>
      <c r="DI191" s="161"/>
      <c r="DJ191" s="161"/>
      <c r="DK191" s="177"/>
      <c r="DL191" s="177"/>
      <c r="DM191" s="177"/>
      <c r="DN191" s="177"/>
      <c r="DO191" s="177"/>
      <c r="DP191" s="467"/>
      <c r="DQ191" s="467"/>
      <c r="DR191" s="467"/>
      <c r="DS191" s="467">
        <f t="shared" ref="DS191:EA191" si="244">BL191/BH191-1</f>
        <v>0.11638606255875827</v>
      </c>
      <c r="DT191" s="467">
        <f t="shared" si="244"/>
        <v>0.10334277500530931</v>
      </c>
      <c r="DU191" s="467">
        <f t="shared" si="244"/>
        <v>9.680577236053467E-2</v>
      </c>
      <c r="DV191" s="467">
        <f t="shared" si="244"/>
        <v>8.2853965920488104E-2</v>
      </c>
      <c r="DW191" s="467">
        <f t="shared" si="244"/>
        <v>7.7961546741897925E-2</v>
      </c>
      <c r="DX191" s="467">
        <f t="shared" si="244"/>
        <v>6.9300265299459873E-2</v>
      </c>
      <c r="DY191" s="467">
        <f t="shared" si="244"/>
        <v>8.5826625690720526E-2</v>
      </c>
      <c r="DZ191" s="467">
        <f t="shared" si="244"/>
        <v>8.2004845345890365E-2</v>
      </c>
      <c r="EA191" s="467">
        <f t="shared" si="244"/>
        <v>8.7102210443825712E-2</v>
      </c>
      <c r="EB191" s="809"/>
      <c r="EC191" s="809"/>
      <c r="ED191" s="809"/>
      <c r="EF191" s="161"/>
      <c r="EH191" s="161"/>
      <c r="EM191" s="161"/>
      <c r="EN191" s="161"/>
      <c r="EO191" s="161"/>
      <c r="EP191" s="161"/>
      <c r="FL191" s="264"/>
      <c r="FM191" s="264"/>
      <c r="FN191" s="263"/>
      <c r="FO191" s="433"/>
      <c r="FP191" s="161"/>
      <c r="FQ191" s="161"/>
      <c r="FR191" s="430"/>
      <c r="FS191" s="643"/>
      <c r="FT191" s="639"/>
      <c r="FU191" s="670"/>
      <c r="FV191" s="667"/>
      <c r="FW191" s="670">
        <v>8639.6037205285393</v>
      </c>
      <c r="FX191" s="667"/>
      <c r="FY191" s="751"/>
      <c r="FZ191" s="747"/>
      <c r="GA191" s="784">
        <f>GA72</f>
        <v>8827.2475200000008</v>
      </c>
      <c r="GB191" s="784">
        <f>GB72</f>
        <v>8914.2265449999995</v>
      </c>
      <c r="GC191" s="808"/>
      <c r="GD191" s="784"/>
      <c r="GE191" s="808"/>
    </row>
    <row r="192" spans="1:187">
      <c r="A192" s="161"/>
      <c r="B192" s="161" t="s">
        <v>506</v>
      </c>
      <c r="C192" s="161"/>
      <c r="D192" s="161"/>
      <c r="E192" s="161"/>
      <c r="F192" s="161"/>
      <c r="G192" s="161"/>
      <c r="H192" s="161"/>
      <c r="I192" s="161"/>
      <c r="J192" s="161"/>
      <c r="K192" s="161"/>
      <c r="L192" s="161"/>
      <c r="M192" s="161"/>
      <c r="N192" s="161"/>
      <c r="O192" s="161"/>
      <c r="P192" s="161"/>
      <c r="Q192" s="161"/>
      <c r="R192" s="161"/>
      <c r="S192" s="161"/>
      <c r="T192" s="307"/>
      <c r="U192" s="307"/>
      <c r="V192" s="307"/>
      <c r="W192" s="307"/>
      <c r="X192" s="307"/>
      <c r="Y192" s="307"/>
      <c r="Z192" s="307"/>
      <c r="AA192" s="307"/>
      <c r="AB192" s="307"/>
      <c r="AC192" s="307"/>
      <c r="AD192" s="307"/>
      <c r="AE192" s="307"/>
      <c r="AF192" s="307"/>
      <c r="AG192" s="307"/>
      <c r="AH192" s="307"/>
      <c r="AI192" s="307"/>
      <c r="AJ192" s="307"/>
      <c r="AK192" s="307"/>
      <c r="AL192" s="307"/>
      <c r="AM192" s="307"/>
      <c r="AN192" s="307"/>
      <c r="AO192" s="307"/>
      <c r="AP192" s="307"/>
      <c r="AQ192" s="307"/>
      <c r="AR192" s="307"/>
      <c r="AS192" s="307"/>
      <c r="AT192" s="307"/>
      <c r="AU192" s="307"/>
      <c r="AV192" s="307"/>
      <c r="AW192" s="307"/>
      <c r="AX192" s="307"/>
      <c r="AY192" s="307"/>
      <c r="AZ192" s="307"/>
      <c r="BA192" s="307"/>
      <c r="BB192" s="307"/>
      <c r="BC192" s="307"/>
      <c r="BD192" s="307"/>
      <c r="BE192" s="307"/>
      <c r="BF192" s="307"/>
      <c r="BG192" s="307"/>
      <c r="BH192" s="307">
        <f>BH191-BH193</f>
        <v>2008.8519999999999</v>
      </c>
      <c r="BI192" s="307">
        <f>BI191-BI193</f>
        <v>2190.5210000000006</v>
      </c>
      <c r="BJ192" s="307">
        <f t="shared" ref="BJ192:BO192" si="245">BJ191-BJ193</f>
        <v>2170.6279999999997</v>
      </c>
      <c r="BK192" s="307">
        <f t="shared" si="245"/>
        <v>2274.2559999999994</v>
      </c>
      <c r="BL192" s="307">
        <f t="shared" si="245"/>
        <v>2171.6140000000005</v>
      </c>
      <c r="BM192" s="307">
        <f t="shared" si="245"/>
        <v>2329.9150000000009</v>
      </c>
      <c r="BN192" s="307">
        <f t="shared" si="245"/>
        <v>2314.4950000000008</v>
      </c>
      <c r="BO192" s="307">
        <f t="shared" si="245"/>
        <v>2334.3250000000007</v>
      </c>
      <c r="BP192" s="307">
        <f>BP191-BP193</f>
        <v>2273.1679999999997</v>
      </c>
      <c r="BQ192" s="307">
        <f>BQ191-BQ193</f>
        <v>2410.5129999999999</v>
      </c>
      <c r="BR192" s="307">
        <f>BR191-BR193</f>
        <v>2445.598</v>
      </c>
      <c r="BS192" s="307">
        <f>BS191-BS193</f>
        <v>2477.8999999999996</v>
      </c>
      <c r="BT192" s="307">
        <f>BT191-BT193</f>
        <v>2481.0449999999992</v>
      </c>
      <c r="BU192" s="1009">
        <f t="shared" ref="BU192" si="246">BU191-BU193</f>
        <v>2560.2684417</v>
      </c>
      <c r="BV192" s="1009">
        <f t="shared" ref="BV192" si="247">BV191-BV193</f>
        <v>2625.4555974000004</v>
      </c>
      <c r="BW192" s="1009">
        <f t="shared" ref="BW192" si="248">BW191-BW193</f>
        <v>2724.0004605000022</v>
      </c>
      <c r="BX192" s="1009">
        <f t="shared" ref="BX192" si="249">BX191-BX193</f>
        <v>10390.769499600003</v>
      </c>
      <c r="BY192" s="161"/>
      <c r="BZ192" s="161"/>
      <c r="CA192" s="161"/>
      <c r="CB192" s="161"/>
      <c r="CC192" s="161"/>
      <c r="CD192" s="161"/>
      <c r="CE192" s="161"/>
      <c r="CF192" s="161"/>
      <c r="CG192" s="161"/>
      <c r="CH192" s="161"/>
      <c r="CI192" s="161"/>
      <c r="CJ192" s="161"/>
      <c r="CK192" s="161"/>
      <c r="CL192" s="161"/>
      <c r="CM192" s="161"/>
      <c r="CN192" s="161"/>
      <c r="CO192" s="161"/>
      <c r="CP192" s="161"/>
      <c r="CQ192" s="161"/>
      <c r="CR192" s="161"/>
      <c r="CS192" s="161"/>
      <c r="CT192" s="161"/>
      <c r="CU192" s="161"/>
      <c r="CV192" s="161"/>
      <c r="CW192" s="161"/>
      <c r="CX192" s="161"/>
      <c r="CY192" s="161"/>
      <c r="CZ192" s="161"/>
      <c r="DA192" s="161"/>
      <c r="DB192" s="161"/>
      <c r="DC192" s="161"/>
      <c r="DD192" s="161"/>
      <c r="DE192" s="161"/>
      <c r="DF192" s="161"/>
      <c r="DG192" s="161"/>
      <c r="DH192" s="161"/>
      <c r="DI192" s="161"/>
      <c r="DJ192" s="161"/>
      <c r="DK192" s="177"/>
      <c r="DL192" s="177"/>
      <c r="DM192" s="177"/>
      <c r="DN192" s="177"/>
      <c r="DO192" s="177"/>
      <c r="DP192" s="467"/>
      <c r="DQ192" s="467"/>
      <c r="DR192" s="467"/>
      <c r="DS192" s="467">
        <f t="shared" ref="DS192:EA197" si="250">BL192/BH192-1</f>
        <v>8.1022394880260196E-2</v>
      </c>
      <c r="DT192" s="467">
        <f t="shared" si="250"/>
        <v>6.3635089551755231E-2</v>
      </c>
      <c r="DU192" s="467">
        <f t="shared" si="250"/>
        <v>6.6278975485436042E-2</v>
      </c>
      <c r="DV192" s="467">
        <f t="shared" si="250"/>
        <v>2.6412593832884745E-2</v>
      </c>
      <c r="DW192" s="467">
        <f t="shared" si="250"/>
        <v>4.6764296048929177E-2</v>
      </c>
      <c r="DX192" s="467">
        <f t="shared" si="250"/>
        <v>3.4592678273670519E-2</v>
      </c>
      <c r="DY192" s="467">
        <f t="shared" si="250"/>
        <v>5.6644321979524292E-2</v>
      </c>
      <c r="DZ192" s="804">
        <f t="shared" si="250"/>
        <v>6.1506002805949755E-2</v>
      </c>
      <c r="EA192" s="804">
        <f t="shared" si="250"/>
        <v>9.144814637545462E-2</v>
      </c>
      <c r="EB192" s="811"/>
      <c r="EC192" s="811"/>
      <c r="ED192" s="811"/>
      <c r="EF192" s="161"/>
      <c r="EH192" s="161"/>
      <c r="EM192" s="161"/>
      <c r="EN192" s="161"/>
      <c r="EO192" s="161"/>
      <c r="EP192" s="161"/>
      <c r="FL192" s="264"/>
      <c r="FM192" s="264"/>
      <c r="FN192" s="263"/>
      <c r="FO192" s="433"/>
      <c r="FP192" s="161"/>
      <c r="FQ192" s="161"/>
      <c r="FR192" s="430"/>
      <c r="FS192" s="643"/>
      <c r="FT192" s="639"/>
      <c r="FU192" s="670"/>
      <c r="FV192" s="667"/>
      <c r="FW192" s="670">
        <v>2419.7600967978824</v>
      </c>
      <c r="FX192" s="667"/>
      <c r="FY192" s="751"/>
      <c r="FZ192" s="747"/>
      <c r="GA192" s="784">
        <f>GA191-GA193</f>
        <v>2527.2475200000008</v>
      </c>
      <c r="GB192" s="784">
        <f>GB191-GB193</f>
        <v>2470.0054073871879</v>
      </c>
      <c r="GC192" s="808"/>
      <c r="GD192" s="784"/>
      <c r="GE192" s="808"/>
    </row>
    <row r="193" spans="1:188">
      <c r="A193" s="161"/>
      <c r="B193" s="161" t="s">
        <v>507</v>
      </c>
      <c r="C193" s="161"/>
      <c r="D193" s="161"/>
      <c r="E193" s="161"/>
      <c r="F193" s="161"/>
      <c r="G193" s="161"/>
      <c r="H193" s="161"/>
      <c r="I193" s="161"/>
      <c r="J193" s="161"/>
      <c r="K193" s="161"/>
      <c r="L193" s="161"/>
      <c r="M193" s="161"/>
      <c r="N193" s="161"/>
      <c r="O193" s="161"/>
      <c r="P193" s="161"/>
      <c r="Q193" s="161"/>
      <c r="R193" s="161"/>
      <c r="S193" s="161"/>
      <c r="T193" s="307"/>
      <c r="U193" s="307"/>
      <c r="V193" s="307"/>
      <c r="W193" s="307"/>
      <c r="X193" s="307"/>
      <c r="Y193" s="307"/>
      <c r="Z193" s="307"/>
      <c r="AA193" s="307"/>
      <c r="AB193" s="307"/>
      <c r="AC193" s="307"/>
      <c r="AD193" s="307"/>
      <c r="AE193" s="307"/>
      <c r="AF193" s="307"/>
      <c r="AG193" s="307"/>
      <c r="AH193" s="307"/>
      <c r="AI193" s="307"/>
      <c r="AJ193" s="307"/>
      <c r="AK193" s="307"/>
      <c r="AL193" s="307"/>
      <c r="AM193" s="307"/>
      <c r="AN193" s="307"/>
      <c r="AO193" s="307"/>
      <c r="AP193" s="307"/>
      <c r="AQ193" s="307"/>
      <c r="AR193" s="307"/>
      <c r="AS193" s="307"/>
      <c r="AT193" s="307"/>
      <c r="AU193" s="307"/>
      <c r="AV193" s="307"/>
      <c r="AW193" s="307"/>
      <c r="AX193" s="307"/>
      <c r="AY193" s="307"/>
      <c r="AZ193" s="307"/>
      <c r="BA193" s="307"/>
      <c r="BB193" s="307"/>
      <c r="BC193" s="307"/>
      <c r="BD193" s="307"/>
      <c r="BE193" s="307"/>
      <c r="BF193" s="307"/>
      <c r="BG193" s="307"/>
      <c r="BH193" s="775">
        <v>5143.3360000000002</v>
      </c>
      <c r="BI193" s="775">
        <v>5183.1729999999998</v>
      </c>
      <c r="BJ193" s="775">
        <v>5320.1030000000001</v>
      </c>
      <c r="BK193" s="775">
        <v>5579.6710000000003</v>
      </c>
      <c r="BL193" s="775">
        <v>5812.9889999999996</v>
      </c>
      <c r="BM193" s="775">
        <v>5805.7969999999996</v>
      </c>
      <c r="BN193" s="775">
        <v>5901.3819999999996</v>
      </c>
      <c r="BO193" s="775">
        <v>6170.3310000000001</v>
      </c>
      <c r="BP193" s="775">
        <v>6333.9269999999997</v>
      </c>
      <c r="BQ193" s="775">
        <v>6289.0060000000003</v>
      </c>
      <c r="BR193" s="775">
        <v>6475.42</v>
      </c>
      <c r="BS193" s="775">
        <v>6724.1790000000001</v>
      </c>
      <c r="BT193" s="775">
        <v>6875.7470000000003</v>
      </c>
      <c r="BU193" s="1009">
        <f>73%*BU191</f>
        <v>6922.2072683000006</v>
      </c>
      <c r="BV193" s="1009">
        <f>73%*BV191</f>
        <v>7098.4540225999999</v>
      </c>
      <c r="BW193" s="1009">
        <f>BX193-BT193-BU193-BV193</f>
        <v>7197.1536895000054</v>
      </c>
      <c r="BX193" s="349">
        <f>73%*BX191</f>
        <v>28093.561980400005</v>
      </c>
      <c r="BY193" s="161"/>
      <c r="BZ193" s="161"/>
      <c r="CA193" s="161"/>
      <c r="CB193" s="161"/>
      <c r="CC193" s="161"/>
      <c r="CD193" s="161"/>
      <c r="CE193" s="161"/>
      <c r="CF193" s="161"/>
      <c r="CG193" s="161"/>
      <c r="CH193" s="161"/>
      <c r="CI193" s="161"/>
      <c r="CJ193" s="161"/>
      <c r="CK193" s="161"/>
      <c r="CL193" s="161"/>
      <c r="CM193" s="161"/>
      <c r="CN193" s="161"/>
      <c r="CO193" s="161"/>
      <c r="CP193" s="161"/>
      <c r="CQ193" s="161"/>
      <c r="CR193" s="161"/>
      <c r="CS193" s="161"/>
      <c r="CT193" s="161"/>
      <c r="CU193" s="161"/>
      <c r="CV193" s="161"/>
      <c r="CW193" s="161"/>
      <c r="CX193" s="161"/>
      <c r="CY193" s="161"/>
      <c r="CZ193" s="161"/>
      <c r="DA193" s="161"/>
      <c r="DB193" s="161"/>
      <c r="DC193" s="161"/>
      <c r="DD193" s="161"/>
      <c r="DE193" s="161"/>
      <c r="DF193" s="161"/>
      <c r="DG193" s="161"/>
      <c r="DH193" s="161"/>
      <c r="DI193" s="161"/>
      <c r="DJ193" s="161"/>
      <c r="DK193" s="177"/>
      <c r="DL193" s="177"/>
      <c r="DM193" s="177"/>
      <c r="DN193" s="177"/>
      <c r="DO193" s="177"/>
      <c r="DP193" s="467"/>
      <c r="DQ193" s="467"/>
      <c r="DR193" s="467"/>
      <c r="DS193" s="467">
        <f t="shared" si="250"/>
        <v>0.13019818265810357</v>
      </c>
      <c r="DT193" s="467">
        <f t="shared" si="250"/>
        <v>0.12012410158796549</v>
      </c>
      <c r="DU193" s="467">
        <f t="shared" si="250"/>
        <v>0.10926085453608692</v>
      </c>
      <c r="DV193" s="467">
        <f t="shared" si="250"/>
        <v>0.10585928811931744</v>
      </c>
      <c r="DW193" s="467">
        <f t="shared" si="250"/>
        <v>8.9616202611083606E-2</v>
      </c>
      <c r="DX193" s="467">
        <f t="shared" si="250"/>
        <v>8.3228710890167257E-2</v>
      </c>
      <c r="DY193" s="467">
        <f t="shared" si="250"/>
        <v>9.7271791590512358E-2</v>
      </c>
      <c r="DZ193" s="467">
        <f t="shared" si="250"/>
        <v>8.9759852429310616E-2</v>
      </c>
      <c r="EA193" s="467">
        <f t="shared" si="250"/>
        <v>8.5542507831239734E-2</v>
      </c>
      <c r="EB193" s="809"/>
      <c r="EC193" s="809"/>
      <c r="ED193" s="809"/>
      <c r="EF193" s="161"/>
      <c r="EH193" s="161"/>
      <c r="EM193" s="161"/>
      <c r="EN193" s="161"/>
      <c r="EO193" s="161"/>
      <c r="EP193" s="161"/>
      <c r="FL193" s="264"/>
      <c r="FM193" s="264"/>
      <c r="FN193" s="263"/>
      <c r="FO193" s="433"/>
      <c r="FP193" s="161"/>
      <c r="FQ193" s="161"/>
      <c r="FR193" s="430"/>
      <c r="FS193" s="643"/>
      <c r="FT193" s="639"/>
      <c r="FU193" s="670"/>
      <c r="FV193" s="667"/>
      <c r="FW193" s="670">
        <v>6219.8436237306569</v>
      </c>
      <c r="FX193" s="667"/>
      <c r="FY193" s="751"/>
      <c r="FZ193" s="747"/>
      <c r="GA193" s="784">
        <v>6300</v>
      </c>
      <c r="GB193" s="784">
        <f>BQ193/BQ191*GB191</f>
        <v>6444.2211376128116</v>
      </c>
      <c r="GC193" s="808"/>
      <c r="GD193" s="784"/>
      <c r="GE193" s="808"/>
    </row>
    <row r="194" spans="1:188">
      <c r="A194" s="161"/>
      <c r="B194" s="161" t="s">
        <v>508</v>
      </c>
      <c r="C194" s="161"/>
      <c r="D194" s="161"/>
      <c r="E194" s="161"/>
      <c r="F194" s="161"/>
      <c r="G194" s="161"/>
      <c r="H194" s="161"/>
      <c r="I194" s="161"/>
      <c r="J194" s="161"/>
      <c r="K194" s="161"/>
      <c r="L194" s="161"/>
      <c r="M194" s="161"/>
      <c r="N194" s="161"/>
      <c r="O194" s="161"/>
      <c r="P194" s="161"/>
      <c r="Q194" s="161"/>
      <c r="R194" s="161"/>
      <c r="S194" s="161"/>
      <c r="T194" s="307"/>
      <c r="U194" s="307"/>
      <c r="V194" s="307"/>
      <c r="W194" s="307"/>
      <c r="X194" s="307"/>
      <c r="Y194" s="307"/>
      <c r="Z194" s="307"/>
      <c r="AA194" s="307"/>
      <c r="AB194" s="307"/>
      <c r="AC194" s="307"/>
      <c r="AD194" s="307"/>
      <c r="AE194" s="307"/>
      <c r="AF194" s="307"/>
      <c r="AG194" s="307"/>
      <c r="AH194" s="307"/>
      <c r="AI194" s="307"/>
      <c r="AJ194" s="307"/>
      <c r="AK194" s="307"/>
      <c r="AL194" s="307"/>
      <c r="AM194" s="307"/>
      <c r="AN194" s="307"/>
      <c r="AO194" s="307"/>
      <c r="AP194" s="307"/>
      <c r="AQ194" s="307"/>
      <c r="AR194" s="307"/>
      <c r="AS194" s="307"/>
      <c r="AT194" s="307"/>
      <c r="AU194" s="307"/>
      <c r="AV194" s="307"/>
      <c r="AW194" s="307"/>
      <c r="AX194" s="307"/>
      <c r="AY194" s="307"/>
      <c r="AZ194" s="307"/>
      <c r="BA194" s="307"/>
      <c r="BB194" s="307"/>
      <c r="BC194" s="307"/>
      <c r="BD194" s="307"/>
      <c r="BE194" s="307"/>
      <c r="BF194" s="307"/>
      <c r="BG194" s="307"/>
      <c r="BH194" s="307">
        <f>BH193-BH195</f>
        <v>1874.6410000000001</v>
      </c>
      <c r="BI194" s="307">
        <f t="shared" ref="BI194:BO194" si="251">BI193-BI195</f>
        <v>1895.799</v>
      </c>
      <c r="BJ194" s="307">
        <f t="shared" si="251"/>
        <v>2013.8540000000003</v>
      </c>
      <c r="BK194" s="307">
        <f t="shared" si="251"/>
        <v>2121.9950000000003</v>
      </c>
      <c r="BL194" s="307">
        <f t="shared" si="251"/>
        <v>2132.3849999999998</v>
      </c>
      <c r="BM194" s="307">
        <f t="shared" si="251"/>
        <v>2200.2669999999994</v>
      </c>
      <c r="BN194" s="307">
        <f t="shared" si="251"/>
        <v>2322.6049999999996</v>
      </c>
      <c r="BO194" s="1050">
        <f t="shared" si="251"/>
        <v>2405.3900000000003</v>
      </c>
      <c r="BP194" s="307">
        <f>BP193-BP195</f>
        <v>2350.2659999999996</v>
      </c>
      <c r="BQ194" s="307">
        <f>BQ193-BQ195</f>
        <v>2335.4110000000005</v>
      </c>
      <c r="BR194" s="307">
        <f>BR193-BR195</f>
        <v>2529.89</v>
      </c>
      <c r="BS194" s="307">
        <f>BS193-BS195</f>
        <v>2670.931</v>
      </c>
      <c r="BT194" s="307">
        <f>BT193-BT195</f>
        <v>2553.3910000000005</v>
      </c>
      <c r="BU194" s="1009">
        <f t="shared" ref="BU194:BX194" si="252">BU193-BU195</f>
        <v>2655.0931988000002</v>
      </c>
      <c r="BV194" s="1009">
        <f t="shared" si="252"/>
        <v>2819.9337897999994</v>
      </c>
      <c r="BW194" s="1009">
        <f t="shared" si="252"/>
        <v>2747.1948257999993</v>
      </c>
      <c r="BX194" s="1009">
        <f t="shared" si="252"/>
        <v>10775.612814399999</v>
      </c>
      <c r="BY194" s="161"/>
      <c r="BZ194" s="161"/>
      <c r="CA194" s="161"/>
      <c r="CB194" s="161"/>
      <c r="CC194" s="161"/>
      <c r="CD194" s="161"/>
      <c r="CE194" s="161"/>
      <c r="CF194" s="161"/>
      <c r="CG194" s="161"/>
      <c r="CH194" s="161"/>
      <c r="CI194" s="161"/>
      <c r="CJ194" s="161"/>
      <c r="CK194" s="161"/>
      <c r="CL194" s="161"/>
      <c r="CM194" s="161"/>
      <c r="CN194" s="161"/>
      <c r="CO194" s="161"/>
      <c r="CP194" s="161"/>
      <c r="CQ194" s="161"/>
      <c r="CR194" s="161"/>
      <c r="CS194" s="161"/>
      <c r="CT194" s="161"/>
      <c r="CU194" s="161"/>
      <c r="CV194" s="161"/>
      <c r="CW194" s="161"/>
      <c r="CX194" s="161"/>
      <c r="CY194" s="161"/>
      <c r="CZ194" s="161"/>
      <c r="DA194" s="161"/>
      <c r="DB194" s="161"/>
      <c r="DC194" s="161"/>
      <c r="DD194" s="161"/>
      <c r="DE194" s="161"/>
      <c r="DF194" s="161"/>
      <c r="DG194" s="161"/>
      <c r="DH194" s="161"/>
      <c r="DI194" s="161"/>
      <c r="DJ194" s="161"/>
      <c r="DK194" s="177"/>
      <c r="DL194" s="177"/>
      <c r="DM194" s="177"/>
      <c r="DN194" s="177"/>
      <c r="DO194" s="177"/>
      <c r="DP194" s="467"/>
      <c r="DQ194" s="467"/>
      <c r="DR194" s="467"/>
      <c r="DS194" s="467">
        <f t="shared" si="250"/>
        <v>0.13748979137872253</v>
      </c>
      <c r="DT194" s="467">
        <f t="shared" si="250"/>
        <v>0.16060141396846372</v>
      </c>
      <c r="DU194" s="467">
        <f t="shared" si="250"/>
        <v>0.15331349740348577</v>
      </c>
      <c r="DV194" s="467">
        <f t="shared" si="250"/>
        <v>0.13355121006411408</v>
      </c>
      <c r="DW194" s="467">
        <f t="shared" si="250"/>
        <v>0.10217713968162401</v>
      </c>
      <c r="DX194" s="467">
        <f t="shared" si="250"/>
        <v>6.1421636555927694E-2</v>
      </c>
      <c r="DY194" s="467">
        <f t="shared" si="250"/>
        <v>8.9246772481760939E-2</v>
      </c>
      <c r="DZ194" s="467">
        <f t="shared" si="250"/>
        <v>0.11039415645695705</v>
      </c>
      <c r="EA194" s="467">
        <f t="shared" si="250"/>
        <v>8.6426387481247202E-2</v>
      </c>
      <c r="EB194" s="809"/>
      <c r="EC194" s="809"/>
      <c r="ED194" s="809"/>
      <c r="EF194" s="161"/>
      <c r="EH194" s="161"/>
      <c r="EM194" s="161"/>
      <c r="EN194" s="161"/>
      <c r="EO194" s="161"/>
      <c r="EP194" s="161"/>
      <c r="FL194" s="264"/>
      <c r="FM194" s="264"/>
      <c r="FN194" s="263"/>
      <c r="FO194" s="433"/>
      <c r="FP194" s="161"/>
      <c r="FQ194" s="161"/>
      <c r="FR194" s="430"/>
      <c r="FS194" s="643"/>
      <c r="FT194" s="639"/>
      <c r="FU194" s="670"/>
      <c r="FV194" s="667"/>
      <c r="FW194" s="670">
        <v>2419.8010948464726</v>
      </c>
      <c r="FX194" s="667"/>
      <c r="FY194" s="751"/>
      <c r="FZ194" s="747"/>
      <c r="GA194" s="784">
        <f>GA193-GA195</f>
        <v>2369.9722999999994</v>
      </c>
      <c r="GB194" s="784">
        <f>GB193-GB195</f>
        <v>2543.3542076128115</v>
      </c>
      <c r="GC194" s="808"/>
      <c r="GD194" s="784"/>
      <c r="GE194" s="808"/>
    </row>
    <row r="195" spans="1:188">
      <c r="A195" s="161"/>
      <c r="B195" s="161" t="s">
        <v>295</v>
      </c>
      <c r="C195" s="161"/>
      <c r="D195" s="161"/>
      <c r="E195" s="161"/>
      <c r="F195" s="161"/>
      <c r="G195" s="161"/>
      <c r="H195" s="161"/>
      <c r="I195" s="161"/>
      <c r="J195" s="161"/>
      <c r="K195" s="161"/>
      <c r="L195" s="161"/>
      <c r="M195" s="161"/>
      <c r="N195" s="161"/>
      <c r="O195" s="161"/>
      <c r="P195" s="161"/>
      <c r="Q195" s="161"/>
      <c r="R195" s="161"/>
      <c r="S195" s="161"/>
      <c r="T195" s="307"/>
      <c r="U195" s="307"/>
      <c r="V195" s="307"/>
      <c r="W195" s="307"/>
      <c r="X195" s="307"/>
      <c r="Y195" s="307"/>
      <c r="Z195" s="307"/>
      <c r="AA195" s="307"/>
      <c r="AB195" s="307"/>
      <c r="AC195" s="307"/>
      <c r="AD195" s="307"/>
      <c r="AE195" s="307"/>
      <c r="AF195" s="307"/>
      <c r="AG195" s="307"/>
      <c r="AH195" s="307"/>
      <c r="AI195" s="307"/>
      <c r="AJ195" s="307"/>
      <c r="AK195" s="307"/>
      <c r="AL195" s="307"/>
      <c r="AM195" s="307"/>
      <c r="AN195" s="307">
        <f t="shared" ref="AN195:BK195" si="253">AN140</f>
        <v>2373.5349999999999</v>
      </c>
      <c r="AO195" s="307">
        <f t="shared" si="253"/>
        <v>2374.9679999999998</v>
      </c>
      <c r="AP195" s="307">
        <f t="shared" si="253"/>
        <v>2317.739</v>
      </c>
      <c r="AQ195" s="307">
        <f t="shared" si="253"/>
        <v>2280.6999999999998</v>
      </c>
      <c r="AR195" s="307">
        <f t="shared" si="253"/>
        <v>2550.413</v>
      </c>
      <c r="AS195" s="307">
        <f t="shared" si="253"/>
        <v>2612.4380000000001</v>
      </c>
      <c r="AT195" s="307">
        <f t="shared" si="253"/>
        <v>2482.6999999999998</v>
      </c>
      <c r="AU195" s="307">
        <f t="shared" si="253"/>
        <v>2515.17</v>
      </c>
      <c r="AV195" s="307">
        <f t="shared" si="253"/>
        <v>2766.6370000000002</v>
      </c>
      <c r="AW195" s="307">
        <f t="shared" si="253"/>
        <v>2720.0540000000001</v>
      </c>
      <c r="AX195" s="307">
        <f t="shared" si="253"/>
        <v>2783.3220000000001</v>
      </c>
      <c r="AY195" s="307">
        <f t="shared" si="253"/>
        <v>2767.2570000000001</v>
      </c>
      <c r="AZ195" s="307">
        <f t="shared" si="253"/>
        <v>3002.9789999999998</v>
      </c>
      <c r="BA195" s="307">
        <f t="shared" si="253"/>
        <v>3011</v>
      </c>
      <c r="BB195" s="307">
        <f t="shared" si="253"/>
        <v>3015.6239999999998</v>
      </c>
      <c r="BC195" s="307">
        <f t="shared" si="253"/>
        <v>3087.174</v>
      </c>
      <c r="BD195" s="307">
        <f t="shared" si="253"/>
        <v>3228.4879999999998</v>
      </c>
      <c r="BE195" s="307">
        <f t="shared" si="253"/>
        <v>3257.6019999999999</v>
      </c>
      <c r="BF195" s="307">
        <f t="shared" si="253"/>
        <v>3168.0259999999998</v>
      </c>
      <c r="BG195" s="307">
        <f t="shared" si="253"/>
        <v>3114.9029999999998</v>
      </c>
      <c r="BH195" s="307">
        <f t="shared" si="253"/>
        <v>3268.6950000000002</v>
      </c>
      <c r="BI195" s="307">
        <f t="shared" si="253"/>
        <v>3287.3739999999998</v>
      </c>
      <c r="BJ195" s="307">
        <f t="shared" si="253"/>
        <v>3306.2489999999998</v>
      </c>
      <c r="BK195" s="307">
        <f t="shared" si="253"/>
        <v>3457.6759999999999</v>
      </c>
      <c r="BL195" s="307">
        <f t="shared" ref="BL195:BX195" si="254">BL140</f>
        <v>3680.6039999999998</v>
      </c>
      <c r="BM195" s="307">
        <f t="shared" si="254"/>
        <v>3605.53</v>
      </c>
      <c r="BN195" s="307">
        <f t="shared" si="254"/>
        <v>3578.777</v>
      </c>
      <c r="BO195" s="1050">
        <f t="shared" si="254"/>
        <v>3764.9409999999998</v>
      </c>
      <c r="BP195" s="307">
        <f t="shared" si="254"/>
        <v>3983.6610000000001</v>
      </c>
      <c r="BQ195" s="307">
        <f t="shared" si="254"/>
        <v>3953.5949999999998</v>
      </c>
      <c r="BR195" s="307">
        <f t="shared" si="254"/>
        <v>3945.53</v>
      </c>
      <c r="BS195" s="307">
        <f t="shared" si="254"/>
        <v>4053.248</v>
      </c>
      <c r="BT195" s="307">
        <f t="shared" si="254"/>
        <v>4322.3559999999998</v>
      </c>
      <c r="BU195" s="1009">
        <f t="shared" si="254"/>
        <v>4267.1140695000004</v>
      </c>
      <c r="BV195" s="1009">
        <f t="shared" si="254"/>
        <v>4278.5202328000005</v>
      </c>
      <c r="BW195" s="1009">
        <f t="shared" si="254"/>
        <v>4449.9588637000061</v>
      </c>
      <c r="BX195" s="1009">
        <f t="shared" si="254"/>
        <v>17317.949166000006</v>
      </c>
      <c r="BY195" s="161"/>
      <c r="BZ195" s="161"/>
      <c r="CA195" s="161"/>
      <c r="CB195" s="161"/>
      <c r="CC195" s="161"/>
      <c r="CD195" s="161"/>
      <c r="CE195" s="161"/>
      <c r="CF195" s="161"/>
      <c r="CG195" s="161"/>
      <c r="CH195" s="161"/>
      <c r="CI195" s="161"/>
      <c r="CJ195" s="161"/>
      <c r="CK195" s="161"/>
      <c r="CL195" s="161"/>
      <c r="CM195" s="161"/>
      <c r="CN195" s="161"/>
      <c r="CO195" s="161"/>
      <c r="CP195" s="161"/>
      <c r="CQ195" s="161"/>
      <c r="CR195" s="161"/>
      <c r="CS195" s="161"/>
      <c r="CT195" s="161"/>
      <c r="CU195" s="161"/>
      <c r="CV195" s="161"/>
      <c r="CW195" s="161"/>
      <c r="CX195" s="161"/>
      <c r="CY195" s="161"/>
      <c r="CZ195" s="161"/>
      <c r="DA195" s="161"/>
      <c r="DB195" s="161"/>
      <c r="DC195" s="161"/>
      <c r="DD195" s="161"/>
      <c r="DE195" s="161"/>
      <c r="DF195" s="161"/>
      <c r="DG195" s="161"/>
      <c r="DH195" s="161"/>
      <c r="DI195" s="161"/>
      <c r="DJ195" s="161"/>
      <c r="DK195" s="177"/>
      <c r="DL195" s="177"/>
      <c r="DM195" s="177"/>
      <c r="DN195" s="177"/>
      <c r="DO195" s="177"/>
      <c r="DP195" s="467"/>
      <c r="DQ195" s="467"/>
      <c r="DR195" s="467"/>
      <c r="DS195" s="467">
        <f t="shared" si="250"/>
        <v>0.12601634597293399</v>
      </c>
      <c r="DT195" s="467">
        <f t="shared" si="250"/>
        <v>9.6781199826974529E-2</v>
      </c>
      <c r="DU195" s="467">
        <f t="shared" si="250"/>
        <v>8.2428153475434085E-2</v>
      </c>
      <c r="DV195" s="467">
        <f t="shared" si="250"/>
        <v>8.8864601541613464E-2</v>
      </c>
      <c r="DW195" s="467">
        <f t="shared" si="250"/>
        <v>8.2338931327575748E-2</v>
      </c>
      <c r="DX195" s="467">
        <f t="shared" si="250"/>
        <v>9.6536431537110889E-2</v>
      </c>
      <c r="DY195" s="467">
        <f t="shared" si="250"/>
        <v>0.10247998128969771</v>
      </c>
      <c r="DZ195" s="486">
        <f t="shared" si="250"/>
        <v>7.6576764416759868E-2</v>
      </c>
      <c r="EA195" s="486">
        <f t="shared" si="250"/>
        <v>8.502103969188135E-2</v>
      </c>
      <c r="EB195" s="983"/>
      <c r="EC195" s="983"/>
      <c r="ED195" s="983"/>
      <c r="EF195" s="161"/>
      <c r="EH195" s="161"/>
      <c r="EM195" s="161"/>
      <c r="EN195" s="161"/>
      <c r="EO195" s="161"/>
      <c r="EP195" s="161"/>
      <c r="FL195" s="264"/>
      <c r="FM195" s="264"/>
      <c r="FN195" s="263">
        <v>3369.51992552</v>
      </c>
      <c r="FO195" s="433">
        <v>3265.6787251928654</v>
      </c>
      <c r="FP195" s="161"/>
      <c r="FQ195" s="161"/>
      <c r="FR195" s="430"/>
      <c r="FS195" s="643">
        <v>3715</v>
      </c>
      <c r="FT195" s="639"/>
      <c r="FU195" s="670">
        <v>3770</v>
      </c>
      <c r="FV195" s="667"/>
      <c r="FW195" s="670">
        <v>3800.0425288841843</v>
      </c>
      <c r="FX195" s="667"/>
      <c r="FY195" s="751">
        <v>4042.3871325000009</v>
      </c>
      <c r="FZ195" s="747"/>
      <c r="GA195" s="784">
        <f>GA140</f>
        <v>3930.0277000000006</v>
      </c>
      <c r="GB195" s="784">
        <f>GB140</f>
        <v>3900.8669300000001</v>
      </c>
      <c r="GC195" s="808"/>
      <c r="GD195" s="784"/>
      <c r="GE195" s="808"/>
    </row>
    <row r="196" spans="1:188">
      <c r="A196" s="161"/>
      <c r="B196" s="161" t="s">
        <v>509</v>
      </c>
      <c r="C196" s="161"/>
      <c r="D196" s="161"/>
      <c r="E196" s="161"/>
      <c r="F196" s="161"/>
      <c r="G196" s="161"/>
      <c r="H196" s="161"/>
      <c r="I196" s="161"/>
      <c r="J196" s="161"/>
      <c r="K196" s="161"/>
      <c r="L196" s="161"/>
      <c r="M196" s="161"/>
      <c r="N196" s="161"/>
      <c r="O196" s="161"/>
      <c r="P196" s="161"/>
      <c r="Q196" s="161"/>
      <c r="R196" s="161"/>
      <c r="S196" s="161"/>
      <c r="T196" s="775">
        <v>366.4</v>
      </c>
      <c r="U196" s="775">
        <v>379.5</v>
      </c>
      <c r="V196" s="775">
        <v>391.2</v>
      </c>
      <c r="W196" s="775">
        <v>409.7</v>
      </c>
      <c r="X196" s="775">
        <v>414.2</v>
      </c>
      <c r="Y196" s="775">
        <v>437.2</v>
      </c>
      <c r="Z196" s="775">
        <v>424.6</v>
      </c>
      <c r="AA196" s="775">
        <v>455.8</v>
      </c>
      <c r="AB196" s="775">
        <v>409</v>
      </c>
      <c r="AC196" s="775">
        <v>459</v>
      </c>
      <c r="AD196" s="775">
        <v>504</v>
      </c>
      <c r="AE196" s="775">
        <v>580.452</v>
      </c>
      <c r="AF196" s="775">
        <v>477</v>
      </c>
      <c r="AG196" s="775">
        <v>517.55499999999995</v>
      </c>
      <c r="AH196" s="775">
        <v>545.83900000000006</v>
      </c>
      <c r="AI196" s="775">
        <v>560</v>
      </c>
      <c r="AJ196" s="775">
        <v>540.6</v>
      </c>
      <c r="AK196" s="775">
        <v>557.452</v>
      </c>
      <c r="AL196" s="775">
        <v>637.20000000000005</v>
      </c>
      <c r="AM196" s="775">
        <v>749.7</v>
      </c>
      <c r="AN196" s="775">
        <f>1570-AO196</f>
        <v>778</v>
      </c>
      <c r="AO196" s="775">
        <v>792</v>
      </c>
      <c r="AP196" s="775">
        <v>800.30200000000002</v>
      </c>
      <c r="AQ196" s="775">
        <v>917</v>
      </c>
      <c r="AR196" s="775">
        <f>1929.121-AS196</f>
        <v>954.93500000000006</v>
      </c>
      <c r="AS196" s="775">
        <v>974.18600000000004</v>
      </c>
      <c r="AT196" s="775">
        <v>1056.3050000000001</v>
      </c>
      <c r="AU196" s="775">
        <v>1129.6469999999999</v>
      </c>
      <c r="AV196" s="775">
        <v>1117.049</v>
      </c>
      <c r="AW196" s="775">
        <f>3470.5-AV196-AX196</f>
        <v>1160.5509999999999</v>
      </c>
      <c r="AX196" s="775">
        <v>1192.9000000000001</v>
      </c>
      <c r="AY196" s="775">
        <v>1237</v>
      </c>
      <c r="AZ196" s="775">
        <v>1261</v>
      </c>
      <c r="BA196" s="775">
        <v>1268</v>
      </c>
      <c r="BB196" s="775">
        <v>1424.576</v>
      </c>
      <c r="BC196" s="775">
        <v>1410.46</v>
      </c>
      <c r="BD196" s="775">
        <v>1439.7190000000001</v>
      </c>
      <c r="BE196" s="775">
        <v>1536.777</v>
      </c>
      <c r="BF196" s="775">
        <v>1593.904</v>
      </c>
      <c r="BG196" s="775">
        <v>1669.818</v>
      </c>
      <c r="BH196" s="775">
        <v>1834.701</v>
      </c>
      <c r="BI196" s="775">
        <v>1611.501</v>
      </c>
      <c r="BJ196" s="775">
        <v>1843.5060000000001</v>
      </c>
      <c r="BK196" s="775">
        <v>1909.5060000000001</v>
      </c>
      <c r="BL196" s="775">
        <v>1997.7360000000001</v>
      </c>
      <c r="BM196" s="775">
        <v>2032.5719999999999</v>
      </c>
      <c r="BN196" s="775">
        <v>2149.4749999999999</v>
      </c>
      <c r="BO196" s="775">
        <v>2277.84</v>
      </c>
      <c r="BP196" s="775">
        <v>2294.6109999999999</v>
      </c>
      <c r="BQ196" s="775">
        <v>2332.7809999999999</v>
      </c>
      <c r="BR196" s="775">
        <v>2441.02</v>
      </c>
      <c r="BS196" s="775">
        <v>2467.4839999999999</v>
      </c>
      <c r="BT196" s="775">
        <v>2513.502</v>
      </c>
      <c r="BU196" s="1009">
        <v>2500</v>
      </c>
      <c r="BV196" s="1009">
        <v>2500</v>
      </c>
      <c r="BW196" s="1009">
        <f>BX196-BT196-BU196-BV196</f>
        <v>2150.3387925350562</v>
      </c>
      <c r="BX196" s="1009">
        <f>Master!Z20+Master!Z21</f>
        <v>9663.8407925350566</v>
      </c>
      <c r="BY196" s="161"/>
      <c r="BZ196" s="161"/>
      <c r="CA196" s="161"/>
      <c r="CB196" s="161"/>
      <c r="CC196" s="161"/>
      <c r="CD196" s="161"/>
      <c r="CE196" s="161"/>
      <c r="CF196" s="161"/>
      <c r="CG196" s="161"/>
      <c r="CH196" s="161"/>
      <c r="CI196" s="161"/>
      <c r="CJ196" s="161"/>
      <c r="CK196" s="161"/>
      <c r="CL196" s="161"/>
      <c r="CM196" s="161"/>
      <c r="CN196" s="161"/>
      <c r="CO196" s="161"/>
      <c r="CP196" s="161"/>
      <c r="CQ196" s="161"/>
      <c r="CR196" s="161"/>
      <c r="CS196" s="161"/>
      <c r="CT196" s="161"/>
      <c r="CU196" s="161"/>
      <c r="CV196" s="161"/>
      <c r="CW196" s="161"/>
      <c r="CX196" s="161"/>
      <c r="CY196" s="161"/>
      <c r="CZ196" s="161"/>
      <c r="DA196" s="161"/>
      <c r="DB196" s="161"/>
      <c r="DC196" s="161"/>
      <c r="DD196" s="161"/>
      <c r="DE196" s="161"/>
      <c r="DF196" s="161"/>
      <c r="DG196" s="161"/>
      <c r="DH196" s="161"/>
      <c r="DI196" s="161"/>
      <c r="DJ196" s="161"/>
      <c r="DK196" s="177"/>
      <c r="DL196" s="177"/>
      <c r="DM196" s="177"/>
      <c r="DN196" s="177"/>
      <c r="DO196" s="177"/>
      <c r="DP196" s="467"/>
      <c r="DQ196" s="467"/>
      <c r="DR196" s="467"/>
      <c r="DS196" s="467">
        <f t="shared" si="250"/>
        <v>8.8861890847609537E-2</v>
      </c>
      <c r="DT196" s="467">
        <f t="shared" si="250"/>
        <v>0.26129118132722229</v>
      </c>
      <c r="DU196" s="467">
        <f t="shared" si="250"/>
        <v>0.16597125260237822</v>
      </c>
      <c r="DV196" s="467">
        <f t="shared" si="250"/>
        <v>0.19289491627677524</v>
      </c>
      <c r="DW196" s="467">
        <f t="shared" si="250"/>
        <v>0.14860572167693809</v>
      </c>
      <c r="DX196" s="467">
        <f t="shared" si="250"/>
        <v>0.1476990728987706</v>
      </c>
      <c r="DY196" s="467">
        <f t="shared" si="250"/>
        <v>0.13563544586468801</v>
      </c>
      <c r="DZ196" s="467">
        <f t="shared" si="250"/>
        <v>8.3256067151336266E-2</v>
      </c>
      <c r="EA196" s="467">
        <f t="shared" si="250"/>
        <v>9.5393511144154841E-2</v>
      </c>
      <c r="EB196" s="809"/>
      <c r="EC196" s="809"/>
      <c r="ED196" s="809"/>
      <c r="EF196" s="161"/>
      <c r="EH196" s="161"/>
      <c r="EM196" s="161"/>
      <c r="EN196" s="161"/>
      <c r="EO196" s="161"/>
      <c r="EP196" s="161"/>
      <c r="FL196" s="271">
        <v>1700</v>
      </c>
      <c r="FM196" s="271">
        <v>1850</v>
      </c>
      <c r="FN196" s="271">
        <v>1700</v>
      </c>
      <c r="FO196" s="433">
        <v>1884.8940679353921</v>
      </c>
      <c r="FP196" s="161"/>
      <c r="FQ196" s="161"/>
      <c r="FR196" s="430"/>
      <c r="FS196" s="650">
        <v>1955</v>
      </c>
      <c r="FT196" s="639"/>
      <c r="FU196" s="677">
        <v>2100</v>
      </c>
      <c r="FV196" s="667"/>
      <c r="FW196" s="670">
        <v>2155.5336347226453</v>
      </c>
      <c r="FX196" s="667"/>
      <c r="FY196" s="751">
        <v>2280</v>
      </c>
      <c r="FZ196" s="747"/>
      <c r="GA196" s="784">
        <v>2300</v>
      </c>
      <c r="GB196" s="784">
        <f>BQ196/BQ191*GB191</f>
        <v>2390.3549511038073</v>
      </c>
      <c r="GC196" s="808"/>
      <c r="GD196" s="784"/>
      <c r="GE196" s="808"/>
    </row>
    <row r="197" spans="1:188">
      <c r="A197" s="161"/>
      <c r="B197" s="703" t="s">
        <v>138</v>
      </c>
      <c r="C197" s="703"/>
      <c r="D197" s="703"/>
      <c r="E197" s="703"/>
      <c r="F197" s="703"/>
      <c r="G197" s="703"/>
      <c r="H197" s="703"/>
      <c r="I197" s="703"/>
      <c r="J197" s="703"/>
      <c r="K197" s="703"/>
      <c r="L197" s="703"/>
      <c r="M197" s="703"/>
      <c r="N197" s="703"/>
      <c r="O197" s="703"/>
      <c r="P197" s="703"/>
      <c r="Q197" s="703"/>
      <c r="R197" s="703"/>
      <c r="S197" s="703"/>
      <c r="T197" s="814">
        <f t="shared" ref="T197:AM197" si="255">T133-T196</f>
        <v>669.6</v>
      </c>
      <c r="U197" s="814">
        <f t="shared" si="255"/>
        <v>682.5</v>
      </c>
      <c r="V197" s="814">
        <f t="shared" si="255"/>
        <v>672.8</v>
      </c>
      <c r="W197" s="814">
        <f t="shared" si="255"/>
        <v>778.3</v>
      </c>
      <c r="X197" s="814">
        <f t="shared" si="255"/>
        <v>779.8</v>
      </c>
      <c r="Y197" s="814">
        <f t="shared" si="255"/>
        <v>757.8</v>
      </c>
      <c r="Z197" s="814">
        <f t="shared" si="255"/>
        <v>778.4</v>
      </c>
      <c r="AA197" s="814">
        <f t="shared" si="255"/>
        <v>794.2</v>
      </c>
      <c r="AB197" s="814">
        <f t="shared" si="255"/>
        <v>1055</v>
      </c>
      <c r="AC197" s="814">
        <f t="shared" si="255"/>
        <v>927.89200000000005</v>
      </c>
      <c r="AD197" s="814">
        <f t="shared" si="255"/>
        <v>891.3</v>
      </c>
      <c r="AE197" s="814">
        <f t="shared" si="255"/>
        <v>1016.617</v>
      </c>
      <c r="AF197" s="814">
        <f t="shared" si="255"/>
        <v>1291.4000000000001</v>
      </c>
      <c r="AG197" s="814">
        <f t="shared" si="255"/>
        <v>1185.473</v>
      </c>
      <c r="AH197" s="814">
        <f t="shared" si="255"/>
        <v>1054.8609999999999</v>
      </c>
      <c r="AI197" s="814">
        <f t="shared" si="255"/>
        <v>1282.5309999999999</v>
      </c>
      <c r="AJ197" s="814">
        <f t="shared" si="255"/>
        <v>1330.9009999999998</v>
      </c>
      <c r="AK197" s="814">
        <f t="shared" si="255"/>
        <v>1309.232</v>
      </c>
      <c r="AL197" s="814">
        <f t="shared" si="255"/>
        <v>1300.902</v>
      </c>
      <c r="AM197" s="814">
        <f t="shared" si="255"/>
        <v>1289.2429999999999</v>
      </c>
      <c r="AN197" s="814">
        <f>AN195-AN196</f>
        <v>1595.5349999999999</v>
      </c>
      <c r="AO197" s="814">
        <f t="shared" ref="AO197:BQ197" si="256">AO195-AO196</f>
        <v>1582.9679999999998</v>
      </c>
      <c r="AP197" s="814">
        <f t="shared" si="256"/>
        <v>1517.4369999999999</v>
      </c>
      <c r="AQ197" s="814">
        <f t="shared" si="256"/>
        <v>1363.6999999999998</v>
      </c>
      <c r="AR197" s="814">
        <f t="shared" si="256"/>
        <v>1595.4780000000001</v>
      </c>
      <c r="AS197" s="814">
        <f t="shared" si="256"/>
        <v>1638.252</v>
      </c>
      <c r="AT197" s="814">
        <f t="shared" si="256"/>
        <v>1426.3949999999998</v>
      </c>
      <c r="AU197" s="814">
        <f t="shared" si="256"/>
        <v>1385.5230000000001</v>
      </c>
      <c r="AV197" s="814">
        <f t="shared" si="256"/>
        <v>1649.5880000000002</v>
      </c>
      <c r="AW197" s="814">
        <f t="shared" si="256"/>
        <v>1559.5030000000002</v>
      </c>
      <c r="AX197" s="814">
        <f t="shared" si="256"/>
        <v>1590.422</v>
      </c>
      <c r="AY197" s="814">
        <f t="shared" si="256"/>
        <v>1530.2570000000001</v>
      </c>
      <c r="AZ197" s="814">
        <f t="shared" si="256"/>
        <v>1741.9789999999998</v>
      </c>
      <c r="BA197" s="814">
        <f t="shared" si="256"/>
        <v>1743</v>
      </c>
      <c r="BB197" s="814">
        <f t="shared" si="256"/>
        <v>1591.0479999999998</v>
      </c>
      <c r="BC197" s="814">
        <f t="shared" si="256"/>
        <v>1676.7139999999999</v>
      </c>
      <c r="BD197" s="814">
        <f t="shared" si="256"/>
        <v>1788.7689999999998</v>
      </c>
      <c r="BE197" s="814">
        <f t="shared" si="256"/>
        <v>1720.8249999999998</v>
      </c>
      <c r="BF197" s="814">
        <f t="shared" si="256"/>
        <v>1574.1219999999998</v>
      </c>
      <c r="BG197" s="814">
        <f t="shared" si="256"/>
        <v>1445.0849999999998</v>
      </c>
      <c r="BH197" s="814">
        <f t="shared" si="256"/>
        <v>1433.9940000000001</v>
      </c>
      <c r="BI197" s="814">
        <f t="shared" si="256"/>
        <v>1675.8729999999998</v>
      </c>
      <c r="BJ197" s="814">
        <f t="shared" si="256"/>
        <v>1462.7429999999997</v>
      </c>
      <c r="BK197" s="814">
        <f t="shared" si="256"/>
        <v>1548.1699999999998</v>
      </c>
      <c r="BL197" s="814">
        <f t="shared" si="256"/>
        <v>1682.8679999999997</v>
      </c>
      <c r="BM197" s="814">
        <f>BM195-BM196</f>
        <v>1572.9580000000003</v>
      </c>
      <c r="BN197" s="814">
        <f>BN195-BN196</f>
        <v>1429.3020000000001</v>
      </c>
      <c r="BO197" s="814">
        <f t="shared" si="256"/>
        <v>1487.1009999999997</v>
      </c>
      <c r="BP197" s="814">
        <f t="shared" si="256"/>
        <v>1689.0500000000002</v>
      </c>
      <c r="BQ197" s="814">
        <f t="shared" si="256"/>
        <v>1620.8139999999999</v>
      </c>
      <c r="BR197" s="814">
        <f>BR195-BR196</f>
        <v>1504.5100000000002</v>
      </c>
      <c r="BS197" s="814">
        <f>BS195-BS196</f>
        <v>1585.7640000000001</v>
      </c>
      <c r="BT197" s="814">
        <f>BT195-BT196</f>
        <v>1808.8539999999998</v>
      </c>
      <c r="BU197" s="1047">
        <f t="shared" ref="BU197:BX197" si="257">BU195-BU196</f>
        <v>1767.1140695000004</v>
      </c>
      <c r="BV197" s="1047">
        <f t="shared" si="257"/>
        <v>1778.5202328000005</v>
      </c>
      <c r="BW197" s="1047">
        <f t="shared" si="257"/>
        <v>2299.6200711649499</v>
      </c>
      <c r="BX197" s="1047">
        <f t="shared" si="257"/>
        <v>7654.1083734649492</v>
      </c>
      <c r="BZ197" s="161"/>
      <c r="CA197" s="161"/>
      <c r="CB197" s="161"/>
      <c r="CC197" s="161"/>
      <c r="CD197" s="161"/>
      <c r="CE197" s="161"/>
      <c r="CF197" s="161"/>
      <c r="CG197" s="161"/>
      <c r="CH197" s="161"/>
      <c r="CI197" s="161"/>
      <c r="CJ197" s="161"/>
      <c r="CK197" s="161"/>
      <c r="CL197" s="161"/>
      <c r="CM197" s="161"/>
      <c r="CN197" s="161"/>
      <c r="CO197" s="161"/>
      <c r="CP197" s="161"/>
      <c r="CQ197" s="161"/>
      <c r="CR197" s="161"/>
      <c r="CS197" s="161"/>
      <c r="CT197" s="161"/>
      <c r="CU197" s="161"/>
      <c r="CV197" s="161"/>
      <c r="CW197" s="161"/>
      <c r="CX197" s="161"/>
      <c r="CY197" s="161"/>
      <c r="CZ197" s="161"/>
      <c r="DA197" s="161"/>
      <c r="DB197" s="161"/>
      <c r="DC197" s="161"/>
      <c r="DD197" s="161"/>
      <c r="DE197" s="161"/>
      <c r="DF197" s="161"/>
      <c r="DG197" s="161"/>
      <c r="DH197" s="161"/>
      <c r="DI197" s="161"/>
      <c r="DJ197" s="161"/>
      <c r="DK197" s="177"/>
      <c r="DL197" s="177"/>
      <c r="DM197" s="177"/>
      <c r="DN197" s="177"/>
      <c r="DO197" s="177"/>
      <c r="DP197" s="467"/>
      <c r="DQ197" s="467"/>
      <c r="DR197" s="467"/>
      <c r="DS197" s="467">
        <f t="shared" si="250"/>
        <v>0.17355302741852441</v>
      </c>
      <c r="DT197" s="467">
        <f t="shared" si="250"/>
        <v>-6.1409784631651365E-2</v>
      </c>
      <c r="DU197" s="467">
        <f t="shared" si="250"/>
        <v>-2.2861842442588709E-2</v>
      </c>
      <c r="DV197" s="467">
        <f t="shared" si="250"/>
        <v>-3.9445926480942139E-2</v>
      </c>
      <c r="DW197" s="467">
        <f t="shared" si="250"/>
        <v>3.6734907312994114E-3</v>
      </c>
      <c r="DX197" s="467">
        <f t="shared" si="250"/>
        <v>3.0424207130768544E-2</v>
      </c>
      <c r="DY197" s="467">
        <f t="shared" si="250"/>
        <v>5.2618690801524259E-2</v>
      </c>
      <c r="DZ197" s="467">
        <f t="shared" si="250"/>
        <v>6.6345863529108318E-2</v>
      </c>
      <c r="EA197" s="467">
        <f t="shared" si="250"/>
        <v>7.0929812616559396E-2</v>
      </c>
      <c r="EB197" s="809"/>
      <c r="EC197" s="809"/>
      <c r="ED197" s="809"/>
      <c r="EF197" s="161"/>
      <c r="EH197" s="161"/>
      <c r="EM197" s="161"/>
      <c r="EN197" s="161"/>
      <c r="EO197" s="161"/>
      <c r="EP197" s="161"/>
      <c r="FL197" s="263">
        <v>1442.9322608999996</v>
      </c>
      <c r="FM197" s="263">
        <v>1384.6959043949996</v>
      </c>
      <c r="FN197" s="325">
        <v>1669.51992552</v>
      </c>
      <c r="FO197" s="448">
        <v>1380.7846572574733</v>
      </c>
      <c r="FP197" s="161"/>
      <c r="FQ197" s="161"/>
      <c r="FR197" s="430"/>
      <c r="FS197" s="645">
        <v>1760</v>
      </c>
      <c r="FT197" s="639"/>
      <c r="FU197" s="704">
        <v>1670</v>
      </c>
      <c r="FV197" s="667"/>
      <c r="FW197" s="682">
        <v>1644.508894161539</v>
      </c>
      <c r="FX197" s="667"/>
      <c r="FY197" s="760">
        <v>1762.3871325000009</v>
      </c>
      <c r="FZ197" s="747"/>
      <c r="GA197" s="843">
        <f>GA195-GA196</f>
        <v>1630.0277000000006</v>
      </c>
      <c r="GB197" s="843">
        <f>GB195-GB196</f>
        <v>1510.5119788961929</v>
      </c>
      <c r="GC197" s="808"/>
      <c r="GD197" s="784">
        <f>GF197-BP197-BQ197-BR197</f>
        <v>1585.7639999999988</v>
      </c>
      <c r="GE197" s="808"/>
      <c r="GF197" s="161">
        <f>Master!Y23</f>
        <v>6400.137999999999</v>
      </c>
    </row>
    <row r="198" spans="1:188">
      <c r="A198" s="161"/>
      <c r="B198" s="161"/>
      <c r="C198" s="161"/>
      <c r="D198" s="161"/>
      <c r="E198" s="161"/>
      <c r="F198" s="161"/>
      <c r="G198" s="161"/>
      <c r="H198" s="161"/>
      <c r="I198" s="161"/>
      <c r="J198" s="161"/>
      <c r="K198" s="161"/>
      <c r="L198" s="161"/>
      <c r="M198" s="161"/>
      <c r="N198" s="161"/>
      <c r="O198" s="161"/>
      <c r="P198" s="161"/>
      <c r="Q198" s="161"/>
      <c r="R198" s="161"/>
      <c r="S198" s="161"/>
      <c r="T198" s="307"/>
      <c r="U198" s="307"/>
      <c r="V198" s="307"/>
      <c r="W198" s="307"/>
      <c r="X198" s="307"/>
      <c r="Y198" s="307"/>
      <c r="Z198" s="307"/>
      <c r="AA198" s="307"/>
      <c r="AB198" s="307"/>
      <c r="AC198" s="307"/>
      <c r="AD198" s="307"/>
      <c r="AE198" s="307"/>
      <c r="AF198" s="307"/>
      <c r="AG198" s="307"/>
      <c r="AH198" s="307"/>
      <c r="AI198" s="307"/>
      <c r="AJ198" s="307"/>
      <c r="AK198" s="307"/>
      <c r="AL198" s="307"/>
      <c r="AM198" s="307"/>
      <c r="AN198" s="307"/>
      <c r="AO198" s="307"/>
      <c r="AP198" s="307"/>
      <c r="AQ198" s="307"/>
      <c r="AR198" s="307"/>
      <c r="AS198" s="307"/>
      <c r="AT198" s="307"/>
      <c r="AU198" s="307"/>
      <c r="AV198" s="307"/>
      <c r="AW198" s="307"/>
      <c r="AX198" s="307"/>
      <c r="AY198" s="307"/>
      <c r="AZ198" s="307"/>
      <c r="BA198" s="307"/>
      <c r="BB198" s="307"/>
      <c r="BC198" s="307"/>
      <c r="BD198" s="307"/>
      <c r="BE198" s="307"/>
      <c r="BF198" s="307"/>
      <c r="BG198" s="307"/>
      <c r="BH198" s="307"/>
      <c r="BI198" s="307"/>
      <c r="BJ198" s="307"/>
      <c r="BK198" s="307"/>
      <c r="BL198" s="307"/>
      <c r="BM198" s="307"/>
      <c r="BN198" s="307"/>
      <c r="BO198" s="307"/>
      <c r="BP198" s="307"/>
      <c r="BQ198" s="307"/>
      <c r="BR198" s="307"/>
      <c r="BS198" s="307"/>
      <c r="BT198" s="307"/>
      <c r="BU198" s="1009"/>
      <c r="BV198" s="1009"/>
      <c r="BW198" s="1009"/>
      <c r="BX198" s="1009"/>
      <c r="BY198" s="161"/>
      <c r="BZ198" s="161"/>
      <c r="CA198" s="161"/>
      <c r="CB198" s="161"/>
      <c r="CC198" s="161"/>
      <c r="CD198" s="161"/>
      <c r="CE198" s="161"/>
      <c r="CF198" s="161"/>
      <c r="CG198" s="161"/>
      <c r="CH198" s="161"/>
      <c r="CI198" s="161"/>
      <c r="CJ198" s="161"/>
      <c r="CK198" s="161"/>
      <c r="CL198" s="161"/>
      <c r="CM198" s="161"/>
      <c r="CN198" s="161"/>
      <c r="CO198" s="161"/>
      <c r="CP198" s="161"/>
      <c r="CQ198" s="161"/>
      <c r="CR198" s="161"/>
      <c r="CS198" s="161"/>
      <c r="CT198" s="161"/>
      <c r="CU198" s="161"/>
      <c r="CV198" s="161"/>
      <c r="CW198" s="161"/>
      <c r="CX198" s="161"/>
      <c r="CY198" s="161"/>
      <c r="CZ198" s="161"/>
      <c r="DA198" s="161"/>
      <c r="DB198" s="161"/>
      <c r="DC198" s="161"/>
      <c r="DD198" s="161"/>
      <c r="DE198" s="161"/>
      <c r="DF198" s="161"/>
      <c r="DG198" s="161"/>
      <c r="DH198" s="161"/>
      <c r="DI198" s="161"/>
      <c r="DJ198" s="161"/>
      <c r="DK198" s="177"/>
      <c r="DL198" s="177"/>
      <c r="DM198" s="177"/>
      <c r="DN198" s="177"/>
      <c r="DO198" s="177"/>
      <c r="DP198" s="177"/>
      <c r="DQ198" s="177"/>
      <c r="DR198" s="177"/>
      <c r="DS198" s="177"/>
      <c r="DT198" s="177"/>
      <c r="DU198" s="177"/>
      <c r="DV198" s="177"/>
      <c r="DW198" s="177"/>
      <c r="DX198" s="177"/>
      <c r="DY198" s="177"/>
      <c r="DZ198" s="177"/>
      <c r="EA198" s="177"/>
      <c r="EB198" s="808"/>
      <c r="EC198" s="808"/>
      <c r="ED198" s="808"/>
      <c r="EF198" s="161"/>
      <c r="EH198" s="161"/>
      <c r="EM198" s="161"/>
      <c r="EN198" s="161"/>
      <c r="EO198" s="161"/>
      <c r="EP198" s="161"/>
      <c r="FL198" s="161"/>
      <c r="FM198" s="161"/>
      <c r="FN198" s="161"/>
      <c r="FO198" s="430"/>
      <c r="FP198" s="161"/>
      <c r="FQ198" s="161"/>
      <c r="FR198" s="430"/>
      <c r="FS198" s="639"/>
      <c r="FT198" s="639"/>
      <c r="FU198" s="667"/>
      <c r="FV198" s="667"/>
      <c r="FW198" s="667"/>
      <c r="FX198" s="667"/>
      <c r="FY198" s="747"/>
      <c r="FZ198" s="747"/>
      <c r="GA198" s="780"/>
      <c r="GB198" s="780"/>
      <c r="GC198" s="808"/>
      <c r="GD198" s="780"/>
      <c r="GE198" s="808"/>
    </row>
    <row r="199" spans="1:188">
      <c r="A199" s="161"/>
      <c r="B199" s="161" t="s">
        <v>141</v>
      </c>
      <c r="C199" s="161"/>
      <c r="D199" s="161"/>
      <c r="E199" s="161"/>
      <c r="F199" s="161"/>
      <c r="G199" s="161"/>
      <c r="H199" s="161"/>
      <c r="I199" s="161"/>
      <c r="J199" s="161"/>
      <c r="K199" s="161"/>
      <c r="L199" s="161"/>
      <c r="M199" s="161"/>
      <c r="N199" s="161"/>
      <c r="O199" s="161"/>
      <c r="P199" s="161"/>
      <c r="Q199" s="161"/>
      <c r="R199" s="161"/>
      <c r="S199" s="161"/>
      <c r="T199" s="775">
        <v>9.6999999999999993</v>
      </c>
      <c r="U199" s="775">
        <v>22.8</v>
      </c>
      <c r="V199" s="775">
        <v>31</v>
      </c>
      <c r="W199" s="775">
        <v>47</v>
      </c>
      <c r="X199" s="775">
        <v>15</v>
      </c>
      <c r="Y199" s="775">
        <v>53.3</v>
      </c>
      <c r="Z199" s="775">
        <v>7.9</v>
      </c>
      <c r="AA199" s="775">
        <v>-28</v>
      </c>
      <c r="AB199" s="775">
        <v>55.9</v>
      </c>
      <c r="AC199" s="775">
        <v>67</v>
      </c>
      <c r="AD199" s="775">
        <v>105.9</v>
      </c>
      <c r="AE199" s="775">
        <v>82.6</v>
      </c>
      <c r="AF199" s="775">
        <v>19</v>
      </c>
      <c r="AG199" s="775">
        <v>8.5399999999999991</v>
      </c>
      <c r="AH199" s="775">
        <v>9</v>
      </c>
      <c r="AI199" s="775">
        <v>9.8000000000000007</v>
      </c>
      <c r="AJ199" s="775">
        <v>13.3</v>
      </c>
      <c r="AK199" s="775">
        <v>22.091000000000001</v>
      </c>
      <c r="AL199" s="775">
        <v>25.8</v>
      </c>
      <c r="AM199" s="775">
        <v>33.5</v>
      </c>
      <c r="AN199" s="775">
        <v>17.5</v>
      </c>
      <c r="AO199" s="775">
        <f>2.2+99</f>
        <v>101.2</v>
      </c>
      <c r="AP199" s="775">
        <v>10</v>
      </c>
      <c r="AQ199" s="775">
        <v>18</v>
      </c>
      <c r="AR199" s="775">
        <f>4.637-2.998</f>
        <v>1.6389999999999993</v>
      </c>
      <c r="AS199" s="775">
        <f>2.998+79</f>
        <v>81.998000000000005</v>
      </c>
      <c r="AT199" s="775">
        <v>20.9</v>
      </c>
      <c r="AU199" s="775">
        <v>22.120999999999999</v>
      </c>
      <c r="AV199" s="775">
        <v>8.7609999999999992</v>
      </c>
      <c r="AW199" s="775">
        <f>60.1-AV199-AX199</f>
        <v>31.727999999999998</v>
      </c>
      <c r="AX199" s="775">
        <f>23.437-3.826</f>
        <v>19.611000000000001</v>
      </c>
      <c r="AY199" s="775">
        <v>28</v>
      </c>
      <c r="AZ199" s="775">
        <v>12</v>
      </c>
      <c r="BA199" s="775">
        <v>16</v>
      </c>
      <c r="BB199" s="775">
        <f>16.454-4.836</f>
        <v>11.618</v>
      </c>
      <c r="BC199" s="775">
        <v>-0.48</v>
      </c>
      <c r="BD199" s="775">
        <f>-24.164</f>
        <v>-24.164000000000001</v>
      </c>
      <c r="BE199" s="775">
        <v>2.1000000000000001E-2</v>
      </c>
      <c r="BF199" s="775">
        <v>70.132000000000005</v>
      </c>
      <c r="BG199" s="775">
        <v>-29.314</v>
      </c>
      <c r="BH199" s="775">
        <v>13.795999999999999</v>
      </c>
      <c r="BI199" s="775">
        <v>93.65</v>
      </c>
      <c r="BJ199" s="775">
        <v>19.396999999999998</v>
      </c>
      <c r="BK199" s="775">
        <v>24.978000000000002</v>
      </c>
      <c r="BL199" s="775">
        <v>20.238</v>
      </c>
      <c r="BM199" s="775">
        <v>9.7370000000000001</v>
      </c>
      <c r="BN199" s="775">
        <v>50.101999999999997</v>
      </c>
      <c r="BO199" s="775">
        <v>5.5229999999999997</v>
      </c>
      <c r="BP199" s="775">
        <v>29.184000000000001</v>
      </c>
      <c r="BQ199" s="775">
        <v>36.243000000000002</v>
      </c>
      <c r="BR199" s="775">
        <v>0.53600000000000003</v>
      </c>
      <c r="BS199" s="775">
        <v>-18.760000000000002</v>
      </c>
      <c r="BT199" s="775">
        <v>22.952000000000002</v>
      </c>
      <c r="BU199" s="1009">
        <v>0</v>
      </c>
      <c r="BV199" s="1009">
        <v>0</v>
      </c>
      <c r="BW199" s="1009">
        <f>BX199-BT199-BU199-BV199</f>
        <v>4.7999999999998266E-2</v>
      </c>
      <c r="BX199" s="1009">
        <f>Master!Z27</f>
        <v>23</v>
      </c>
      <c r="BY199" s="161"/>
      <c r="BZ199" s="161"/>
      <c r="CA199" s="161"/>
      <c r="CB199" s="161"/>
      <c r="CC199" s="161"/>
      <c r="CD199" s="161"/>
      <c r="CE199" s="161"/>
      <c r="CF199" s="161"/>
      <c r="CG199" s="161"/>
      <c r="CH199" s="161"/>
      <c r="CI199" s="161"/>
      <c r="CJ199" s="161"/>
      <c r="CK199" s="161"/>
      <c r="CL199" s="161"/>
      <c r="CM199" s="161"/>
      <c r="CN199" s="161"/>
      <c r="CO199" s="161"/>
      <c r="CP199" s="161"/>
      <c r="CQ199" s="161"/>
      <c r="CR199" s="161"/>
      <c r="CS199" s="161"/>
      <c r="CT199" s="161"/>
      <c r="CU199" s="161"/>
      <c r="CV199" s="161"/>
      <c r="CW199" s="161"/>
      <c r="CX199" s="161"/>
      <c r="CY199" s="161"/>
      <c r="CZ199" s="161"/>
      <c r="DA199" s="161"/>
      <c r="DB199" s="161"/>
      <c r="DC199" s="161"/>
      <c r="DD199" s="161"/>
      <c r="DE199" s="161"/>
      <c r="DF199" s="161"/>
      <c r="DG199" s="161"/>
      <c r="DH199" s="161"/>
      <c r="DI199" s="161"/>
      <c r="DJ199" s="161"/>
      <c r="DK199" s="177"/>
      <c r="DL199" s="177"/>
      <c r="DM199" s="177"/>
      <c r="DN199" s="177"/>
      <c r="DO199" s="177"/>
      <c r="DP199" s="177"/>
      <c r="DQ199" s="177"/>
      <c r="DR199" s="177"/>
      <c r="DS199" s="177"/>
      <c r="DT199" s="177"/>
      <c r="DU199" s="177"/>
      <c r="DV199" s="177"/>
      <c r="DW199" s="177"/>
      <c r="DX199" s="177"/>
      <c r="DY199" s="177"/>
      <c r="DZ199" s="177"/>
      <c r="EA199" s="177"/>
      <c r="EB199" s="808"/>
      <c r="EC199" s="808"/>
      <c r="ED199" s="808"/>
      <c r="EF199" s="161"/>
      <c r="EH199" s="161"/>
      <c r="EM199" s="161"/>
      <c r="EN199" s="161"/>
      <c r="EO199" s="161"/>
      <c r="EP199" s="161"/>
      <c r="FL199" s="271">
        <v>0</v>
      </c>
      <c r="FM199" s="271">
        <v>0</v>
      </c>
      <c r="FN199" s="271">
        <v>0</v>
      </c>
      <c r="FO199" s="433">
        <v>23.157000000000004</v>
      </c>
      <c r="FP199" s="161"/>
      <c r="FQ199" s="161"/>
      <c r="FR199" s="430"/>
      <c r="FS199" s="650">
        <v>0</v>
      </c>
      <c r="FT199" s="639"/>
      <c r="FU199" s="677">
        <v>0</v>
      </c>
      <c r="FV199" s="667"/>
      <c r="FW199" s="670">
        <v>29.923000000000002</v>
      </c>
      <c r="FX199" s="667"/>
      <c r="FY199" s="751">
        <v>0</v>
      </c>
      <c r="FZ199" s="747"/>
      <c r="GA199" s="784">
        <v>30</v>
      </c>
      <c r="GB199" s="784">
        <f>BQ199/BQ197*GB197</f>
        <v>33.776537993338366</v>
      </c>
      <c r="GC199" s="808"/>
      <c r="GD199" s="784"/>
      <c r="GE199" s="808"/>
    </row>
    <row r="200" spans="1:188">
      <c r="A200" s="161"/>
      <c r="B200" s="161" t="s">
        <v>510</v>
      </c>
      <c r="C200" s="161"/>
      <c r="D200" s="161"/>
      <c r="E200" s="161"/>
      <c r="F200" s="161"/>
      <c r="G200" s="161"/>
      <c r="H200" s="161"/>
      <c r="I200" s="161"/>
      <c r="J200" s="161"/>
      <c r="K200" s="161"/>
      <c r="L200" s="161"/>
      <c r="M200" s="161"/>
      <c r="N200" s="161"/>
      <c r="O200" s="161"/>
      <c r="P200" s="161"/>
      <c r="Q200" s="161"/>
      <c r="R200" s="161"/>
      <c r="S200" s="161"/>
      <c r="T200" s="775">
        <v>-2.6</v>
      </c>
      <c r="U200" s="775">
        <v>19.8</v>
      </c>
      <c r="V200" s="775">
        <v>-21.4</v>
      </c>
      <c r="W200" s="775">
        <v>-28.9</v>
      </c>
      <c r="X200" s="775">
        <v>-7.8</v>
      </c>
      <c r="Y200" s="775">
        <v>-10.6</v>
      </c>
      <c r="Z200" s="775">
        <v>-1.9</v>
      </c>
      <c r="AA200" s="775">
        <v>57.2</v>
      </c>
      <c r="AB200" s="775">
        <v>29</v>
      </c>
      <c r="AC200" s="775">
        <v>1.1910000000000001</v>
      </c>
      <c r="AD200" s="775">
        <v>53.6</v>
      </c>
      <c r="AE200" s="775">
        <v>-3.0579999999999998</v>
      </c>
      <c r="AF200" s="775">
        <v>-69</v>
      </c>
      <c r="AG200" s="775">
        <v>113.062</v>
      </c>
      <c r="AH200" s="775">
        <v>24.6</v>
      </c>
      <c r="AI200" s="775">
        <v>44</v>
      </c>
      <c r="AJ200" s="775">
        <v>-47.1</v>
      </c>
      <c r="AK200" s="775">
        <v>39.984000000000002</v>
      </c>
      <c r="AL200" s="775">
        <v>23.2</v>
      </c>
      <c r="AM200" s="775">
        <v>-18.5</v>
      </c>
      <c r="AN200" s="775">
        <v>69</v>
      </c>
      <c r="AO200" s="775">
        <v>-43</v>
      </c>
      <c r="AP200" s="775">
        <v>46</v>
      </c>
      <c r="AQ200" s="775">
        <v>12</v>
      </c>
      <c r="AR200" s="775">
        <f>79.028-AS200</f>
        <v>26.048000000000009</v>
      </c>
      <c r="AS200" s="775">
        <v>52.98</v>
      </c>
      <c r="AT200" s="775">
        <v>156.19900000000001</v>
      </c>
      <c r="AU200" s="775">
        <v>177.29599999999999</v>
      </c>
      <c r="AV200" s="775">
        <v>-135.49299999999999</v>
      </c>
      <c r="AW200" s="775">
        <f>192.3-AX200-AV200</f>
        <v>172.00300000000001</v>
      </c>
      <c r="AX200" s="775">
        <v>155.79</v>
      </c>
      <c r="AY200" s="775">
        <v>264</v>
      </c>
      <c r="AZ200" s="775">
        <v>196</v>
      </c>
      <c r="BA200" s="775">
        <v>129</v>
      </c>
      <c r="BB200" s="775">
        <v>285.05100000000004</v>
      </c>
      <c r="BC200" s="775">
        <v>86.03</v>
      </c>
      <c r="BD200" s="775">
        <f>177.315-44.008-45.269</f>
        <v>88.037999999999982</v>
      </c>
      <c r="BE200" s="775">
        <v>129.08600000000001</v>
      </c>
      <c r="BF200" s="775">
        <v>416.762</v>
      </c>
      <c r="BG200" s="775">
        <v>561.65</v>
      </c>
      <c r="BH200" s="775">
        <v>239.06299999999999</v>
      </c>
      <c r="BI200" s="775">
        <v>452.85700000000003</v>
      </c>
      <c r="BJ200" s="775">
        <v>653.94100000000003</v>
      </c>
      <c r="BK200" s="775">
        <v>588.45899999999995</v>
      </c>
      <c r="BL200" s="775">
        <v>538.78899999999999</v>
      </c>
      <c r="BM200" s="775">
        <v>668.74199999999996</v>
      </c>
      <c r="BN200" s="775">
        <v>693.38199999999995</v>
      </c>
      <c r="BO200" s="775">
        <v>684.00800000000004</v>
      </c>
      <c r="BP200" s="775">
        <v>610.298</v>
      </c>
      <c r="BQ200" s="775">
        <v>482.56200000000001</v>
      </c>
      <c r="BR200" s="775">
        <v>548.04999999999995</v>
      </c>
      <c r="BS200" s="775">
        <v>475.548</v>
      </c>
      <c r="BT200" s="775">
        <v>554.91399999999999</v>
      </c>
      <c r="BU200" s="1009">
        <v>555</v>
      </c>
      <c r="BV200" s="1009">
        <v>555</v>
      </c>
      <c r="BW200" s="1009">
        <f>BX200-BT200-BU200-BV200</f>
        <v>384.88239861964189</v>
      </c>
      <c r="BX200" s="1009">
        <f>-Master!Z25</f>
        <v>2049.7963986196419</v>
      </c>
      <c r="BZ200" s="263"/>
      <c r="CA200" s="161"/>
      <c r="CB200" s="161"/>
      <c r="CC200" s="161"/>
      <c r="CD200" s="161"/>
      <c r="CE200" s="161"/>
      <c r="CF200" s="161"/>
      <c r="CG200" s="161"/>
      <c r="CH200" s="161"/>
      <c r="CI200" s="161"/>
      <c r="CJ200" s="161"/>
      <c r="CK200" s="161"/>
      <c r="CL200" s="161"/>
      <c r="CM200" s="161"/>
      <c r="CN200" s="161"/>
      <c r="CO200" s="161"/>
      <c r="CP200" s="161"/>
      <c r="CQ200" s="161"/>
      <c r="CR200" s="161"/>
      <c r="CS200" s="161"/>
      <c r="CT200" s="161"/>
      <c r="CU200" s="161"/>
      <c r="CV200" s="161"/>
      <c r="CW200" s="161"/>
      <c r="CX200" s="161"/>
      <c r="CY200" s="161"/>
      <c r="CZ200" s="161"/>
      <c r="DA200" s="161"/>
      <c r="DB200" s="161"/>
      <c r="DC200" s="161"/>
      <c r="DD200" s="161"/>
      <c r="DE200" s="161"/>
      <c r="DF200" s="161"/>
      <c r="DG200" s="161"/>
      <c r="DH200" s="161"/>
      <c r="DI200" s="161"/>
      <c r="DJ200" s="161"/>
      <c r="DK200" s="177"/>
      <c r="DL200" s="177"/>
      <c r="DM200" s="177"/>
      <c r="DN200" s="177"/>
      <c r="DO200" s="177"/>
      <c r="DP200" s="177"/>
      <c r="DQ200" s="177"/>
      <c r="DR200" s="177"/>
      <c r="DS200" s="177"/>
      <c r="DT200" s="177"/>
      <c r="DU200" s="177"/>
      <c r="DV200" s="177"/>
      <c r="DW200" s="177"/>
      <c r="DX200" s="177"/>
      <c r="DY200" s="177"/>
      <c r="DZ200" s="486">
        <f>BS195/3515-1</f>
        <v>0.15312887624466565</v>
      </c>
      <c r="EA200" s="486">
        <f>BT195/3515-1</f>
        <v>0.22968876244665704</v>
      </c>
      <c r="EB200" s="983"/>
      <c r="EC200" s="983"/>
      <c r="ED200" s="983"/>
      <c r="EF200" s="161"/>
      <c r="EH200" s="161"/>
      <c r="EM200" s="161"/>
      <c r="EN200" s="161"/>
      <c r="EO200" s="161"/>
      <c r="EP200" s="161"/>
      <c r="FL200" s="271">
        <v>575</v>
      </c>
      <c r="FM200" s="271">
        <v>300</v>
      </c>
      <c r="FN200" s="271">
        <v>500</v>
      </c>
      <c r="FO200" s="433">
        <v>558.60257845391732</v>
      </c>
      <c r="FP200" s="161"/>
      <c r="FQ200" s="161"/>
      <c r="FR200" s="430"/>
      <c r="FS200" s="650">
        <v>720</v>
      </c>
      <c r="FT200" s="639"/>
      <c r="FU200" s="677">
        <v>650</v>
      </c>
      <c r="FV200" s="667"/>
      <c r="FW200" s="670">
        <v>644.38022712395059</v>
      </c>
      <c r="FX200" s="667"/>
      <c r="FY200" s="751">
        <v>600</v>
      </c>
      <c r="FZ200" s="747"/>
      <c r="GA200" s="793">
        <v>600</v>
      </c>
      <c r="GB200" s="784">
        <v>550</v>
      </c>
      <c r="GC200" s="808"/>
      <c r="GD200" s="784">
        <f>GF200-BP200-BQ200-BR200</f>
        <v>463.61399999999992</v>
      </c>
      <c r="GE200" s="808"/>
      <c r="GF200" s="263">
        <f>-Master!Y25</f>
        <v>2104.5239999999999</v>
      </c>
    </row>
    <row r="201" spans="1:188">
      <c r="A201" s="161"/>
      <c r="B201" s="161" t="s">
        <v>26</v>
      </c>
      <c r="C201" s="161"/>
      <c r="D201" s="161"/>
      <c r="E201" s="161"/>
      <c r="F201" s="161"/>
      <c r="G201" s="161"/>
      <c r="H201" s="161"/>
      <c r="I201" s="161"/>
      <c r="J201" s="161"/>
      <c r="K201" s="161"/>
      <c r="L201" s="161"/>
      <c r="M201" s="161"/>
      <c r="N201" s="161"/>
      <c r="O201" s="161"/>
      <c r="P201" s="161"/>
      <c r="Q201" s="161"/>
      <c r="R201" s="161"/>
      <c r="S201" s="161"/>
      <c r="T201" s="775">
        <v>14.3</v>
      </c>
      <c r="U201" s="775">
        <v>6.1</v>
      </c>
      <c r="V201" s="775">
        <v>-2.5</v>
      </c>
      <c r="W201" s="775">
        <v>-3</v>
      </c>
      <c r="X201" s="775">
        <v>7.6</v>
      </c>
      <c r="Y201" s="775">
        <v>-3.5</v>
      </c>
      <c r="Z201" s="775">
        <v>-0.7</v>
      </c>
      <c r="AA201" s="775">
        <v>0</v>
      </c>
      <c r="AB201" s="775">
        <v>0</v>
      </c>
      <c r="AC201" s="775">
        <v>0</v>
      </c>
      <c r="AD201" s="775">
        <v>0</v>
      </c>
      <c r="AE201" s="775">
        <v>0</v>
      </c>
      <c r="AF201" s="775">
        <v>0</v>
      </c>
      <c r="AG201" s="775">
        <v>0</v>
      </c>
      <c r="AH201" s="775">
        <v>0</v>
      </c>
      <c r="AI201" s="775">
        <v>0</v>
      </c>
      <c r="AJ201" s="775">
        <v>0</v>
      </c>
      <c r="AK201" s="775">
        <v>0</v>
      </c>
      <c r="AL201" s="775">
        <v>0</v>
      </c>
      <c r="AM201" s="775">
        <v>0</v>
      </c>
      <c r="AN201" s="775">
        <v>0</v>
      </c>
      <c r="AO201" s="775">
        <v>0</v>
      </c>
      <c r="AP201" s="775">
        <v>0</v>
      </c>
      <c r="AQ201" s="775">
        <v>0</v>
      </c>
      <c r="AR201" s="775">
        <v>0</v>
      </c>
      <c r="AS201" s="775">
        <v>0</v>
      </c>
      <c r="AT201" s="775">
        <v>0</v>
      </c>
      <c r="AU201" s="775">
        <v>0</v>
      </c>
      <c r="AV201" s="775">
        <v>0</v>
      </c>
      <c r="AW201" s="775">
        <v>0</v>
      </c>
      <c r="AX201" s="775">
        <v>0</v>
      </c>
      <c r="AY201" s="775">
        <v>0</v>
      </c>
      <c r="AZ201" s="775">
        <v>0</v>
      </c>
      <c r="BA201" s="775">
        <v>0</v>
      </c>
      <c r="BB201" s="775">
        <v>0</v>
      </c>
      <c r="BC201" s="775">
        <v>0</v>
      </c>
      <c r="BD201" s="775">
        <v>0</v>
      </c>
      <c r="BE201" s="775">
        <v>0</v>
      </c>
      <c r="BF201" s="775">
        <v>0</v>
      </c>
      <c r="BG201" s="775">
        <v>0</v>
      </c>
      <c r="BH201" s="775">
        <v>0</v>
      </c>
      <c r="BI201" s="775">
        <v>0</v>
      </c>
      <c r="BJ201" s="775">
        <v>0</v>
      </c>
      <c r="BK201" s="775">
        <v>0</v>
      </c>
      <c r="BL201" s="775">
        <v>0</v>
      </c>
      <c r="BM201" s="775">
        <v>0</v>
      </c>
      <c r="BN201" s="775">
        <v>0</v>
      </c>
      <c r="BO201" s="775">
        <v>0</v>
      </c>
      <c r="BP201" s="775">
        <v>0</v>
      </c>
      <c r="BQ201" s="775">
        <v>0</v>
      </c>
      <c r="BR201" s="775">
        <v>0</v>
      </c>
      <c r="BS201" s="775">
        <v>0</v>
      </c>
      <c r="BT201" s="775">
        <v>0</v>
      </c>
      <c r="BU201" s="1009">
        <v>0</v>
      </c>
      <c r="BV201" s="1009">
        <v>0</v>
      </c>
      <c r="BW201" s="1009">
        <f>BX201-BT201-BU201-BV201</f>
        <v>0</v>
      </c>
      <c r="BX201" s="1009">
        <f>Master!Z28</f>
        <v>0</v>
      </c>
      <c r="BY201" s="263"/>
      <c r="BZ201" s="263"/>
      <c r="CA201" s="161"/>
      <c r="CB201" s="161"/>
      <c r="CC201" s="161"/>
      <c r="CD201" s="161"/>
      <c r="CE201" s="161"/>
      <c r="CF201" s="161"/>
      <c r="CG201" s="161"/>
      <c r="CH201" s="161"/>
      <c r="CI201" s="161"/>
      <c r="CJ201" s="161"/>
      <c r="CK201" s="161"/>
      <c r="CL201" s="161"/>
      <c r="CM201" s="161"/>
      <c r="CN201" s="161"/>
      <c r="CO201" s="161"/>
      <c r="CP201" s="161"/>
      <c r="CQ201" s="161"/>
      <c r="CR201" s="161"/>
      <c r="CS201" s="161"/>
      <c r="CT201" s="161"/>
      <c r="CU201" s="161"/>
      <c r="CV201" s="161"/>
      <c r="CW201" s="161"/>
      <c r="CX201" s="161"/>
      <c r="CY201" s="161"/>
      <c r="CZ201" s="161"/>
      <c r="DA201" s="161"/>
      <c r="DB201" s="161"/>
      <c r="DC201" s="161"/>
      <c r="DD201" s="161"/>
      <c r="DE201" s="161"/>
      <c r="DF201" s="161"/>
      <c r="DG201" s="161"/>
      <c r="DH201" s="161"/>
      <c r="DI201" s="161"/>
      <c r="DJ201" s="161"/>
      <c r="DK201" s="177"/>
      <c r="DL201" s="177"/>
      <c r="DM201" s="177"/>
      <c r="DN201" s="177"/>
      <c r="DO201" s="177"/>
      <c r="DP201" s="177"/>
      <c r="DQ201" s="177"/>
      <c r="DR201" s="177"/>
      <c r="DS201" s="177"/>
      <c r="DT201" s="177"/>
      <c r="DU201" s="177"/>
      <c r="DV201" s="177"/>
      <c r="DW201" s="177"/>
      <c r="DX201" s="177"/>
      <c r="DY201" s="177"/>
      <c r="DZ201" s="177"/>
      <c r="EA201" s="177"/>
      <c r="EB201" s="808"/>
      <c r="EC201" s="808"/>
      <c r="ED201" s="808"/>
      <c r="EF201" s="161"/>
      <c r="EH201" s="161"/>
      <c r="EM201" s="161"/>
      <c r="EN201" s="161"/>
      <c r="EO201" s="161"/>
      <c r="EP201" s="161"/>
      <c r="FL201" s="271">
        <v>0</v>
      </c>
      <c r="FM201" s="271">
        <v>0</v>
      </c>
      <c r="FN201" s="271">
        <v>0</v>
      </c>
      <c r="FO201" s="433">
        <v>0</v>
      </c>
      <c r="FP201" s="161"/>
      <c r="FQ201" s="161"/>
      <c r="FR201" s="430"/>
      <c r="FS201" s="644">
        <v>0</v>
      </c>
      <c r="FT201" s="639"/>
      <c r="FU201" s="671">
        <v>0</v>
      </c>
      <c r="FV201" s="667"/>
      <c r="FW201" s="670">
        <v>0</v>
      </c>
      <c r="FX201" s="667"/>
      <c r="FY201" s="751">
        <v>0</v>
      </c>
      <c r="FZ201" s="747"/>
      <c r="GA201" s="793">
        <v>0</v>
      </c>
      <c r="GB201" s="780">
        <v>0</v>
      </c>
      <c r="GC201" s="808"/>
      <c r="GD201" s="784"/>
      <c r="GE201" s="808"/>
    </row>
    <row r="202" spans="1:188">
      <c r="A202" s="161"/>
      <c r="B202" s="324" t="s">
        <v>48</v>
      </c>
      <c r="C202" s="324"/>
      <c r="D202" s="324"/>
      <c r="E202" s="324"/>
      <c r="F202" s="324"/>
      <c r="G202" s="324"/>
      <c r="H202" s="324"/>
      <c r="I202" s="324"/>
      <c r="J202" s="324"/>
      <c r="K202" s="324"/>
      <c r="L202" s="324"/>
      <c r="M202" s="324"/>
      <c r="N202" s="324"/>
      <c r="O202" s="324"/>
      <c r="P202" s="324"/>
      <c r="Q202" s="324"/>
      <c r="R202" s="324"/>
      <c r="S202" s="324"/>
      <c r="T202" s="971">
        <f t="shared" ref="T202:AV202" si="258">T197+T199-T200+T201</f>
        <v>696.2</v>
      </c>
      <c r="U202" s="971">
        <f t="shared" si="258"/>
        <v>691.6</v>
      </c>
      <c r="V202" s="971">
        <f t="shared" si="258"/>
        <v>722.69999999999993</v>
      </c>
      <c r="W202" s="971">
        <f t="shared" si="258"/>
        <v>851.19999999999993</v>
      </c>
      <c r="X202" s="971">
        <f t="shared" si="258"/>
        <v>810.19999999999993</v>
      </c>
      <c r="Y202" s="971">
        <f t="shared" si="258"/>
        <v>818.19999999999993</v>
      </c>
      <c r="Z202" s="971">
        <f t="shared" si="258"/>
        <v>787.49999999999989</v>
      </c>
      <c r="AA202" s="971">
        <f t="shared" si="258"/>
        <v>709</v>
      </c>
      <c r="AB202" s="971">
        <f t="shared" si="258"/>
        <v>1081.9000000000001</v>
      </c>
      <c r="AC202" s="971">
        <f t="shared" si="258"/>
        <v>993.70100000000002</v>
      </c>
      <c r="AD202" s="971">
        <f t="shared" si="258"/>
        <v>943.59999999999991</v>
      </c>
      <c r="AE202" s="971">
        <f t="shared" si="258"/>
        <v>1102.2749999999999</v>
      </c>
      <c r="AF202" s="971">
        <f t="shared" si="258"/>
        <v>1379.4</v>
      </c>
      <c r="AG202" s="971">
        <f t="shared" si="258"/>
        <v>1080.951</v>
      </c>
      <c r="AH202" s="971">
        <f t="shared" si="258"/>
        <v>1039.261</v>
      </c>
      <c r="AI202" s="971">
        <f t="shared" si="258"/>
        <v>1248.3309999999999</v>
      </c>
      <c r="AJ202" s="971">
        <f t="shared" si="258"/>
        <v>1391.3009999999997</v>
      </c>
      <c r="AK202" s="971">
        <f t="shared" si="258"/>
        <v>1291.3389999999999</v>
      </c>
      <c r="AL202" s="971">
        <f t="shared" si="258"/>
        <v>1303.502</v>
      </c>
      <c r="AM202" s="971">
        <f t="shared" si="258"/>
        <v>1341.2429999999999</v>
      </c>
      <c r="AN202" s="971">
        <f t="shared" si="258"/>
        <v>1544.0349999999999</v>
      </c>
      <c r="AO202" s="971">
        <f t="shared" si="258"/>
        <v>1727.1679999999999</v>
      </c>
      <c r="AP202" s="971">
        <f t="shared" si="258"/>
        <v>1481.4369999999999</v>
      </c>
      <c r="AQ202" s="971">
        <f t="shared" si="258"/>
        <v>1369.6999999999998</v>
      </c>
      <c r="AR202" s="971">
        <f t="shared" si="258"/>
        <v>1571.069</v>
      </c>
      <c r="AS202" s="971">
        <f t="shared" si="258"/>
        <v>1667.27</v>
      </c>
      <c r="AT202" s="971">
        <f t="shared" si="258"/>
        <v>1291.0959999999998</v>
      </c>
      <c r="AU202" s="971">
        <f t="shared" si="258"/>
        <v>1230.3480000000002</v>
      </c>
      <c r="AV202" s="971">
        <f t="shared" si="258"/>
        <v>1793.8420000000001</v>
      </c>
      <c r="AW202" s="971">
        <v>1420</v>
      </c>
      <c r="AX202" s="971">
        <f t="shared" ref="AX202:BE202" si="259">AX197+AX199-AX200+AX201</f>
        <v>1454.2430000000002</v>
      </c>
      <c r="AY202" s="971">
        <f t="shared" si="259"/>
        <v>1294.2570000000001</v>
      </c>
      <c r="AZ202" s="971">
        <f t="shared" si="259"/>
        <v>1557.9789999999998</v>
      </c>
      <c r="BA202" s="971">
        <f t="shared" si="259"/>
        <v>1630</v>
      </c>
      <c r="BB202" s="971">
        <f t="shared" si="259"/>
        <v>1317.6149999999998</v>
      </c>
      <c r="BC202" s="971">
        <f t="shared" si="259"/>
        <v>1590.204</v>
      </c>
      <c r="BD202" s="971">
        <f t="shared" si="259"/>
        <v>1676.5669999999998</v>
      </c>
      <c r="BE202" s="971">
        <f t="shared" si="259"/>
        <v>1591.7599999999998</v>
      </c>
      <c r="BF202" s="971">
        <f t="shared" ref="BF202:BX202" si="260">BF197+BF199-BF200+BF201</f>
        <v>1227.492</v>
      </c>
      <c r="BG202" s="971">
        <f t="shared" si="260"/>
        <v>854.12099999999975</v>
      </c>
      <c r="BH202" s="971">
        <f t="shared" si="260"/>
        <v>1208.7270000000003</v>
      </c>
      <c r="BI202" s="971">
        <f t="shared" si="260"/>
        <v>1316.6659999999999</v>
      </c>
      <c r="BJ202" s="971">
        <f t="shared" si="260"/>
        <v>828.19899999999961</v>
      </c>
      <c r="BK202" s="971">
        <f t="shared" si="260"/>
        <v>984.68899999999996</v>
      </c>
      <c r="BL202" s="971">
        <f t="shared" si="260"/>
        <v>1164.3169999999998</v>
      </c>
      <c r="BM202" s="971">
        <f t="shared" si="260"/>
        <v>913.95300000000043</v>
      </c>
      <c r="BN202" s="971">
        <f t="shared" si="260"/>
        <v>786.02200000000028</v>
      </c>
      <c r="BO202" s="971">
        <f t="shared" si="260"/>
        <v>808.61599999999953</v>
      </c>
      <c r="BP202" s="971">
        <f t="shared" si="260"/>
        <v>1107.9360000000001</v>
      </c>
      <c r="BQ202" s="971">
        <f t="shared" si="260"/>
        <v>1174.4949999999999</v>
      </c>
      <c r="BR202" s="971">
        <f t="shared" si="260"/>
        <v>956.99600000000032</v>
      </c>
      <c r="BS202" s="971">
        <f t="shared" si="260"/>
        <v>1091.4560000000001</v>
      </c>
      <c r="BT202" s="971">
        <f t="shared" si="260"/>
        <v>1276.8919999999998</v>
      </c>
      <c r="BU202" s="1013">
        <f t="shared" si="260"/>
        <v>1212.1140695000004</v>
      </c>
      <c r="BV202" s="1013">
        <f t="shared" si="260"/>
        <v>1223.5202328000005</v>
      </c>
      <c r="BW202" s="1013">
        <f t="shared" si="260"/>
        <v>1914.7856725453078</v>
      </c>
      <c r="BX202" s="1013">
        <f t="shared" si="260"/>
        <v>5627.3119748453073</v>
      </c>
      <c r="BY202" s="161"/>
      <c r="BZ202" s="161"/>
      <c r="CA202" s="161"/>
      <c r="CB202" s="161"/>
      <c r="CC202" s="161"/>
      <c r="CD202" s="161"/>
      <c r="CE202" s="161"/>
      <c r="CF202" s="161"/>
      <c r="CG202" s="161"/>
      <c r="CH202" s="161"/>
      <c r="CI202" s="161"/>
      <c r="CJ202" s="161"/>
      <c r="CK202" s="161"/>
      <c r="CL202" s="161"/>
      <c r="CM202" s="161"/>
      <c r="CN202" s="161"/>
      <c r="CO202" s="161"/>
      <c r="CP202" s="161"/>
      <c r="CQ202" s="161"/>
      <c r="CR202" s="161"/>
      <c r="CS202" s="161"/>
      <c r="CT202" s="161"/>
      <c r="CU202" s="161"/>
      <c r="CV202" s="161"/>
      <c r="CW202" s="161"/>
      <c r="CX202" s="161"/>
      <c r="CY202" s="161"/>
      <c r="CZ202" s="161"/>
      <c r="DA202" s="161"/>
      <c r="DB202" s="161"/>
      <c r="DC202" s="161"/>
      <c r="DD202" s="161"/>
      <c r="DE202" s="161"/>
      <c r="DF202" s="161"/>
      <c r="DG202" s="161"/>
      <c r="DH202" s="161"/>
      <c r="DI202" s="161"/>
      <c r="DJ202" s="161"/>
      <c r="DK202" s="177"/>
      <c r="DL202" s="177"/>
      <c r="DM202" s="177"/>
      <c r="DN202" s="177"/>
      <c r="DO202" s="177"/>
      <c r="DP202" s="177"/>
      <c r="DQ202" s="177"/>
      <c r="DR202" s="177"/>
      <c r="DS202" s="177"/>
      <c r="DT202" s="177"/>
      <c r="DU202" s="177"/>
      <c r="DV202" s="177"/>
      <c r="DW202" s="177"/>
      <c r="DX202" s="177"/>
      <c r="DY202" s="177"/>
      <c r="DZ202" s="177"/>
      <c r="EA202" s="177"/>
      <c r="EB202" s="808"/>
      <c r="EC202" s="808"/>
      <c r="ED202" s="808"/>
      <c r="EF202" s="161"/>
      <c r="EH202" s="161"/>
      <c r="EM202" s="161"/>
      <c r="EN202" s="161"/>
      <c r="EO202" s="161"/>
      <c r="EP202" s="161"/>
      <c r="FL202" s="263">
        <v>2017.9322608999996</v>
      </c>
      <c r="FM202" s="263">
        <v>1684.6959043949996</v>
      </c>
      <c r="FN202" s="325">
        <v>1169.51992552</v>
      </c>
      <c r="FO202" s="448">
        <v>845.33907880355594</v>
      </c>
      <c r="FP202" s="161"/>
      <c r="FQ202" s="161"/>
      <c r="FR202" s="430"/>
      <c r="FS202" s="645">
        <v>1040</v>
      </c>
      <c r="FT202" s="639"/>
      <c r="FU202" s="672">
        <v>1020</v>
      </c>
      <c r="FV202" s="667"/>
      <c r="FW202" s="670">
        <v>1030.0516670375885</v>
      </c>
      <c r="FX202" s="667"/>
      <c r="FY202" s="751">
        <v>1162.3871325000009</v>
      </c>
      <c r="FZ202" s="747"/>
      <c r="GA202" s="785">
        <f>GA197+GA199-GA200+GA201</f>
        <v>1060.0277000000006</v>
      </c>
      <c r="GB202" s="785">
        <f>GB197+GB199-GB200+GB201</f>
        <v>994.28851688953137</v>
      </c>
      <c r="GC202" s="808"/>
      <c r="GD202" s="784"/>
      <c r="GE202" s="808"/>
    </row>
    <row r="203" spans="1:188">
      <c r="A203" s="161"/>
      <c r="B203" s="161"/>
      <c r="C203" s="161"/>
      <c r="D203" s="161"/>
      <c r="E203" s="161"/>
      <c r="F203" s="161"/>
      <c r="G203" s="161"/>
      <c r="H203" s="161"/>
      <c r="I203" s="161"/>
      <c r="J203" s="161"/>
      <c r="K203" s="161"/>
      <c r="L203" s="161"/>
      <c r="M203" s="161"/>
      <c r="N203" s="161"/>
      <c r="O203" s="161"/>
      <c r="P203" s="161"/>
      <c r="Q203" s="161"/>
      <c r="R203" s="161"/>
      <c r="S203" s="161"/>
      <c r="T203" s="307"/>
      <c r="U203" s="307"/>
      <c r="V203" s="307"/>
      <c r="W203" s="307"/>
      <c r="X203" s="307"/>
      <c r="Y203" s="307"/>
      <c r="Z203" s="307"/>
      <c r="AA203" s="307"/>
      <c r="AB203" s="307"/>
      <c r="AC203" s="307"/>
      <c r="AD203" s="307"/>
      <c r="AE203" s="307"/>
      <c r="AF203" s="307"/>
      <c r="AG203" s="307"/>
      <c r="AH203" s="307"/>
      <c r="AI203" s="307"/>
      <c r="AJ203" s="307"/>
      <c r="AK203" s="307"/>
      <c r="AL203" s="307"/>
      <c r="AM203" s="307"/>
      <c r="AN203" s="307"/>
      <c r="AO203" s="307"/>
      <c r="AP203" s="307"/>
      <c r="AQ203" s="307"/>
      <c r="AR203" s="307"/>
      <c r="AS203" s="307"/>
      <c r="AT203" s="307"/>
      <c r="AU203" s="307"/>
      <c r="AV203" s="307"/>
      <c r="AW203" s="307"/>
      <c r="AX203" s="307"/>
      <c r="AY203" s="307"/>
      <c r="AZ203" s="307"/>
      <c r="BA203" s="307"/>
      <c r="BB203" s="307"/>
      <c r="BC203" s="307"/>
      <c r="BD203" s="307"/>
      <c r="BE203" s="307"/>
      <c r="BF203" s="307"/>
      <c r="BG203" s="307"/>
      <c r="BH203" s="307"/>
      <c r="BI203" s="307"/>
      <c r="BJ203" s="307"/>
      <c r="BK203" s="307"/>
      <c r="BL203" s="307"/>
      <c r="BM203" s="307"/>
      <c r="BN203" s="307"/>
      <c r="BO203" s="307"/>
      <c r="BP203" s="307"/>
      <c r="BQ203" s="307"/>
      <c r="BR203" s="307"/>
      <c r="BS203" s="307"/>
      <c r="BT203" s="307"/>
      <c r="BU203" s="1009"/>
      <c r="BV203" s="1009"/>
      <c r="BW203" s="1009"/>
      <c r="BX203" s="1009"/>
      <c r="BY203" s="161"/>
      <c r="BZ203" s="161"/>
      <c r="CA203" s="161"/>
      <c r="CB203" s="161"/>
      <c r="CC203" s="161"/>
      <c r="CD203" s="161"/>
      <c r="CE203" s="161"/>
      <c r="CF203" s="161"/>
      <c r="CG203" s="161"/>
      <c r="CH203" s="161"/>
      <c r="CI203" s="161"/>
      <c r="CJ203" s="161"/>
      <c r="CK203" s="161"/>
      <c r="CL203" s="161"/>
      <c r="CM203" s="161"/>
      <c r="CN203" s="161"/>
      <c r="CO203" s="161"/>
      <c r="CP203" s="161"/>
      <c r="CQ203" s="161"/>
      <c r="CR203" s="161"/>
      <c r="CS203" s="161"/>
      <c r="CT203" s="161"/>
      <c r="CU203" s="161"/>
      <c r="CV203" s="161"/>
      <c r="CW203" s="161"/>
      <c r="CX203" s="161"/>
      <c r="CY203" s="161"/>
      <c r="CZ203" s="161"/>
      <c r="DA203" s="161"/>
      <c r="DB203" s="161"/>
      <c r="DC203" s="161"/>
      <c r="DD203" s="161"/>
      <c r="DE203" s="161"/>
      <c r="DF203" s="161"/>
      <c r="DG203" s="161"/>
      <c r="DH203" s="161"/>
      <c r="DI203" s="161"/>
      <c r="DJ203" s="161"/>
      <c r="DK203" s="177"/>
      <c r="DL203" s="177"/>
      <c r="DM203" s="177"/>
      <c r="DN203" s="177"/>
      <c r="DO203" s="177"/>
      <c r="DP203" s="177"/>
      <c r="DQ203" s="177"/>
      <c r="DR203" s="177"/>
      <c r="DS203" s="177"/>
      <c r="DT203" s="177"/>
      <c r="DU203" s="177"/>
      <c r="DV203" s="177"/>
      <c r="DW203" s="177"/>
      <c r="DX203" s="177"/>
      <c r="DY203" s="177"/>
      <c r="DZ203" s="177"/>
      <c r="EA203" s="177"/>
      <c r="EB203" s="808"/>
      <c r="EC203" s="808"/>
      <c r="ED203" s="808"/>
      <c r="EF203" s="161"/>
      <c r="EH203" s="161"/>
      <c r="EM203" s="161"/>
      <c r="EN203" s="161"/>
      <c r="EO203" s="161"/>
      <c r="EP203" s="161"/>
      <c r="FL203" s="161"/>
      <c r="FM203" s="161"/>
      <c r="FN203" s="161"/>
      <c r="FO203" s="432"/>
      <c r="FP203" s="161"/>
      <c r="FQ203" s="161"/>
      <c r="FR203" s="430"/>
      <c r="FS203" s="641"/>
      <c r="FT203" s="639"/>
      <c r="FU203" s="668"/>
      <c r="FV203" s="667"/>
      <c r="FW203" s="668"/>
      <c r="FX203" s="667"/>
      <c r="FY203" s="749"/>
      <c r="FZ203" s="747"/>
      <c r="GA203" s="782"/>
      <c r="GB203" s="782"/>
      <c r="GC203" s="808"/>
      <c r="GD203" s="782"/>
      <c r="GE203" s="808"/>
    </row>
    <row r="204" spans="1:188">
      <c r="A204" s="161"/>
      <c r="B204" s="161" t="s">
        <v>511</v>
      </c>
      <c r="C204" s="161"/>
      <c r="D204" s="161"/>
      <c r="E204" s="161"/>
      <c r="F204" s="161"/>
      <c r="G204" s="161"/>
      <c r="H204" s="161"/>
      <c r="I204" s="161"/>
      <c r="J204" s="161"/>
      <c r="K204" s="161"/>
      <c r="L204" s="161"/>
      <c r="M204" s="161"/>
      <c r="N204" s="161"/>
      <c r="O204" s="161"/>
      <c r="P204" s="161"/>
      <c r="Q204" s="161"/>
      <c r="R204" s="161"/>
      <c r="S204" s="161"/>
      <c r="T204" s="775">
        <v>145</v>
      </c>
      <c r="U204" s="775">
        <v>139.9</v>
      </c>
      <c r="V204" s="775">
        <v>149</v>
      </c>
      <c r="W204" s="775">
        <v>456</v>
      </c>
      <c r="X204" s="775">
        <v>202.7</v>
      </c>
      <c r="Y204" s="775">
        <v>200.1</v>
      </c>
      <c r="Z204" s="775">
        <v>186.7</v>
      </c>
      <c r="AA204" s="775">
        <v>196</v>
      </c>
      <c r="AB204" s="775">
        <v>273</v>
      </c>
      <c r="AC204" s="775">
        <v>266</v>
      </c>
      <c r="AD204" s="775">
        <v>244</v>
      </c>
      <c r="AE204" s="775">
        <v>175.21299999999999</v>
      </c>
      <c r="AF204" s="775">
        <v>286</v>
      </c>
      <c r="AG204" s="775">
        <v>205.654</v>
      </c>
      <c r="AH204" s="775">
        <v>191.7</v>
      </c>
      <c r="AI204" s="775">
        <v>161.9</v>
      </c>
      <c r="AJ204" s="775">
        <v>266.7</v>
      </c>
      <c r="AK204" s="775">
        <v>242.977</v>
      </c>
      <c r="AL204" s="775">
        <v>270</v>
      </c>
      <c r="AM204" s="775">
        <v>233.9</v>
      </c>
      <c r="AN204" s="775">
        <f>713-AO204</f>
        <v>339</v>
      </c>
      <c r="AO204" s="775">
        <v>374</v>
      </c>
      <c r="AP204" s="775">
        <v>331.65</v>
      </c>
      <c r="AQ204" s="775">
        <v>301</v>
      </c>
      <c r="AR204" s="775">
        <f>712.434-AS204</f>
        <v>345.61499999999995</v>
      </c>
      <c r="AS204" s="775">
        <v>366.81900000000002</v>
      </c>
      <c r="AT204" s="775">
        <v>284</v>
      </c>
      <c r="AU204" s="775">
        <v>270.42599999999999</v>
      </c>
      <c r="AV204" s="775">
        <v>430.46699999999998</v>
      </c>
      <c r="AW204" s="775">
        <v>341</v>
      </c>
      <c r="AX204" s="775">
        <v>348.9</v>
      </c>
      <c r="AY204" s="775">
        <v>310</v>
      </c>
      <c r="AZ204" s="775">
        <v>422</v>
      </c>
      <c r="BA204" s="775">
        <v>438</v>
      </c>
      <c r="BB204" s="775">
        <v>353.56400000000002</v>
      </c>
      <c r="BC204" s="775">
        <v>432.54</v>
      </c>
      <c r="BD204" s="775">
        <v>452.673</v>
      </c>
      <c r="BE204" s="775">
        <v>515.87400000000002</v>
      </c>
      <c r="BF204" s="775">
        <v>374.47199999999998</v>
      </c>
      <c r="BG204" s="775">
        <v>271.96199999999999</v>
      </c>
      <c r="BH204" s="775">
        <v>362.61799999999999</v>
      </c>
      <c r="BI204" s="775">
        <v>395</v>
      </c>
      <c r="BJ204" s="775">
        <v>248.46</v>
      </c>
      <c r="BK204" s="775">
        <v>295.40699999999998</v>
      </c>
      <c r="BL204" s="775">
        <v>349.29500000000002</v>
      </c>
      <c r="BM204" s="775">
        <v>274.18599999999998</v>
      </c>
      <c r="BN204" s="775">
        <v>227.578</v>
      </c>
      <c r="BO204" s="775">
        <v>243.483</v>
      </c>
      <c r="BP204" s="775">
        <v>332.13799999999998</v>
      </c>
      <c r="BQ204" s="775">
        <v>352.59100000000001</v>
      </c>
      <c r="BR204" s="775">
        <v>287.09800000000001</v>
      </c>
      <c r="BS204" s="775">
        <v>327.43299999999999</v>
      </c>
      <c r="BT204" s="775">
        <v>383.06700000000001</v>
      </c>
      <c r="BU204" s="1009">
        <v>390</v>
      </c>
      <c r="BV204" s="1009">
        <v>390</v>
      </c>
      <c r="BW204" s="1009">
        <f>BX204-BT204-BU204-BV204</f>
        <v>266.03255358555316</v>
      </c>
      <c r="BX204" s="1009">
        <f>-Master!Z32</f>
        <v>1429.0995535855532</v>
      </c>
      <c r="BY204" s="161"/>
      <c r="BZ204" s="161"/>
      <c r="CA204" s="161"/>
      <c r="CB204" s="161"/>
      <c r="CC204" s="161"/>
      <c r="CD204" s="161"/>
      <c r="CE204" s="161"/>
      <c r="CF204" s="161"/>
      <c r="CG204" s="161"/>
      <c r="CH204" s="161"/>
      <c r="CI204" s="161"/>
      <c r="CJ204" s="161"/>
      <c r="CK204" s="161"/>
      <c r="CL204" s="161"/>
      <c r="CM204" s="161"/>
      <c r="CN204" s="161"/>
      <c r="CO204" s="161"/>
      <c r="CP204" s="161"/>
      <c r="CQ204" s="161"/>
      <c r="CR204" s="161"/>
      <c r="CS204" s="161"/>
      <c r="CT204" s="161"/>
      <c r="CU204" s="161"/>
      <c r="CV204" s="161"/>
      <c r="CW204" s="161"/>
      <c r="CX204" s="161"/>
      <c r="CY204" s="161"/>
      <c r="CZ204" s="161"/>
      <c r="DA204" s="161"/>
      <c r="DB204" s="161"/>
      <c r="DC204" s="161"/>
      <c r="DD204" s="161"/>
      <c r="DE204" s="161"/>
      <c r="DF204" s="161"/>
      <c r="DG204" s="161"/>
      <c r="DH204" s="161"/>
      <c r="DI204" s="161"/>
      <c r="DJ204" s="161"/>
      <c r="DK204" s="177"/>
      <c r="DL204" s="177"/>
      <c r="DM204" s="177"/>
      <c r="DN204" s="177"/>
      <c r="DO204" s="177"/>
      <c r="DP204" s="177"/>
      <c r="DQ204" s="177"/>
      <c r="DR204" s="177"/>
      <c r="DS204" s="177"/>
      <c r="DT204" s="177"/>
      <c r="DU204" s="177"/>
      <c r="DV204" s="177"/>
      <c r="DW204" s="177"/>
      <c r="DX204" s="177"/>
      <c r="DY204" s="177"/>
      <c r="DZ204" s="177"/>
      <c r="EA204" s="177"/>
      <c r="EB204" s="808"/>
      <c r="EC204" s="808"/>
      <c r="ED204" s="808"/>
      <c r="EF204" s="161"/>
      <c r="EH204" s="161"/>
      <c r="EM204" s="161"/>
      <c r="EN204" s="161"/>
      <c r="EO204" s="161"/>
      <c r="EP204" s="161"/>
      <c r="FL204" s="263">
        <v>565.02103305199989</v>
      </c>
      <c r="FM204" s="263">
        <v>505.40877131849987</v>
      </c>
      <c r="FN204" s="263">
        <v>350.85597765599999</v>
      </c>
      <c r="FO204" s="433">
        <v>249.09063442910195</v>
      </c>
      <c r="FP204" s="161"/>
      <c r="FQ204" s="161"/>
      <c r="FR204" s="430"/>
      <c r="FS204" s="643">
        <v>291.20000000000005</v>
      </c>
      <c r="FT204" s="639"/>
      <c r="FU204" s="670">
        <v>300.89999999999998</v>
      </c>
      <c r="FV204" s="667"/>
      <c r="FW204" s="670">
        <v>284.24410011127662</v>
      </c>
      <c r="FX204" s="667"/>
      <c r="FY204" s="751">
        <v>350</v>
      </c>
      <c r="FZ204" s="747"/>
      <c r="GA204" s="784">
        <f>0.3*GA202</f>
        <v>318.00831000000017</v>
      </c>
      <c r="GB204" s="784">
        <f>BQ205*GB202</f>
        <v>298.49184752476322</v>
      </c>
      <c r="GC204" s="808"/>
      <c r="GD204" s="784"/>
      <c r="GE204" s="808"/>
    </row>
    <row r="205" spans="1:188">
      <c r="A205" s="161"/>
      <c r="B205" s="161" t="s">
        <v>512</v>
      </c>
      <c r="C205" s="161"/>
      <c r="D205" s="161"/>
      <c r="E205" s="161"/>
      <c r="F205" s="161"/>
      <c r="G205" s="161"/>
      <c r="H205" s="161"/>
      <c r="I205" s="161"/>
      <c r="J205" s="161"/>
      <c r="K205" s="161"/>
      <c r="L205" s="161"/>
      <c r="M205" s="161"/>
      <c r="N205" s="161"/>
      <c r="O205" s="161"/>
      <c r="P205" s="161"/>
      <c r="Q205" s="161"/>
      <c r="R205" s="161"/>
      <c r="S205" s="161"/>
      <c r="T205" s="307"/>
      <c r="U205" s="307"/>
      <c r="V205" s="307"/>
      <c r="W205" s="307"/>
      <c r="X205" s="307">
        <f t="shared" ref="X205:BE205" si="261">X204/X202</f>
        <v>0.25018513947173537</v>
      </c>
      <c r="Y205" s="307">
        <f t="shared" si="261"/>
        <v>0.24456123197262283</v>
      </c>
      <c r="Z205" s="307">
        <f t="shared" si="261"/>
        <v>0.23707936507936511</v>
      </c>
      <c r="AA205" s="307">
        <f t="shared" si="261"/>
        <v>0.27644569816643161</v>
      </c>
      <c r="AB205" s="307">
        <f t="shared" si="261"/>
        <v>0.2523338571032443</v>
      </c>
      <c r="AC205" s="307">
        <f t="shared" si="261"/>
        <v>0.2676861550909177</v>
      </c>
      <c r="AD205" s="307">
        <f t="shared" si="261"/>
        <v>0.25858414582450195</v>
      </c>
      <c r="AE205" s="307">
        <f t="shared" si="261"/>
        <v>0.15895579596743101</v>
      </c>
      <c r="AF205" s="307">
        <f t="shared" si="261"/>
        <v>0.20733652312599679</v>
      </c>
      <c r="AG205" s="307">
        <f t="shared" si="261"/>
        <v>0.19025284217323449</v>
      </c>
      <c r="AH205" s="307">
        <f t="shared" si="261"/>
        <v>0.18445799467121349</v>
      </c>
      <c r="AI205" s="307">
        <f t="shared" si="261"/>
        <v>0.12969316631566469</v>
      </c>
      <c r="AJ205" s="307">
        <f t="shared" si="261"/>
        <v>0.19169108625667633</v>
      </c>
      <c r="AK205" s="307">
        <f t="shared" si="261"/>
        <v>0.18815895748521497</v>
      </c>
      <c r="AL205" s="307">
        <f t="shared" si="261"/>
        <v>0.20713431970184934</v>
      </c>
      <c r="AM205" s="307">
        <f t="shared" si="261"/>
        <v>0.17439047212175574</v>
      </c>
      <c r="AN205" s="307">
        <f t="shared" si="261"/>
        <v>0.21955460854190484</v>
      </c>
      <c r="AO205" s="307">
        <f t="shared" si="261"/>
        <v>0.21653944491792346</v>
      </c>
      <c r="AP205" s="307">
        <f t="shared" si="261"/>
        <v>0.22387047171091312</v>
      </c>
      <c r="AQ205" s="307">
        <f t="shared" si="261"/>
        <v>0.21975615098196688</v>
      </c>
      <c r="AR205" s="307">
        <f t="shared" si="261"/>
        <v>0.21998715524270415</v>
      </c>
      <c r="AS205" s="307">
        <f t="shared" si="261"/>
        <v>0.22001175574442053</v>
      </c>
      <c r="AT205" s="307">
        <f t="shared" si="261"/>
        <v>0.21996815109023654</v>
      </c>
      <c r="AU205" s="307">
        <f t="shared" si="261"/>
        <v>0.21979635030089043</v>
      </c>
      <c r="AV205" s="307">
        <f t="shared" si="261"/>
        <v>0.2399692949546281</v>
      </c>
      <c r="AW205" s="307">
        <f t="shared" si="261"/>
        <v>0.24014084507042255</v>
      </c>
      <c r="AX205" s="307">
        <f t="shared" si="261"/>
        <v>0.23991863808180608</v>
      </c>
      <c r="AY205" s="307">
        <f t="shared" si="261"/>
        <v>0.23951966263269195</v>
      </c>
      <c r="AZ205" s="307">
        <f t="shared" si="261"/>
        <v>0.27086372794498514</v>
      </c>
      <c r="BA205" s="307">
        <f t="shared" si="261"/>
        <v>0.26871165644171779</v>
      </c>
      <c r="BB205" s="307">
        <f t="shared" si="261"/>
        <v>0.26833635014780499</v>
      </c>
      <c r="BC205" s="307">
        <f t="shared" si="261"/>
        <v>0.27200283737180891</v>
      </c>
      <c r="BD205" s="307">
        <f t="shared" si="261"/>
        <v>0.26999994631887664</v>
      </c>
      <c r="BE205" s="307">
        <f t="shared" si="261"/>
        <v>0.32409031512288289</v>
      </c>
      <c r="BF205" s="307">
        <f>BF204/BF202</f>
        <v>0.30507082734551427</v>
      </c>
      <c r="BG205" s="307">
        <f>BG204/BG202</f>
        <v>0.31841155995462012</v>
      </c>
      <c r="BH205" s="307">
        <f t="shared" ref="BH205:BM205" si="262">BH204/BH202</f>
        <v>0.29999991726833264</v>
      </c>
      <c r="BI205" s="307">
        <f t="shared" si="262"/>
        <v>0.30000015189881113</v>
      </c>
      <c r="BJ205" s="307">
        <f t="shared" si="262"/>
        <v>0.30000036223178261</v>
      </c>
      <c r="BK205" s="307">
        <f t="shared" si="262"/>
        <v>0.30000030466472155</v>
      </c>
      <c r="BL205" s="307">
        <f t="shared" si="262"/>
        <v>0.29999991411273741</v>
      </c>
      <c r="BM205" s="307">
        <f t="shared" si="262"/>
        <v>0.30000010941481658</v>
      </c>
      <c r="BN205" s="307">
        <f t="shared" ref="BN205:BX205" si="263">BN204/BN202</f>
        <v>0.2895313362730304</v>
      </c>
      <c r="BO205" s="307">
        <f t="shared" si="263"/>
        <v>0.30111078682588538</v>
      </c>
      <c r="BP205" s="307">
        <f t="shared" si="263"/>
        <v>0.29978085376772662</v>
      </c>
      <c r="BQ205" s="307">
        <f t="shared" si="263"/>
        <v>0.30020647171763187</v>
      </c>
      <c r="BR205" s="307">
        <f t="shared" si="263"/>
        <v>0.29999916405084232</v>
      </c>
      <c r="BS205" s="307">
        <f t="shared" si="263"/>
        <v>0.29999651841210268</v>
      </c>
      <c r="BT205" s="307">
        <f t="shared" si="263"/>
        <v>0.29999953010904606</v>
      </c>
      <c r="BU205" s="1009">
        <f t="shared" si="263"/>
        <v>0.3217518959753316</v>
      </c>
      <c r="BV205" s="1009">
        <f t="shared" si="263"/>
        <v>0.31875239129269906</v>
      </c>
      <c r="BW205" s="1009">
        <f t="shared" si="263"/>
        <v>0.13893594327553038</v>
      </c>
      <c r="BX205" s="1009">
        <f t="shared" si="263"/>
        <v>0.25395776171176976</v>
      </c>
      <c r="BY205" s="161"/>
      <c r="BZ205" s="161"/>
      <c r="CA205" s="161"/>
      <c r="CB205" s="161"/>
      <c r="CC205" s="161"/>
      <c r="CD205" s="161"/>
      <c r="CE205" s="161"/>
      <c r="CF205" s="161"/>
      <c r="CG205" s="161"/>
      <c r="CH205" s="161"/>
      <c r="CI205" s="161"/>
      <c r="CJ205" s="161"/>
      <c r="CK205" s="161"/>
      <c r="CL205" s="161"/>
      <c r="CM205" s="161"/>
      <c r="CN205" s="161"/>
      <c r="CO205" s="161"/>
      <c r="CP205" s="161"/>
      <c r="CQ205" s="161"/>
      <c r="CR205" s="161"/>
      <c r="CS205" s="161"/>
      <c r="CT205" s="161"/>
      <c r="CU205" s="161"/>
      <c r="CV205" s="161"/>
      <c r="CW205" s="161"/>
      <c r="CX205" s="161"/>
      <c r="CY205" s="161"/>
      <c r="CZ205" s="161"/>
      <c r="DA205" s="161"/>
      <c r="DB205" s="161"/>
      <c r="DC205" s="161"/>
      <c r="DD205" s="161"/>
      <c r="DE205" s="161"/>
      <c r="DF205" s="161"/>
      <c r="DG205" s="161"/>
      <c r="DH205" s="161"/>
      <c r="DI205" s="161"/>
      <c r="DJ205" s="161"/>
      <c r="DK205" s="177"/>
      <c r="DL205" s="177"/>
      <c r="DM205" s="177"/>
      <c r="DN205" s="177"/>
      <c r="DO205" s="177"/>
      <c r="DP205" s="177"/>
      <c r="DQ205" s="177"/>
      <c r="DR205" s="177"/>
      <c r="DS205" s="177"/>
      <c r="DT205" s="177"/>
      <c r="DU205" s="177"/>
      <c r="DV205" s="177"/>
      <c r="DW205" s="177"/>
      <c r="DX205" s="177"/>
      <c r="DY205" s="177"/>
      <c r="DZ205" s="177"/>
      <c r="EA205" s="177"/>
      <c r="EB205" s="808"/>
      <c r="EC205" s="808"/>
      <c r="ED205" s="808"/>
      <c r="EF205" s="161"/>
      <c r="EH205" s="161"/>
      <c r="EM205" s="161"/>
      <c r="EN205" s="161"/>
      <c r="EO205" s="161"/>
      <c r="EP205" s="161"/>
      <c r="FL205" s="303">
        <v>0.28000000000000003</v>
      </c>
      <c r="FM205" s="303">
        <v>0.3</v>
      </c>
      <c r="FN205" s="303">
        <v>0.3</v>
      </c>
      <c r="FO205" s="434">
        <v>0.29466357426850587</v>
      </c>
      <c r="FP205" s="161"/>
      <c r="FQ205" s="161"/>
      <c r="FR205" s="430"/>
      <c r="FS205" s="661">
        <v>0.28000000000000003</v>
      </c>
      <c r="FT205" s="639"/>
      <c r="FU205" s="691">
        <v>0.29499999999999998</v>
      </c>
      <c r="FV205" s="667"/>
      <c r="FW205" s="668">
        <v>0.27595130342224283</v>
      </c>
      <c r="FX205" s="667"/>
      <c r="FY205" s="753"/>
      <c r="FZ205" s="747"/>
      <c r="GA205" s="782">
        <f>GA204/GA202</f>
        <v>0.3</v>
      </c>
      <c r="GB205" s="782">
        <f>GB204/GB202</f>
        <v>0.30020647171763187</v>
      </c>
      <c r="GC205" s="808"/>
      <c r="GD205" s="786"/>
      <c r="GE205" s="808"/>
    </row>
    <row r="206" spans="1:188">
      <c r="A206" s="161"/>
      <c r="B206" s="161"/>
      <c r="C206" s="161"/>
      <c r="D206" s="161"/>
      <c r="E206" s="161"/>
      <c r="F206" s="161"/>
      <c r="G206" s="161"/>
      <c r="H206" s="161"/>
      <c r="I206" s="161"/>
      <c r="J206" s="161"/>
      <c r="K206" s="161"/>
      <c r="L206" s="161"/>
      <c r="M206" s="161"/>
      <c r="N206" s="161"/>
      <c r="O206" s="161"/>
      <c r="P206" s="161"/>
      <c r="Q206" s="161"/>
      <c r="R206" s="161"/>
      <c r="S206" s="161"/>
      <c r="T206" s="307"/>
      <c r="U206" s="307"/>
      <c r="V206" s="307"/>
      <c r="W206" s="307"/>
      <c r="X206" s="307"/>
      <c r="Y206" s="307"/>
      <c r="Z206" s="307"/>
      <c r="AA206" s="307"/>
      <c r="AB206" s="307"/>
      <c r="AC206" s="307"/>
      <c r="AD206" s="307"/>
      <c r="AE206" s="307"/>
      <c r="AF206" s="307"/>
      <c r="AG206" s="307"/>
      <c r="AH206" s="307"/>
      <c r="AI206" s="307"/>
      <c r="AJ206" s="307"/>
      <c r="AK206" s="307"/>
      <c r="AL206" s="307"/>
      <c r="AM206" s="307"/>
      <c r="AN206" s="307"/>
      <c r="AO206" s="307"/>
      <c r="AP206" s="307"/>
      <c r="AQ206" s="307"/>
      <c r="AR206" s="307"/>
      <c r="AS206" s="307"/>
      <c r="AT206" s="307"/>
      <c r="AU206" s="307"/>
      <c r="AV206" s="307"/>
      <c r="AW206" s="307"/>
      <c r="AX206" s="307"/>
      <c r="AY206" s="307"/>
      <c r="AZ206" s="307"/>
      <c r="BA206" s="307"/>
      <c r="BB206" s="307"/>
      <c r="BC206" s="307"/>
      <c r="BD206" s="307"/>
      <c r="BE206" s="307"/>
      <c r="BF206" s="307"/>
      <c r="BG206" s="307"/>
      <c r="BH206" s="307"/>
      <c r="BI206" s="307"/>
      <c r="BJ206" s="307"/>
      <c r="BK206" s="307"/>
      <c r="BL206" s="307"/>
      <c r="BM206" s="307"/>
      <c r="BN206" s="307"/>
      <c r="BO206" s="307"/>
      <c r="BP206" s="307"/>
      <c r="BQ206" s="307"/>
      <c r="BR206" s="307"/>
      <c r="BS206" s="307"/>
      <c r="BT206" s="307"/>
      <c r="BU206" s="1009"/>
      <c r="BV206" s="1009"/>
      <c r="BW206" s="1009"/>
      <c r="BX206" s="1009"/>
      <c r="BY206" s="161"/>
      <c r="BZ206" s="161"/>
      <c r="CA206" s="161"/>
      <c r="CB206" s="161"/>
      <c r="CC206" s="161"/>
      <c r="CD206" s="161"/>
      <c r="CE206" s="161"/>
      <c r="CF206" s="161"/>
      <c r="CG206" s="161"/>
      <c r="CH206" s="161"/>
      <c r="CI206" s="161"/>
      <c r="CJ206" s="161"/>
      <c r="CK206" s="161"/>
      <c r="CL206" s="161"/>
      <c r="CM206" s="161"/>
      <c r="CN206" s="161"/>
      <c r="CO206" s="161"/>
      <c r="CP206" s="161"/>
      <c r="CQ206" s="161"/>
      <c r="CR206" s="161"/>
      <c r="CS206" s="161"/>
      <c r="CT206" s="161"/>
      <c r="CU206" s="161"/>
      <c r="CV206" s="161"/>
      <c r="CW206" s="161"/>
      <c r="CX206" s="161"/>
      <c r="CY206" s="161"/>
      <c r="CZ206" s="161"/>
      <c r="DA206" s="161"/>
      <c r="DB206" s="161"/>
      <c r="DC206" s="161"/>
      <c r="DD206" s="161"/>
      <c r="DE206" s="161"/>
      <c r="DF206" s="161"/>
      <c r="DG206" s="161"/>
      <c r="DH206" s="161"/>
      <c r="DI206" s="161"/>
      <c r="DJ206" s="161"/>
      <c r="DK206" s="177"/>
      <c r="DL206" s="177"/>
      <c r="DM206" s="177"/>
      <c r="DN206" s="177"/>
      <c r="DO206" s="177"/>
      <c r="DP206" s="177"/>
      <c r="DQ206" s="177"/>
      <c r="DR206" s="177"/>
      <c r="DS206" s="177"/>
      <c r="DT206" s="177"/>
      <c r="DU206" s="177"/>
      <c r="DV206" s="177"/>
      <c r="DW206" s="177"/>
      <c r="DX206" s="177"/>
      <c r="DY206" s="177"/>
      <c r="DZ206" s="177"/>
      <c r="EA206" s="177"/>
      <c r="EB206" s="808"/>
      <c r="EC206" s="808"/>
      <c r="ED206" s="808"/>
      <c r="EF206" s="161"/>
      <c r="EH206" s="161"/>
      <c r="EM206" s="161"/>
      <c r="EN206" s="161"/>
      <c r="EO206" s="161"/>
      <c r="EP206" s="161"/>
      <c r="FL206" s="161"/>
      <c r="FM206" s="161"/>
      <c r="FN206" s="161"/>
      <c r="FO206" s="432"/>
      <c r="FP206" s="161"/>
      <c r="FQ206" s="161"/>
      <c r="FR206" s="430"/>
      <c r="FS206" s="641"/>
      <c r="FT206" s="639"/>
      <c r="FU206" s="668"/>
      <c r="FV206" s="667"/>
      <c r="FW206" s="668"/>
      <c r="FX206" s="667"/>
      <c r="FY206" s="749"/>
      <c r="FZ206" s="747"/>
      <c r="GA206" s="782"/>
      <c r="GB206" s="782"/>
      <c r="GC206" s="808"/>
      <c r="GD206" s="782"/>
      <c r="GE206" s="808"/>
    </row>
    <row r="207" spans="1:188">
      <c r="A207" s="161"/>
      <c r="B207" s="161" t="s">
        <v>103</v>
      </c>
      <c r="C207" s="161"/>
      <c r="D207" s="161"/>
      <c r="E207" s="161"/>
      <c r="F207" s="161"/>
      <c r="G207" s="161"/>
      <c r="H207" s="161"/>
      <c r="I207" s="161"/>
      <c r="J207" s="161"/>
      <c r="K207" s="161"/>
      <c r="L207" s="161"/>
      <c r="M207" s="161"/>
      <c r="N207" s="161"/>
      <c r="O207" s="161"/>
      <c r="P207" s="161"/>
      <c r="Q207" s="161"/>
      <c r="R207" s="161"/>
      <c r="S207" s="161"/>
      <c r="T207" s="775">
        <v>-21.6</v>
      </c>
      <c r="U207" s="775">
        <v>-32.4</v>
      </c>
      <c r="V207" s="775">
        <v>-8.3000000000000007</v>
      </c>
      <c r="W207" s="775">
        <v>-68</v>
      </c>
      <c r="X207" s="775">
        <v>-26.2</v>
      </c>
      <c r="Y207" s="775">
        <v>-38.5</v>
      </c>
      <c r="Z207" s="775">
        <v>-23</v>
      </c>
      <c r="AA207" s="775">
        <v>23</v>
      </c>
      <c r="AB207" s="775">
        <v>-33.700000000000003</v>
      </c>
      <c r="AC207" s="775">
        <v>-60</v>
      </c>
      <c r="AD207" s="775">
        <v>-11</v>
      </c>
      <c r="AE207" s="775">
        <v>-56.5</v>
      </c>
      <c r="AF207" s="775">
        <v>-72</v>
      </c>
      <c r="AG207" s="775">
        <v>-51.798999999999999</v>
      </c>
      <c r="AH207" s="775">
        <v>-59</v>
      </c>
      <c r="AI207" s="775">
        <v>-90</v>
      </c>
      <c r="AJ207" s="775">
        <v>-67.400000000000006</v>
      </c>
      <c r="AK207" s="775">
        <v>-12.6</v>
      </c>
      <c r="AL207" s="775">
        <v>-55.8</v>
      </c>
      <c r="AM207" s="775">
        <v>-37</v>
      </c>
      <c r="AN207" s="775">
        <v>-48</v>
      </c>
      <c r="AO207" s="775">
        <v>-34</v>
      </c>
      <c r="AP207" s="775">
        <v>-39.6</v>
      </c>
      <c r="AQ207" s="775">
        <v>-51</v>
      </c>
      <c r="AR207" s="775">
        <f>-70.446-AS207</f>
        <v>-44.554000000000002</v>
      </c>
      <c r="AS207" s="775">
        <v>-25.891999999999999</v>
      </c>
      <c r="AT207" s="775">
        <v>-12.9</v>
      </c>
      <c r="AU207" s="775">
        <v>-72.412999999999997</v>
      </c>
      <c r="AV207" s="775">
        <v>-42.972999999999999</v>
      </c>
      <c r="AW207" s="775">
        <f>-106.4-AX207-AV207</f>
        <v>-29.927000000000007</v>
      </c>
      <c r="AX207" s="775">
        <v>-33.5</v>
      </c>
      <c r="AY207" s="775">
        <v>-42</v>
      </c>
      <c r="AZ207" s="775">
        <v>-32</v>
      </c>
      <c r="BA207" s="775">
        <f>-53</f>
        <v>-53</v>
      </c>
      <c r="BB207" s="775">
        <v>-36.621000000000002</v>
      </c>
      <c r="BC207" s="775">
        <v>-39.276000000000003</v>
      </c>
      <c r="BD207" s="775">
        <v>-53.978000000000002</v>
      </c>
      <c r="BE207" s="775">
        <v>-59.320999999999998</v>
      </c>
      <c r="BF207" s="775">
        <v>-30.018000000000001</v>
      </c>
      <c r="BG207" s="775">
        <v>-25.094000000000001</v>
      </c>
      <c r="BH207" s="775">
        <v>-49.494</v>
      </c>
      <c r="BI207" s="775">
        <v>-53.862000000000002</v>
      </c>
      <c r="BJ207" s="775">
        <v>-48.415999999999997</v>
      </c>
      <c r="BK207" s="775">
        <v>-41.360999999999997</v>
      </c>
      <c r="BL207" s="775">
        <v>-13.743</v>
      </c>
      <c r="BM207" s="775">
        <v>-68.438999999999993</v>
      </c>
      <c r="BN207" s="775">
        <v>-58.188000000000002</v>
      </c>
      <c r="BO207" s="775">
        <v>-41.356000000000002</v>
      </c>
      <c r="BP207" s="775">
        <v>-52.503</v>
      </c>
      <c r="BQ207" s="775">
        <v>-54.250999999999998</v>
      </c>
      <c r="BR207" s="775">
        <v>-42.073999999999998</v>
      </c>
      <c r="BS207" s="775">
        <v>-43.244</v>
      </c>
      <c r="BT207" s="775">
        <v>-52.725999999999999</v>
      </c>
      <c r="BU207" s="1009">
        <v>-50</v>
      </c>
      <c r="BV207" s="1009">
        <v>-50</v>
      </c>
      <c r="BW207" s="1009">
        <f>BX207-BT207-BU207-BV207</f>
        <v>-58.553200000000032</v>
      </c>
      <c r="BX207" s="1009">
        <f>Master!Z33</f>
        <v>-211.27920000000003</v>
      </c>
      <c r="BY207" s="161"/>
      <c r="BZ207" s="161"/>
      <c r="CA207" s="161"/>
      <c r="CB207" s="161"/>
      <c r="CC207" s="161"/>
      <c r="CD207" s="161"/>
      <c r="CE207" s="161"/>
      <c r="CF207" s="161"/>
      <c r="CG207" s="161"/>
      <c r="CH207" s="161"/>
      <c r="CI207" s="161"/>
      <c r="CJ207" s="161"/>
      <c r="CK207" s="161"/>
      <c r="CL207" s="161"/>
      <c r="CM207" s="161"/>
      <c r="CN207" s="161"/>
      <c r="CO207" s="161"/>
      <c r="CP207" s="161"/>
      <c r="CQ207" s="161"/>
      <c r="CR207" s="161"/>
      <c r="CS207" s="161"/>
      <c r="CT207" s="161"/>
      <c r="CU207" s="161"/>
      <c r="CV207" s="161"/>
      <c r="CW207" s="161"/>
      <c r="CX207" s="161"/>
      <c r="CY207" s="161"/>
      <c r="CZ207" s="161"/>
      <c r="DA207" s="161"/>
      <c r="DB207" s="161"/>
      <c r="DC207" s="161"/>
      <c r="DD207" s="161"/>
      <c r="DE207" s="161"/>
      <c r="DF207" s="161"/>
      <c r="DG207" s="161"/>
      <c r="DH207" s="161"/>
      <c r="DI207" s="161"/>
      <c r="DJ207" s="161"/>
      <c r="DK207" s="177"/>
      <c r="DL207" s="177"/>
      <c r="DM207" s="177"/>
      <c r="DN207" s="177"/>
      <c r="DO207" s="177"/>
      <c r="DP207" s="177"/>
      <c r="DQ207" s="177"/>
      <c r="DR207" s="177"/>
      <c r="DS207" s="177"/>
      <c r="DT207" s="177"/>
      <c r="DU207" s="177"/>
      <c r="DV207" s="177"/>
      <c r="DW207" s="177"/>
      <c r="DX207" s="177"/>
      <c r="DY207" s="177"/>
      <c r="DZ207" s="177"/>
      <c r="EA207" s="177"/>
      <c r="EB207" s="808"/>
      <c r="EC207" s="808"/>
      <c r="ED207" s="808"/>
      <c r="EF207" s="161"/>
      <c r="EH207" s="161"/>
      <c r="EM207" s="161"/>
      <c r="EN207" s="161"/>
      <c r="EO207" s="161"/>
      <c r="EP207" s="161"/>
      <c r="FL207" s="271">
        <v>-60</v>
      </c>
      <c r="FM207" s="271">
        <v>-60</v>
      </c>
      <c r="FN207" s="271">
        <v>-60</v>
      </c>
      <c r="FO207" s="433">
        <v>-52.722000000000001</v>
      </c>
      <c r="FP207" s="161"/>
      <c r="FQ207" s="161"/>
      <c r="FR207" s="430"/>
      <c r="FS207" s="650">
        <v>-42</v>
      </c>
      <c r="FT207" s="639"/>
      <c r="FU207" s="677">
        <v>-42</v>
      </c>
      <c r="FV207" s="667"/>
      <c r="FW207" s="670">
        <v>320.36999999999995</v>
      </c>
      <c r="FX207" s="667"/>
      <c r="FY207" s="751">
        <v>-45</v>
      </c>
      <c r="FZ207" s="747"/>
      <c r="GA207" s="784">
        <v>-50</v>
      </c>
      <c r="GB207" s="784">
        <f>BQ207/(BQ202-BQ204)*(GB202-GB204)</f>
        <v>-45.927097458715423</v>
      </c>
      <c r="GC207" s="808"/>
      <c r="GD207" s="784"/>
      <c r="GE207" s="808"/>
    </row>
    <row r="208" spans="1:188">
      <c r="A208" s="161"/>
      <c r="B208" s="703" t="s">
        <v>50</v>
      </c>
      <c r="C208" s="703"/>
      <c r="D208" s="703"/>
      <c r="E208" s="703"/>
      <c r="F208" s="703"/>
      <c r="G208" s="703"/>
      <c r="H208" s="703"/>
      <c r="I208" s="703"/>
      <c r="J208" s="703"/>
      <c r="K208" s="703"/>
      <c r="L208" s="703"/>
      <c r="M208" s="703"/>
      <c r="N208" s="703"/>
      <c r="O208" s="703"/>
      <c r="P208" s="703"/>
      <c r="Q208" s="703"/>
      <c r="R208" s="703"/>
      <c r="S208" s="703"/>
      <c r="T208" s="814">
        <f t="shared" ref="T208:BD208" si="264">T202-T204+T207</f>
        <v>529.6</v>
      </c>
      <c r="U208" s="814">
        <f t="shared" si="264"/>
        <v>519.30000000000007</v>
      </c>
      <c r="V208" s="814">
        <f t="shared" si="264"/>
        <v>565.4</v>
      </c>
      <c r="W208" s="814">
        <f t="shared" si="264"/>
        <v>327.19999999999993</v>
      </c>
      <c r="X208" s="814">
        <f t="shared" si="264"/>
        <v>581.29999999999995</v>
      </c>
      <c r="Y208" s="814">
        <f t="shared" si="264"/>
        <v>579.59999999999991</v>
      </c>
      <c r="Z208" s="814">
        <f t="shared" si="264"/>
        <v>577.79999999999995</v>
      </c>
      <c r="AA208" s="814">
        <f t="shared" si="264"/>
        <v>536</v>
      </c>
      <c r="AB208" s="814">
        <f t="shared" si="264"/>
        <v>775.2</v>
      </c>
      <c r="AC208" s="814">
        <f t="shared" si="264"/>
        <v>667.70100000000002</v>
      </c>
      <c r="AD208" s="814">
        <f t="shared" si="264"/>
        <v>688.59999999999991</v>
      </c>
      <c r="AE208" s="814">
        <f t="shared" si="264"/>
        <v>870.5619999999999</v>
      </c>
      <c r="AF208" s="814">
        <f t="shared" si="264"/>
        <v>1021.4000000000001</v>
      </c>
      <c r="AG208" s="814">
        <f t="shared" si="264"/>
        <v>823.49800000000005</v>
      </c>
      <c r="AH208" s="814">
        <f t="shared" si="264"/>
        <v>788.56099999999992</v>
      </c>
      <c r="AI208" s="814">
        <f t="shared" si="264"/>
        <v>996.43099999999981</v>
      </c>
      <c r="AJ208" s="814">
        <f t="shared" si="264"/>
        <v>1057.2009999999996</v>
      </c>
      <c r="AK208" s="814">
        <f t="shared" si="264"/>
        <v>1035.7619999999999</v>
      </c>
      <c r="AL208" s="814">
        <f t="shared" si="264"/>
        <v>977.702</v>
      </c>
      <c r="AM208" s="814">
        <f t="shared" si="264"/>
        <v>1070.3429999999998</v>
      </c>
      <c r="AN208" s="814">
        <f t="shared" si="264"/>
        <v>1157.0349999999999</v>
      </c>
      <c r="AO208" s="814">
        <f t="shared" si="264"/>
        <v>1319.1679999999999</v>
      </c>
      <c r="AP208" s="814">
        <f t="shared" si="264"/>
        <v>1110.1869999999999</v>
      </c>
      <c r="AQ208" s="814">
        <f t="shared" si="264"/>
        <v>1017.6999999999998</v>
      </c>
      <c r="AR208" s="814">
        <f t="shared" si="264"/>
        <v>1180.8999999999999</v>
      </c>
      <c r="AS208" s="814">
        <f t="shared" si="264"/>
        <v>1274.559</v>
      </c>
      <c r="AT208" s="814">
        <f t="shared" si="264"/>
        <v>994.1959999999998</v>
      </c>
      <c r="AU208" s="814">
        <f t="shared" si="264"/>
        <v>887.50900000000024</v>
      </c>
      <c r="AV208" s="814">
        <f t="shared" si="264"/>
        <v>1320.402</v>
      </c>
      <c r="AW208" s="814">
        <f t="shared" si="264"/>
        <v>1049.0730000000001</v>
      </c>
      <c r="AX208" s="814">
        <f t="shared" si="264"/>
        <v>1071.8430000000003</v>
      </c>
      <c r="AY208" s="814">
        <f t="shared" si="264"/>
        <v>942.25700000000006</v>
      </c>
      <c r="AZ208" s="814">
        <f t="shared" si="264"/>
        <v>1103.9789999999998</v>
      </c>
      <c r="BA208" s="814">
        <f t="shared" si="264"/>
        <v>1139</v>
      </c>
      <c r="BB208" s="814">
        <f t="shared" si="264"/>
        <v>927.42999999999972</v>
      </c>
      <c r="BC208" s="814">
        <f t="shared" si="264"/>
        <v>1118.3879999999999</v>
      </c>
      <c r="BD208" s="814">
        <f t="shared" si="264"/>
        <v>1169.9159999999997</v>
      </c>
      <c r="BE208" s="814">
        <f t="shared" ref="BE208:BK208" si="265">BE202-BE204+BE207</f>
        <v>1016.5649999999997</v>
      </c>
      <c r="BF208" s="814">
        <f t="shared" si="265"/>
        <v>823.00199999999995</v>
      </c>
      <c r="BG208" s="814">
        <f t="shared" si="265"/>
        <v>557.06499999999971</v>
      </c>
      <c r="BH208" s="814">
        <f t="shared" si="265"/>
        <v>796.61500000000035</v>
      </c>
      <c r="BI208" s="814">
        <f t="shared" si="265"/>
        <v>867.80399999999997</v>
      </c>
      <c r="BJ208" s="814">
        <f t="shared" si="265"/>
        <v>531.32299999999964</v>
      </c>
      <c r="BK208" s="814">
        <f t="shared" si="265"/>
        <v>647.92099999999994</v>
      </c>
      <c r="BL208" s="814">
        <f>BL202-BO204+BO207</f>
        <v>879.47799999999984</v>
      </c>
      <c r="BM208" s="814">
        <f t="shared" ref="BM208:BX208" si="266">BM202-BM204+BM207</f>
        <v>571.32800000000054</v>
      </c>
      <c r="BN208" s="814">
        <f t="shared" si="266"/>
        <v>500.25600000000031</v>
      </c>
      <c r="BO208" s="814">
        <f t="shared" si="266"/>
        <v>523.77699999999959</v>
      </c>
      <c r="BP208" s="814">
        <f t="shared" si="266"/>
        <v>723.29500000000019</v>
      </c>
      <c r="BQ208" s="814">
        <f t="shared" si="266"/>
        <v>767.65299999999991</v>
      </c>
      <c r="BR208" s="814">
        <f t="shared" si="266"/>
        <v>627.82400000000041</v>
      </c>
      <c r="BS208" s="814">
        <f t="shared" si="266"/>
        <v>720.77900000000011</v>
      </c>
      <c r="BT208" s="814">
        <f t="shared" si="266"/>
        <v>841.09899999999982</v>
      </c>
      <c r="BU208" s="814">
        <f t="shared" si="266"/>
        <v>772.11406950000037</v>
      </c>
      <c r="BV208" s="814">
        <f t="shared" si="266"/>
        <v>783.52023280000049</v>
      </c>
      <c r="BW208" s="814">
        <f t="shared" si="266"/>
        <v>1590.1999189597545</v>
      </c>
      <c r="BX208" s="814">
        <f t="shared" si="266"/>
        <v>3986.9332212597537</v>
      </c>
      <c r="BY208" s="161"/>
      <c r="BZ208" s="161"/>
      <c r="CA208" s="161"/>
      <c r="CB208" s="161"/>
      <c r="CC208" s="161"/>
      <c r="CD208" s="161"/>
      <c r="CE208" s="161"/>
      <c r="CF208" s="161"/>
      <c r="CG208" s="161"/>
      <c r="CH208" s="161"/>
      <c r="CI208" s="161"/>
      <c r="CJ208" s="161"/>
      <c r="CK208" s="161"/>
      <c r="CL208" s="161"/>
      <c r="CM208" s="161"/>
      <c r="CN208" s="161"/>
      <c r="CO208" s="161"/>
      <c r="CP208" s="161"/>
      <c r="CQ208" s="161"/>
      <c r="CR208" s="161"/>
      <c r="CS208" s="161"/>
      <c r="CT208" s="161"/>
      <c r="CU208" s="161"/>
      <c r="CV208" s="161"/>
      <c r="CW208" s="161"/>
      <c r="CX208" s="161"/>
      <c r="CY208" s="161"/>
      <c r="CZ208" s="161"/>
      <c r="DA208" s="161"/>
      <c r="DB208" s="161"/>
      <c r="DC208" s="161"/>
      <c r="DD208" s="161"/>
      <c r="DE208" s="161"/>
      <c r="DF208" s="161"/>
      <c r="DG208" s="161"/>
      <c r="DH208" s="161"/>
      <c r="DI208" s="161"/>
      <c r="DJ208" s="161"/>
      <c r="DK208" s="177"/>
      <c r="DL208" s="177"/>
      <c r="DM208" s="177"/>
      <c r="DN208" s="177"/>
      <c r="DO208" s="177"/>
      <c r="DP208" s="177"/>
      <c r="DQ208" s="177"/>
      <c r="DR208" s="177"/>
      <c r="DS208" s="177"/>
      <c r="DT208" s="177"/>
      <c r="DU208" s="177"/>
      <c r="DV208" s="177"/>
      <c r="DW208" s="177"/>
      <c r="DX208" s="177"/>
      <c r="DY208" s="177"/>
      <c r="DZ208" s="177"/>
      <c r="EA208" s="177"/>
      <c r="EB208" s="808"/>
      <c r="EC208" s="808"/>
      <c r="ED208" s="808"/>
      <c r="EF208" s="161"/>
      <c r="EH208" s="161"/>
      <c r="EM208" s="161"/>
      <c r="EN208" s="161"/>
      <c r="EO208" s="161"/>
      <c r="EP208" s="161"/>
      <c r="FL208" s="263">
        <v>1392.9112278479997</v>
      </c>
      <c r="FM208" s="263">
        <v>1119.2871330764997</v>
      </c>
      <c r="FN208" s="263">
        <v>758.66394786399997</v>
      </c>
      <c r="FO208" s="433">
        <v>543.52644437445406</v>
      </c>
      <c r="FP208" s="161"/>
      <c r="FQ208" s="161"/>
      <c r="FR208" s="430"/>
      <c r="FS208" s="643">
        <v>1040</v>
      </c>
      <c r="FT208" s="639"/>
      <c r="FU208" s="704">
        <v>1020</v>
      </c>
      <c r="FV208" s="667"/>
      <c r="FW208" s="682">
        <v>1030.0516670375885</v>
      </c>
      <c r="FX208" s="667"/>
      <c r="FY208" s="760">
        <v>767.38713250000092</v>
      </c>
      <c r="FZ208" s="747"/>
      <c r="GA208" s="843">
        <f>GA202-GA204+GA207</f>
        <v>692.01939000000039</v>
      </c>
      <c r="GB208" s="843">
        <f>GB202-GB204+GB207</f>
        <v>649.86957190605267</v>
      </c>
      <c r="GC208" s="808"/>
      <c r="GD208" s="784"/>
      <c r="GE208" s="808"/>
    </row>
    <row r="209" spans="1:187">
      <c r="A209" s="161"/>
      <c r="B209" s="161" t="s">
        <v>439</v>
      </c>
      <c r="C209" s="161"/>
      <c r="D209" s="161"/>
      <c r="E209" s="161"/>
      <c r="F209" s="161"/>
      <c r="G209" s="161"/>
      <c r="H209" s="161"/>
      <c r="I209" s="161"/>
      <c r="J209" s="161"/>
      <c r="K209" s="161"/>
      <c r="L209" s="161"/>
      <c r="M209" s="161"/>
      <c r="N209" s="161"/>
      <c r="O209" s="161"/>
      <c r="P209" s="161"/>
      <c r="Q209" s="161"/>
      <c r="R209" s="161"/>
      <c r="S209" s="161"/>
      <c r="T209" s="161"/>
      <c r="U209" s="161"/>
      <c r="V209" s="161"/>
      <c r="W209" s="161"/>
      <c r="X209" s="161"/>
      <c r="Y209" s="161"/>
      <c r="Z209" s="161"/>
      <c r="AA209" s="161"/>
      <c r="AB209" s="161"/>
      <c r="AC209" s="161"/>
      <c r="AD209" s="161"/>
      <c r="AE209" s="161"/>
      <c r="AF209" s="161"/>
      <c r="AG209" s="161"/>
      <c r="AH209" s="161"/>
      <c r="AI209" s="161"/>
      <c r="AJ209" s="161"/>
      <c r="AK209" s="161"/>
      <c r="AL209" s="161"/>
      <c r="AM209" s="161"/>
      <c r="AN209" s="161"/>
      <c r="AO209" s="161"/>
      <c r="AP209" s="161"/>
      <c r="AQ209" s="161"/>
      <c r="AR209" s="161"/>
      <c r="AS209" s="161"/>
      <c r="AT209" s="161"/>
      <c r="AU209" s="161"/>
      <c r="AV209" s="161"/>
      <c r="AW209" s="161"/>
      <c r="AX209" s="161"/>
      <c r="AY209" s="161"/>
      <c r="AZ209" s="161"/>
      <c r="BA209" s="161"/>
      <c r="BB209" s="161"/>
      <c r="BC209" s="161"/>
      <c r="BD209" s="161"/>
      <c r="BE209" s="161"/>
      <c r="BF209" s="161"/>
      <c r="BG209" s="161"/>
      <c r="BH209" s="161"/>
      <c r="BI209" s="161"/>
      <c r="BJ209" s="161"/>
      <c r="BK209" s="161"/>
      <c r="BL209" s="986">
        <f t="shared" ref="BL209:BW209" si="267">BL208/BH208-1</f>
        <v>0.10401887988551484</v>
      </c>
      <c r="BM209" s="986">
        <f t="shared" si="267"/>
        <v>-0.34163935635235543</v>
      </c>
      <c r="BN209" s="986">
        <f t="shared" si="267"/>
        <v>-5.847102421690642E-2</v>
      </c>
      <c r="BO209" s="986">
        <f t="shared" si="267"/>
        <v>-0.1916036059951759</v>
      </c>
      <c r="BP209" s="986">
        <f t="shared" si="267"/>
        <v>-0.17758602261796164</v>
      </c>
      <c r="BQ209" s="986">
        <f t="shared" si="267"/>
        <v>0.3436292287442575</v>
      </c>
      <c r="BR209" s="986">
        <f t="shared" si="267"/>
        <v>0.25500543721614544</v>
      </c>
      <c r="BS209" s="986">
        <f t="shared" si="267"/>
        <v>0.37611808078629005</v>
      </c>
      <c r="BT209" s="986">
        <f t="shared" si="267"/>
        <v>0.16287130423962504</v>
      </c>
      <c r="BU209" s="986">
        <f t="shared" si="267"/>
        <v>5.8113099277934399E-3</v>
      </c>
      <c r="BV209" s="986">
        <f t="shared" si="267"/>
        <v>0.2479934389255587</v>
      </c>
      <c r="BW209" s="986">
        <f t="shared" si="267"/>
        <v>1.2062239867695288</v>
      </c>
      <c r="BX209" s="161"/>
      <c r="BY209" s="161"/>
      <c r="BZ209" s="161"/>
      <c r="CA209" s="161"/>
      <c r="CB209" s="161"/>
      <c r="CC209" s="161"/>
      <c r="CD209" s="161"/>
      <c r="CE209" s="161"/>
      <c r="CF209" s="161"/>
      <c r="CG209" s="161"/>
      <c r="CH209" s="161"/>
      <c r="CI209" s="161"/>
      <c r="CJ209" s="161"/>
      <c r="CK209" s="161"/>
      <c r="CL209" s="161"/>
      <c r="CM209" s="161"/>
      <c r="CN209" s="161"/>
      <c r="CO209" s="161"/>
      <c r="CP209" s="161"/>
      <c r="CQ209" s="161"/>
      <c r="CR209" s="161"/>
      <c r="CS209" s="161"/>
      <c r="CT209" s="161"/>
      <c r="CU209" s="161"/>
      <c r="CV209" s="161"/>
      <c r="CW209" s="161"/>
      <c r="CX209" s="161"/>
      <c r="CY209" s="161"/>
      <c r="CZ209" s="161"/>
      <c r="DA209" s="161"/>
      <c r="DB209" s="161"/>
      <c r="DC209" s="161"/>
      <c r="DD209" s="161"/>
      <c r="DE209" s="161"/>
      <c r="DF209" s="161"/>
      <c r="DG209" s="161"/>
      <c r="DH209" s="161"/>
      <c r="DI209" s="161"/>
      <c r="DJ209" s="161"/>
      <c r="DK209" s="177"/>
      <c r="DL209" s="177"/>
      <c r="DM209" s="177"/>
      <c r="DN209" s="177"/>
      <c r="DO209" s="177"/>
      <c r="DP209" s="177"/>
      <c r="DQ209" s="177"/>
      <c r="DR209" s="177"/>
      <c r="DS209" s="177"/>
      <c r="DT209" s="177"/>
      <c r="DU209" s="177"/>
      <c r="DV209" s="177"/>
      <c r="DW209" s="177"/>
      <c r="DX209" s="177"/>
      <c r="DY209" s="177"/>
      <c r="DZ209" s="177"/>
      <c r="EA209" s="177"/>
      <c r="EB209" s="177"/>
      <c r="EC209" s="177"/>
      <c r="ED209" s="177"/>
      <c r="EF209" s="161"/>
      <c r="EH209" s="161"/>
      <c r="EM209" s="161"/>
      <c r="EN209" s="161"/>
      <c r="EO209" s="161"/>
      <c r="EP209" s="161"/>
      <c r="FL209" s="161"/>
      <c r="FM209" s="161"/>
      <c r="FN209" s="161"/>
      <c r="FO209" s="161"/>
      <c r="FP209" s="161"/>
      <c r="FQ209" s="161"/>
      <c r="FR209" s="430"/>
      <c r="FS209" s="639"/>
      <c r="FT209" s="639"/>
      <c r="FU209" s="161"/>
      <c r="FV209" s="667"/>
      <c r="FW209" s="667"/>
      <c r="FX209" s="667"/>
      <c r="FY209" s="161"/>
      <c r="FZ209" s="161"/>
      <c r="GA209" s="161"/>
      <c r="GB209" s="161"/>
      <c r="GC209" s="177"/>
      <c r="GD209" s="161"/>
      <c r="GE209" s="177"/>
    </row>
    <row r="210" spans="1:187">
      <c r="A210" s="161"/>
      <c r="B210" s="161" t="s">
        <v>513</v>
      </c>
      <c r="C210" s="161"/>
      <c r="D210" s="161"/>
      <c r="E210" s="161"/>
      <c r="F210" s="161"/>
      <c r="G210" s="161"/>
      <c r="H210" s="161"/>
      <c r="I210" s="161"/>
      <c r="J210" s="161"/>
      <c r="K210" s="161"/>
      <c r="L210" s="161"/>
      <c r="M210" s="161"/>
      <c r="N210" s="161"/>
      <c r="O210" s="161"/>
      <c r="P210" s="161"/>
      <c r="Q210" s="161"/>
      <c r="R210" s="161"/>
      <c r="S210" s="161"/>
      <c r="T210" s="307"/>
      <c r="U210" s="307"/>
      <c r="V210" s="307"/>
      <c r="W210" s="307"/>
      <c r="X210" s="307">
        <f t="shared" ref="X210:BD210" si="268">X208-X199</f>
        <v>566.29999999999995</v>
      </c>
      <c r="Y210" s="307">
        <f t="shared" si="268"/>
        <v>526.29999999999995</v>
      </c>
      <c r="Z210" s="307">
        <f t="shared" si="268"/>
        <v>569.9</v>
      </c>
      <c r="AA210" s="307">
        <f t="shared" si="268"/>
        <v>564</v>
      </c>
      <c r="AB210" s="307">
        <f t="shared" si="268"/>
        <v>719.30000000000007</v>
      </c>
      <c r="AC210" s="307">
        <f t="shared" si="268"/>
        <v>600.70100000000002</v>
      </c>
      <c r="AD210" s="307">
        <f t="shared" si="268"/>
        <v>582.69999999999993</v>
      </c>
      <c r="AE210" s="307">
        <f t="shared" si="268"/>
        <v>787.96199999999988</v>
      </c>
      <c r="AF210" s="307">
        <f t="shared" si="268"/>
        <v>1002.4000000000001</v>
      </c>
      <c r="AG210" s="307">
        <f t="shared" si="268"/>
        <v>814.95800000000008</v>
      </c>
      <c r="AH210" s="307">
        <f t="shared" si="268"/>
        <v>779.56099999999992</v>
      </c>
      <c r="AI210" s="307">
        <f t="shared" si="268"/>
        <v>986.63099999999986</v>
      </c>
      <c r="AJ210" s="307">
        <f t="shared" si="268"/>
        <v>1043.9009999999996</v>
      </c>
      <c r="AK210" s="307">
        <f t="shared" si="268"/>
        <v>1013.6709999999999</v>
      </c>
      <c r="AL210" s="307">
        <f t="shared" si="268"/>
        <v>951.90200000000004</v>
      </c>
      <c r="AM210" s="307">
        <f t="shared" si="268"/>
        <v>1036.8429999999998</v>
      </c>
      <c r="AN210" s="307">
        <f t="shared" si="268"/>
        <v>1139.5349999999999</v>
      </c>
      <c r="AO210" s="307">
        <f t="shared" si="268"/>
        <v>1217.9679999999998</v>
      </c>
      <c r="AP210" s="307">
        <f t="shared" si="268"/>
        <v>1100.1869999999999</v>
      </c>
      <c r="AQ210" s="307">
        <f t="shared" si="268"/>
        <v>999.69999999999982</v>
      </c>
      <c r="AR210" s="307">
        <f t="shared" si="268"/>
        <v>1179.261</v>
      </c>
      <c r="AS210" s="307">
        <f t="shared" si="268"/>
        <v>1192.5609999999999</v>
      </c>
      <c r="AT210" s="307">
        <f t="shared" si="268"/>
        <v>973.29599999999982</v>
      </c>
      <c r="AU210" s="307">
        <f t="shared" si="268"/>
        <v>865.38800000000026</v>
      </c>
      <c r="AV210" s="307">
        <f t="shared" si="268"/>
        <v>1311.6410000000001</v>
      </c>
      <c r="AW210" s="307">
        <f t="shared" si="268"/>
        <v>1017.3450000000001</v>
      </c>
      <c r="AX210" s="307">
        <f t="shared" si="268"/>
        <v>1052.2320000000002</v>
      </c>
      <c r="AY210" s="307">
        <f t="shared" si="268"/>
        <v>914.25700000000006</v>
      </c>
      <c r="AZ210" s="307">
        <f t="shared" si="268"/>
        <v>1091.9789999999998</v>
      </c>
      <c r="BA210" s="307">
        <f t="shared" si="268"/>
        <v>1123</v>
      </c>
      <c r="BB210" s="307">
        <f t="shared" si="268"/>
        <v>915.81199999999967</v>
      </c>
      <c r="BC210" s="307">
        <f t="shared" si="268"/>
        <v>1118.8679999999999</v>
      </c>
      <c r="BD210" s="307">
        <f t="shared" si="268"/>
        <v>1194.0799999999997</v>
      </c>
      <c r="BE210" s="307">
        <f t="shared" ref="BE210:BK210" si="269">BE208-BE199</f>
        <v>1016.5439999999998</v>
      </c>
      <c r="BF210" s="307">
        <f t="shared" si="269"/>
        <v>752.86999999999989</v>
      </c>
      <c r="BG210" s="307">
        <f t="shared" si="269"/>
        <v>586.37899999999968</v>
      </c>
      <c r="BH210" s="307">
        <f t="shared" si="269"/>
        <v>782.8190000000003</v>
      </c>
      <c r="BI210" s="307">
        <f t="shared" si="269"/>
        <v>774.154</v>
      </c>
      <c r="BJ210" s="307">
        <f t="shared" si="269"/>
        <v>511.92599999999965</v>
      </c>
      <c r="BK210" s="307">
        <f t="shared" si="269"/>
        <v>622.94299999999998</v>
      </c>
      <c r="BL210" s="307">
        <f>BL208-BO199</f>
        <v>873.95499999999981</v>
      </c>
      <c r="BM210" s="307">
        <f t="shared" ref="BM210:BX210" si="270">BM208-BM199</f>
        <v>561.59100000000058</v>
      </c>
      <c r="BN210" s="307">
        <f t="shared" si="270"/>
        <v>450.15400000000034</v>
      </c>
      <c r="BO210" s="307">
        <f t="shared" si="270"/>
        <v>518.25399999999956</v>
      </c>
      <c r="BP210" s="307">
        <f t="shared" si="270"/>
        <v>694.11100000000022</v>
      </c>
      <c r="BQ210" s="307">
        <f t="shared" si="270"/>
        <v>731.40999999999985</v>
      </c>
      <c r="BR210" s="307">
        <f t="shared" si="270"/>
        <v>627.28800000000047</v>
      </c>
      <c r="BS210" s="307">
        <f t="shared" si="270"/>
        <v>739.5390000000001</v>
      </c>
      <c r="BT210" s="307">
        <f t="shared" si="270"/>
        <v>818.14699999999982</v>
      </c>
      <c r="BU210" s="307">
        <f t="shared" si="270"/>
        <v>772.11406950000037</v>
      </c>
      <c r="BV210" s="307">
        <f t="shared" si="270"/>
        <v>783.52023280000049</v>
      </c>
      <c r="BW210" s="307">
        <f t="shared" si="270"/>
        <v>1590.1519189597545</v>
      </c>
      <c r="BX210" s="307">
        <f t="shared" si="270"/>
        <v>3963.9332212597537</v>
      </c>
      <c r="BY210" s="161"/>
      <c r="BZ210" s="161"/>
      <c r="CA210" s="161"/>
      <c r="CB210" s="161"/>
      <c r="CC210" s="161"/>
      <c r="CD210" s="161"/>
      <c r="CE210" s="161"/>
      <c r="CF210" s="161"/>
      <c r="CG210" s="161"/>
      <c r="CH210" s="161"/>
      <c r="CI210" s="161"/>
      <c r="CJ210" s="161"/>
      <c r="CK210" s="161"/>
      <c r="CL210" s="161"/>
      <c r="CM210" s="161"/>
      <c r="CN210" s="161"/>
      <c r="CO210" s="161"/>
      <c r="CP210" s="161"/>
      <c r="CQ210" s="161"/>
      <c r="CR210" s="161"/>
      <c r="CS210" s="161"/>
      <c r="CT210" s="161"/>
      <c r="CU210" s="161"/>
      <c r="CV210" s="161"/>
      <c r="CW210" s="161"/>
      <c r="CX210" s="161"/>
      <c r="CY210" s="161"/>
      <c r="CZ210" s="161"/>
      <c r="DA210" s="161"/>
      <c r="DB210" s="161"/>
      <c r="DC210" s="161"/>
      <c r="DD210" s="161"/>
      <c r="DE210" s="161"/>
      <c r="DF210" s="161"/>
      <c r="DG210" s="161"/>
      <c r="DH210" s="161"/>
      <c r="DI210" s="161"/>
      <c r="DJ210" s="161"/>
      <c r="DK210" s="177"/>
      <c r="DL210" s="177"/>
      <c r="DM210" s="177"/>
      <c r="DN210" s="177"/>
      <c r="DO210" s="177"/>
      <c r="DP210" s="177"/>
      <c r="DQ210" s="177"/>
      <c r="DR210" s="177"/>
      <c r="DS210" s="177"/>
      <c r="DT210" s="177"/>
      <c r="DU210" s="177"/>
      <c r="DV210" s="177"/>
      <c r="DW210" s="177"/>
      <c r="DX210" s="177"/>
      <c r="DY210" s="177"/>
      <c r="DZ210" s="177"/>
      <c r="EA210" s="177"/>
      <c r="EB210" s="808"/>
      <c r="EC210" s="808"/>
      <c r="ED210" s="808"/>
      <c r="EF210" s="161"/>
      <c r="EH210" s="161"/>
      <c r="EM210" s="161"/>
      <c r="EN210" s="161"/>
      <c r="EO210" s="161"/>
      <c r="EP210" s="161"/>
      <c r="FL210" s="263">
        <v>1392.9112278479997</v>
      </c>
      <c r="FM210" s="263">
        <v>1119.2871330764997</v>
      </c>
      <c r="FN210" s="263">
        <v>758.66394786399997</v>
      </c>
      <c r="FO210" s="433">
        <v>520.36944437445402</v>
      </c>
      <c r="FP210" s="161"/>
      <c r="FQ210" s="161"/>
      <c r="FR210" s="430"/>
      <c r="FS210" s="643">
        <v>1040</v>
      </c>
      <c r="FT210" s="639"/>
      <c r="FU210" s="670">
        <v>1020</v>
      </c>
      <c r="FV210" s="667"/>
      <c r="FW210" s="670">
        <v>1030.0516670375885</v>
      </c>
      <c r="FX210" s="667"/>
      <c r="FY210" s="751">
        <v>767.38713250000092</v>
      </c>
      <c r="FZ210" s="747"/>
      <c r="GA210" s="784">
        <f>GA208-GA199</f>
        <v>662.01939000000039</v>
      </c>
      <c r="GB210" s="784">
        <f>GB208-GB199</f>
        <v>616.0930339127143</v>
      </c>
      <c r="GC210" s="808"/>
      <c r="GD210" s="784"/>
      <c r="GE210" s="808"/>
    </row>
    <row r="212" spans="1:187">
      <c r="A212" s="161"/>
      <c r="B212" s="161"/>
      <c r="C212" s="161"/>
      <c r="D212" s="161"/>
      <c r="E212" s="161"/>
      <c r="F212" s="161"/>
      <c r="G212" s="161"/>
      <c r="H212" s="161"/>
      <c r="I212" s="161"/>
      <c r="J212" s="161"/>
      <c r="K212" s="161"/>
      <c r="L212" s="161"/>
      <c r="M212" s="161"/>
      <c r="N212" s="161"/>
      <c r="O212" s="161"/>
      <c r="P212" s="161"/>
      <c r="Q212" s="161"/>
      <c r="R212" s="161"/>
      <c r="S212" s="161"/>
      <c r="T212" s="161"/>
      <c r="U212" s="161"/>
      <c r="V212" s="161"/>
      <c r="W212" s="161"/>
      <c r="X212" s="161"/>
      <c r="Y212" s="161"/>
      <c r="Z212" s="161"/>
      <c r="AA212" s="161"/>
      <c r="AB212" s="161"/>
      <c r="AC212" s="161"/>
      <c r="AD212" s="161"/>
      <c r="AE212" s="161"/>
      <c r="AF212" s="161"/>
      <c r="AG212" s="161"/>
      <c r="AH212" s="161"/>
      <c r="AI212" s="161"/>
      <c r="AJ212" s="161"/>
      <c r="AK212" s="161"/>
      <c r="AL212" s="161"/>
      <c r="AM212" s="161"/>
      <c r="AN212" s="161"/>
      <c r="AO212" s="161"/>
      <c r="AP212" s="161"/>
      <c r="AQ212" s="161"/>
      <c r="AR212" s="161"/>
      <c r="AS212" s="161"/>
      <c r="AT212" s="161"/>
      <c r="AU212" s="161"/>
      <c r="AV212" s="161"/>
      <c r="AW212" s="161"/>
      <c r="AX212" s="161"/>
      <c r="AY212" s="161"/>
      <c r="AZ212" s="161"/>
      <c r="BA212" s="161"/>
      <c r="BB212" s="161"/>
      <c r="BC212" s="161"/>
      <c r="BD212" s="161"/>
      <c r="BE212" s="161"/>
      <c r="BF212" s="161"/>
      <c r="BG212" s="161"/>
      <c r="BH212" s="161"/>
      <c r="BI212" s="161"/>
      <c r="BJ212" s="161"/>
      <c r="BK212" s="161"/>
      <c r="BL212" s="161"/>
      <c r="BM212" s="161"/>
      <c r="BN212" s="161"/>
      <c r="BO212" s="161"/>
      <c r="BP212" s="161"/>
      <c r="BQ212" s="161"/>
      <c r="BR212" s="161"/>
      <c r="BS212" s="161"/>
      <c r="BT212" s="161"/>
      <c r="BU212" s="161"/>
      <c r="BV212" s="161"/>
      <c r="BW212" s="161"/>
      <c r="BX212" s="161"/>
      <c r="BY212" s="161"/>
      <c r="BZ212" s="161"/>
      <c r="CA212" s="161"/>
      <c r="CB212" s="161"/>
      <c r="CC212" s="161"/>
      <c r="CD212" s="161"/>
      <c r="CE212" s="161"/>
      <c r="CF212" s="161"/>
      <c r="CG212" s="161"/>
      <c r="CH212" s="161"/>
      <c r="CI212" s="161"/>
      <c r="CJ212" s="161"/>
      <c r="CK212" s="161"/>
      <c r="CL212" s="161"/>
      <c r="CM212" s="161"/>
      <c r="CN212" s="161"/>
      <c r="CO212" s="161"/>
      <c r="CP212" s="161"/>
      <c r="CQ212" s="161"/>
      <c r="CR212" s="161"/>
      <c r="CS212" s="161"/>
      <c r="CT212" s="161"/>
      <c r="CU212" s="161"/>
      <c r="CV212" s="161"/>
      <c r="CW212" s="161"/>
      <c r="CX212" s="161"/>
      <c r="CY212" s="161"/>
      <c r="CZ212" s="161"/>
      <c r="DA212" s="161"/>
      <c r="DB212" s="161"/>
      <c r="DC212" s="161"/>
      <c r="DD212" s="161"/>
      <c r="DE212" s="161"/>
      <c r="DF212" s="161"/>
      <c r="DG212" s="161"/>
      <c r="DH212" s="161"/>
      <c r="DI212" s="161"/>
      <c r="DJ212" s="161"/>
      <c r="DK212" s="177"/>
      <c r="DL212" s="177"/>
      <c r="DM212" s="177"/>
      <c r="DN212" s="177"/>
      <c r="DO212" s="177"/>
      <c r="DP212" s="177"/>
      <c r="DQ212" s="177"/>
      <c r="DR212" s="177"/>
      <c r="DS212" s="177"/>
      <c r="DT212" s="177"/>
      <c r="DU212" s="177"/>
      <c r="DV212" s="177"/>
      <c r="DW212" s="177"/>
      <c r="DX212" s="177"/>
      <c r="DY212" s="177"/>
      <c r="DZ212" s="177"/>
      <c r="EA212" s="177"/>
      <c r="EB212" s="177"/>
      <c r="EC212" s="177"/>
      <c r="ED212" s="177"/>
      <c r="EF212" s="161"/>
      <c r="EH212" s="161"/>
      <c r="EM212" s="161"/>
      <c r="EN212" s="161"/>
      <c r="EO212" s="161"/>
      <c r="EP212" s="161"/>
      <c r="FL212" s="161"/>
      <c r="FM212" s="161"/>
      <c r="FN212" s="161"/>
      <c r="FO212" s="161"/>
      <c r="FP212" s="161"/>
      <c r="FQ212" s="161"/>
      <c r="FR212" s="430"/>
      <c r="FS212" s="639"/>
      <c r="FT212" s="639"/>
      <c r="FU212" s="161"/>
      <c r="FV212" s="667"/>
      <c r="FW212" s="667"/>
      <c r="FX212" s="667"/>
      <c r="FY212" s="161"/>
      <c r="FZ212" s="161"/>
      <c r="GA212" s="161"/>
      <c r="GB212" s="161"/>
      <c r="GC212" s="177"/>
      <c r="GD212" s="161"/>
      <c r="GE212" s="177"/>
    </row>
    <row r="213" spans="1:187">
      <c r="A213" s="161"/>
      <c r="B213" s="161"/>
      <c r="C213" s="161"/>
      <c r="D213" s="161"/>
      <c r="E213" s="161"/>
      <c r="F213" s="161"/>
      <c r="G213" s="161"/>
      <c r="H213" s="161"/>
      <c r="I213" s="161"/>
      <c r="J213" s="161"/>
      <c r="K213" s="161"/>
      <c r="L213" s="161"/>
      <c r="M213" s="161"/>
      <c r="N213" s="161"/>
      <c r="O213" s="161"/>
      <c r="P213" s="161"/>
      <c r="Q213" s="161"/>
      <c r="R213" s="161"/>
      <c r="S213" s="161"/>
      <c r="T213" s="161"/>
      <c r="U213" s="161"/>
      <c r="V213" s="161"/>
      <c r="W213" s="161"/>
      <c r="X213" s="161"/>
      <c r="Y213" s="161"/>
      <c r="Z213" s="161"/>
      <c r="AA213" s="161"/>
      <c r="AB213" s="161"/>
      <c r="AC213" s="161"/>
      <c r="AD213" s="161"/>
      <c r="AE213" s="161"/>
      <c r="AF213" s="161"/>
      <c r="AG213" s="161"/>
      <c r="AH213" s="161"/>
      <c r="AI213" s="161"/>
      <c r="AJ213" s="161"/>
      <c r="AK213" s="161"/>
      <c r="AL213" s="161"/>
      <c r="AM213" s="161"/>
      <c r="AN213" s="161"/>
      <c r="AO213" s="161"/>
      <c r="AP213" s="161"/>
      <c r="AQ213" s="161"/>
      <c r="AR213" s="161"/>
      <c r="AS213" s="161"/>
      <c r="AT213" s="161"/>
      <c r="AU213" s="161"/>
      <c r="AV213" s="161"/>
      <c r="AW213" s="161"/>
      <c r="AX213" s="161"/>
      <c r="AY213" s="161"/>
      <c r="AZ213" s="161"/>
      <c r="BA213" s="161"/>
      <c r="BB213" s="161"/>
      <c r="BC213" s="161"/>
      <c r="BD213" s="161"/>
      <c r="BE213" s="266"/>
      <c r="BF213" s="266"/>
      <c r="BG213" s="266"/>
      <c r="BH213" s="266"/>
      <c r="BI213" s="266"/>
      <c r="BJ213" s="266"/>
      <c r="BK213" s="266"/>
      <c r="BL213" s="266"/>
      <c r="BM213" s="266"/>
      <c r="BN213" s="266"/>
      <c r="BO213" s="266"/>
      <c r="BP213" s="266"/>
      <c r="BQ213" s="266"/>
      <c r="BR213" s="266"/>
      <c r="BS213" s="266"/>
      <c r="BT213" s="266"/>
      <c r="BU213" s="266"/>
      <c r="BV213" s="266"/>
      <c r="BW213" s="266"/>
      <c r="BX213" s="266"/>
      <c r="BY213" s="161"/>
      <c r="BZ213" s="161"/>
      <c r="CA213" s="161"/>
      <c r="CB213" s="161"/>
      <c r="CC213" s="161"/>
      <c r="CD213" s="161"/>
      <c r="CE213" s="161"/>
      <c r="CF213" s="161"/>
      <c r="CG213" s="161"/>
      <c r="CH213" s="161"/>
      <c r="CI213" s="161"/>
      <c r="CJ213" s="161"/>
      <c r="CK213" s="161"/>
      <c r="CL213" s="161"/>
      <c r="CM213" s="161"/>
      <c r="CN213" s="161"/>
      <c r="CO213" s="161"/>
      <c r="CP213" s="161"/>
      <c r="CQ213" s="161"/>
      <c r="CR213" s="161"/>
      <c r="CS213" s="161"/>
      <c r="CT213" s="161"/>
      <c r="CU213" s="161"/>
      <c r="CV213" s="161"/>
      <c r="CW213" s="161"/>
      <c r="CX213" s="161"/>
      <c r="CY213" s="161"/>
      <c r="CZ213" s="161"/>
      <c r="DA213" s="161"/>
      <c r="DB213" s="161"/>
      <c r="DC213" s="161"/>
      <c r="DD213" s="161"/>
      <c r="DE213" s="161"/>
      <c r="DF213" s="161"/>
      <c r="DG213" s="161"/>
      <c r="DH213" s="161"/>
      <c r="DI213" s="161"/>
      <c r="DJ213" s="161"/>
      <c r="DK213" s="177"/>
      <c r="DL213" s="177"/>
      <c r="DM213" s="177"/>
      <c r="DN213" s="177"/>
      <c r="DO213" s="177"/>
      <c r="DP213" s="177"/>
      <c r="DQ213" s="177"/>
      <c r="DR213" s="177"/>
      <c r="DS213" s="177"/>
      <c r="DT213" s="177"/>
      <c r="DU213" s="177"/>
      <c r="DV213" s="177"/>
      <c r="DW213" s="177"/>
      <c r="DX213" s="177"/>
      <c r="DY213" s="177"/>
      <c r="DZ213" s="177"/>
      <c r="EA213" s="177"/>
      <c r="EB213" s="177"/>
      <c r="EC213" s="177"/>
      <c r="ED213" s="177"/>
      <c r="EF213" s="161"/>
      <c r="EH213" s="161"/>
      <c r="EM213" s="161"/>
      <c r="EN213" s="161"/>
      <c r="EO213" s="161"/>
      <c r="EP213" s="161"/>
      <c r="FL213" s="161"/>
      <c r="FM213" s="161"/>
      <c r="FN213" s="161"/>
      <c r="FO213" s="161"/>
      <c r="FP213" s="161"/>
      <c r="FQ213" s="161"/>
      <c r="FR213" s="430"/>
      <c r="FS213" s="639"/>
      <c r="FT213" s="639"/>
      <c r="FU213" s="161"/>
      <c r="FV213" s="667"/>
      <c r="FW213" s="667"/>
      <c r="FX213" s="667"/>
      <c r="FY213" s="161"/>
      <c r="FZ213" s="161"/>
      <c r="GA213" s="161"/>
      <c r="GB213" s="161"/>
      <c r="GC213" s="177"/>
      <c r="GD213" s="161"/>
      <c r="GE213" s="177"/>
    </row>
    <row r="214" spans="1:187">
      <c r="A214" s="161"/>
      <c r="B214" s="161"/>
      <c r="C214" s="161"/>
      <c r="D214" s="161"/>
      <c r="E214" s="161"/>
      <c r="F214" s="161"/>
      <c r="G214" s="161"/>
      <c r="H214" s="161"/>
      <c r="I214" s="161"/>
      <c r="J214" s="161"/>
      <c r="K214" s="161"/>
      <c r="L214" s="161"/>
      <c r="M214" s="161"/>
      <c r="N214" s="161"/>
      <c r="O214" s="161"/>
      <c r="P214" s="161"/>
      <c r="Q214" s="161"/>
      <c r="R214" s="161"/>
      <c r="S214" s="161"/>
      <c r="T214" s="161"/>
      <c r="U214" s="161"/>
      <c r="V214" s="161"/>
      <c r="W214" s="161"/>
      <c r="X214" s="161"/>
      <c r="Y214" s="161"/>
      <c r="Z214" s="161"/>
      <c r="AA214" s="161"/>
      <c r="AB214" s="161"/>
      <c r="AC214" s="161"/>
      <c r="AD214" s="161"/>
      <c r="AE214" s="161"/>
      <c r="AF214" s="161"/>
      <c r="AG214" s="161"/>
      <c r="AH214" s="161"/>
      <c r="AI214" s="161"/>
      <c r="AJ214" s="161"/>
      <c r="AK214" s="161"/>
      <c r="AL214" s="161"/>
      <c r="AM214" s="161"/>
      <c r="AN214" s="161"/>
      <c r="AO214" s="161"/>
      <c r="AP214" s="161"/>
      <c r="AQ214" s="161"/>
      <c r="AR214" s="161"/>
      <c r="AS214" s="161"/>
      <c r="AT214" s="161"/>
      <c r="AU214" s="161"/>
      <c r="AV214" s="161"/>
      <c r="AW214" s="161"/>
      <c r="AX214" s="161"/>
      <c r="AY214" s="161"/>
      <c r="AZ214" s="161"/>
      <c r="BA214" s="161"/>
      <c r="BB214" s="161"/>
      <c r="BC214" s="161"/>
      <c r="BD214" s="161"/>
      <c r="BE214" s="161"/>
      <c r="BF214" s="161"/>
      <c r="BG214" s="161"/>
      <c r="BH214" s="161"/>
      <c r="BI214" s="161"/>
      <c r="BJ214" s="161"/>
      <c r="BK214" s="161"/>
      <c r="BL214" s="161"/>
      <c r="BM214" s="161"/>
      <c r="BN214" s="161"/>
      <c r="BO214" s="161"/>
      <c r="BP214" s="161"/>
      <c r="BQ214" s="161"/>
      <c r="BR214" s="161"/>
      <c r="BS214" s="161"/>
      <c r="BT214" s="161"/>
      <c r="BU214" s="161"/>
      <c r="BV214" s="161"/>
      <c r="BW214" s="161"/>
      <c r="BX214" s="161"/>
      <c r="BY214" s="161"/>
      <c r="BZ214" s="161"/>
      <c r="CA214" s="161"/>
      <c r="CB214" s="161"/>
      <c r="CC214" s="161"/>
      <c r="CD214" s="161"/>
      <c r="CE214" s="161"/>
      <c r="CF214" s="161"/>
      <c r="CG214" s="161"/>
      <c r="CH214" s="161"/>
      <c r="CI214" s="161"/>
      <c r="CJ214" s="161"/>
      <c r="CK214" s="161"/>
      <c r="CL214" s="161"/>
      <c r="CM214" s="161"/>
      <c r="CN214" s="161"/>
      <c r="CO214" s="161"/>
      <c r="CP214" s="161"/>
      <c r="CQ214" s="161"/>
      <c r="CR214" s="161"/>
      <c r="CS214" s="161"/>
      <c r="CT214" s="161"/>
      <c r="CU214" s="161"/>
      <c r="CV214" s="161"/>
      <c r="CW214" s="161"/>
      <c r="CX214" s="161"/>
      <c r="CY214" s="161"/>
      <c r="CZ214" s="161"/>
      <c r="DA214" s="161"/>
      <c r="DB214" s="161"/>
      <c r="DC214" s="161"/>
      <c r="DD214" s="161"/>
      <c r="DE214" s="161"/>
      <c r="DF214" s="161"/>
      <c r="DG214" s="161"/>
      <c r="DH214" s="161"/>
      <c r="DI214" s="161"/>
      <c r="DJ214" s="161"/>
      <c r="DK214" s="177"/>
      <c r="DL214" s="177"/>
      <c r="DM214" s="177"/>
      <c r="DN214" s="177"/>
      <c r="DO214" s="177"/>
      <c r="DP214" s="177"/>
      <c r="DQ214" s="177"/>
      <c r="DR214" s="177"/>
      <c r="DS214" s="177"/>
      <c r="DT214" s="177"/>
      <c r="DU214" s="177"/>
      <c r="DV214" s="177"/>
      <c r="DW214" s="177"/>
      <c r="DX214" s="177"/>
      <c r="DY214" s="177"/>
      <c r="DZ214" s="177"/>
      <c r="EA214" s="177"/>
      <c r="EB214" s="177"/>
      <c r="EC214" s="177"/>
      <c r="ED214" s="177"/>
      <c r="EF214" s="161"/>
      <c r="EH214" s="161"/>
      <c r="EM214" s="161"/>
      <c r="EN214" s="161"/>
      <c r="EO214" s="161"/>
      <c r="EP214" s="161"/>
      <c r="FL214" s="161"/>
      <c r="FM214" s="161"/>
      <c r="FN214" s="161"/>
      <c r="FO214" s="161"/>
      <c r="FP214" s="161"/>
      <c r="FQ214" s="161"/>
      <c r="FR214" s="430"/>
      <c r="FS214" s="639"/>
      <c r="FT214" s="639"/>
      <c r="FU214" s="161"/>
      <c r="FV214" s="667"/>
      <c r="FW214" s="667"/>
      <c r="FX214" s="667"/>
      <c r="FY214" s="161"/>
      <c r="FZ214" s="161"/>
      <c r="GA214" s="161"/>
      <c r="GB214" s="161"/>
      <c r="GC214" s="177"/>
      <c r="GD214" s="161"/>
      <c r="GE214" s="177"/>
    </row>
    <row r="215" spans="1:187">
      <c r="A215" s="161"/>
      <c r="B215" s="161"/>
      <c r="C215" s="161"/>
      <c r="D215" s="161"/>
      <c r="E215" s="161"/>
      <c r="F215" s="161"/>
      <c r="G215" s="161"/>
      <c r="H215" s="161"/>
      <c r="I215" s="161"/>
      <c r="J215" s="161"/>
      <c r="K215" s="161"/>
      <c r="L215" s="161"/>
      <c r="M215" s="161"/>
      <c r="N215" s="161"/>
      <c r="O215" s="161"/>
      <c r="P215" s="161"/>
      <c r="Q215" s="161"/>
      <c r="R215" s="161"/>
      <c r="S215" s="161"/>
      <c r="T215" s="161"/>
      <c r="U215" s="161"/>
      <c r="V215" s="161"/>
      <c r="W215" s="161"/>
      <c r="X215" s="161"/>
      <c r="Y215" s="161"/>
      <c r="Z215" s="161"/>
      <c r="AA215" s="161"/>
      <c r="AB215" s="161"/>
      <c r="AC215" s="161"/>
      <c r="AD215" s="161"/>
      <c r="AE215" s="161"/>
      <c r="AF215" s="161"/>
      <c r="AG215" s="161"/>
      <c r="AH215" s="161"/>
      <c r="AI215" s="161"/>
      <c r="AJ215" s="161"/>
      <c r="AK215" s="161"/>
      <c r="AL215" s="161"/>
      <c r="AM215" s="161"/>
      <c r="AN215" s="161"/>
      <c r="AO215" s="161"/>
      <c r="AP215" s="161"/>
      <c r="AQ215" s="161"/>
      <c r="AR215" s="161"/>
      <c r="AS215" s="161"/>
      <c r="AT215" s="161"/>
      <c r="AU215" s="161"/>
      <c r="AV215" s="161"/>
      <c r="AW215" s="161"/>
      <c r="AX215" s="161"/>
      <c r="AY215" s="161"/>
      <c r="AZ215" s="161"/>
      <c r="BA215" s="161"/>
      <c r="BB215" s="161"/>
      <c r="BC215" s="161"/>
      <c r="BD215" s="161"/>
      <c r="BE215" s="161"/>
      <c r="BF215" s="161"/>
      <c r="BG215" s="161"/>
      <c r="BH215" s="161"/>
      <c r="BI215" s="161"/>
      <c r="BJ215" s="161"/>
      <c r="BK215" s="161"/>
      <c r="BL215" s="161"/>
      <c r="BM215" s="161"/>
      <c r="BN215" s="161"/>
      <c r="BO215" s="161"/>
      <c r="BP215" s="161"/>
      <c r="BQ215" s="161"/>
      <c r="BR215" s="161"/>
      <c r="BS215" s="161"/>
      <c r="BT215" s="161"/>
      <c r="BU215" s="161"/>
      <c r="BV215" s="161"/>
      <c r="BW215" s="161"/>
      <c r="BX215" s="161"/>
      <c r="BY215" s="161"/>
      <c r="BZ215" s="161"/>
      <c r="CA215" s="161"/>
      <c r="CB215" s="161"/>
      <c r="CC215" s="161"/>
      <c r="CD215" s="161"/>
      <c r="CE215" s="161"/>
      <c r="CF215" s="161"/>
      <c r="CG215" s="161"/>
      <c r="CH215" s="161"/>
      <c r="CI215" s="161"/>
      <c r="CJ215" s="161"/>
      <c r="CK215" s="161"/>
      <c r="CL215" s="161"/>
      <c r="CM215" s="161"/>
      <c r="CN215" s="161"/>
      <c r="CO215" s="161"/>
      <c r="CP215" s="161"/>
      <c r="CQ215" s="161"/>
      <c r="CR215" s="161"/>
      <c r="CS215" s="161"/>
      <c r="CT215" s="161"/>
      <c r="CU215" s="161"/>
      <c r="CV215" s="161"/>
      <c r="CW215" s="161"/>
      <c r="CX215" s="161"/>
      <c r="CY215" s="161"/>
      <c r="CZ215" s="161"/>
      <c r="DA215" s="161"/>
      <c r="DB215" s="161"/>
      <c r="DC215" s="161"/>
      <c r="DD215" s="161"/>
      <c r="DE215" s="161"/>
      <c r="DF215" s="161"/>
      <c r="DG215" s="161"/>
      <c r="DH215" s="161"/>
      <c r="DI215" s="161"/>
      <c r="DJ215" s="161"/>
      <c r="DK215" s="177"/>
      <c r="DL215" s="177"/>
      <c r="DM215" s="177"/>
      <c r="DN215" s="177"/>
      <c r="DO215" s="177"/>
      <c r="DP215" s="177"/>
      <c r="DQ215" s="177"/>
      <c r="DR215" s="177"/>
      <c r="DS215" s="177"/>
      <c r="DT215" s="177"/>
      <c r="DU215" s="177"/>
      <c r="DV215" s="177"/>
      <c r="DW215" s="177"/>
      <c r="DX215" s="177"/>
      <c r="DY215" s="177"/>
      <c r="DZ215" s="177"/>
      <c r="EA215" s="177"/>
      <c r="EB215" s="177"/>
      <c r="EC215" s="177"/>
      <c r="ED215" s="177"/>
      <c r="EF215" s="161"/>
      <c r="EH215" s="161"/>
      <c r="EM215" s="161"/>
      <c r="EN215" s="161"/>
      <c r="EO215" s="161"/>
      <c r="EP215" s="161"/>
      <c r="FL215" s="161"/>
      <c r="FM215" s="161"/>
      <c r="FN215" s="161"/>
      <c r="FO215" s="161"/>
      <c r="FP215" s="161"/>
      <c r="FQ215" s="161"/>
      <c r="FR215" s="430"/>
      <c r="FS215" s="639"/>
      <c r="FT215" s="639"/>
      <c r="FU215" s="161"/>
      <c r="FV215" s="667"/>
      <c r="FW215" s="667"/>
      <c r="FX215" s="667"/>
      <c r="FY215" s="161"/>
      <c r="FZ215" s="161"/>
      <c r="GA215" s="161"/>
      <c r="GB215" s="161"/>
      <c r="GC215" s="177"/>
      <c r="GD215" s="161"/>
      <c r="GE215" s="177"/>
    </row>
    <row r="216" spans="1:187">
      <c r="A216" s="161"/>
      <c r="B216" s="161"/>
      <c r="C216" s="161"/>
      <c r="D216" s="161"/>
      <c r="E216" s="161"/>
      <c r="F216" s="161"/>
      <c r="G216" s="161"/>
      <c r="H216" s="161"/>
      <c r="I216" s="161"/>
      <c r="J216" s="161"/>
      <c r="K216" s="161"/>
      <c r="L216" s="161"/>
      <c r="M216" s="161"/>
      <c r="N216" s="161"/>
      <c r="O216" s="161"/>
      <c r="P216" s="161"/>
      <c r="Q216" s="161"/>
      <c r="R216" s="161"/>
      <c r="S216" s="161"/>
      <c r="T216" s="161"/>
      <c r="U216" s="161"/>
      <c r="V216" s="161"/>
      <c r="W216" s="161"/>
      <c r="X216" s="161"/>
      <c r="Y216" s="161"/>
      <c r="Z216" s="161"/>
      <c r="AA216" s="161"/>
      <c r="AB216" s="161"/>
      <c r="AC216" s="161"/>
      <c r="AD216" s="161"/>
      <c r="AE216" s="161"/>
      <c r="AF216" s="161"/>
      <c r="AG216" s="161"/>
      <c r="AH216" s="161"/>
      <c r="AI216" s="161"/>
      <c r="AJ216" s="161"/>
      <c r="AK216" s="161"/>
      <c r="AL216" s="161"/>
      <c r="AM216" s="161"/>
      <c r="AN216" s="161"/>
      <c r="AO216" s="161"/>
      <c r="AP216" s="161"/>
      <c r="AQ216" s="161"/>
      <c r="AR216" s="161"/>
      <c r="AS216" s="161"/>
      <c r="AT216" s="161"/>
      <c r="AU216" s="161"/>
      <c r="AV216" s="161"/>
      <c r="AW216" s="161"/>
      <c r="AX216" s="161"/>
      <c r="AY216" s="161"/>
      <c r="AZ216" s="161"/>
      <c r="BA216" s="161"/>
      <c r="BB216" s="161"/>
      <c r="BC216" s="161"/>
      <c r="BD216" s="161"/>
      <c r="BE216" s="161"/>
      <c r="BF216" s="161"/>
      <c r="BG216" s="161"/>
      <c r="BH216" s="161"/>
      <c r="BI216" s="161"/>
      <c r="BJ216" s="161"/>
      <c r="BK216" s="161"/>
      <c r="BL216" s="161"/>
      <c r="BM216" s="161"/>
      <c r="BN216" s="161"/>
      <c r="BO216" s="161"/>
      <c r="BP216" s="161"/>
      <c r="BQ216" s="161"/>
      <c r="BR216" s="161"/>
      <c r="BS216" s="161"/>
      <c r="BT216" s="161"/>
      <c r="BU216" s="161"/>
      <c r="BV216" s="161"/>
      <c r="BW216" s="161"/>
      <c r="BX216" s="161"/>
      <c r="BY216" s="161"/>
      <c r="BZ216" s="161"/>
      <c r="CA216" s="161"/>
      <c r="CB216" s="161"/>
      <c r="CC216" s="161"/>
      <c r="CD216" s="161"/>
      <c r="CE216" s="161"/>
      <c r="CF216" s="161"/>
      <c r="CG216" s="161"/>
      <c r="CH216" s="161"/>
      <c r="CI216" s="161"/>
      <c r="CJ216" s="161"/>
      <c r="CK216" s="161"/>
      <c r="CL216" s="161"/>
      <c r="CM216" s="161"/>
      <c r="CN216" s="161"/>
      <c r="CO216" s="161"/>
      <c r="CP216" s="161"/>
      <c r="CQ216" s="161"/>
      <c r="CR216" s="161"/>
      <c r="CS216" s="161"/>
      <c r="CT216" s="161"/>
      <c r="CU216" s="161"/>
      <c r="CV216" s="161"/>
      <c r="CW216" s="161"/>
      <c r="CX216" s="161"/>
      <c r="CY216" s="161"/>
      <c r="CZ216" s="161"/>
      <c r="DA216" s="161"/>
      <c r="DB216" s="161"/>
      <c r="DC216" s="161"/>
      <c r="DD216" s="161"/>
      <c r="DE216" s="161"/>
      <c r="DF216" s="161"/>
      <c r="DG216" s="161"/>
      <c r="DH216" s="161"/>
      <c r="DI216" s="161"/>
      <c r="DJ216" s="161"/>
      <c r="DK216" s="177"/>
      <c r="DL216" s="177"/>
      <c r="DM216" s="177"/>
      <c r="DN216" s="177"/>
      <c r="DO216" s="177"/>
      <c r="DP216" s="177"/>
      <c r="DQ216" s="177"/>
      <c r="DR216" s="177"/>
      <c r="DS216" s="177"/>
      <c r="DT216" s="177"/>
      <c r="DU216" s="177"/>
      <c r="DV216" s="177"/>
      <c r="DW216" s="177"/>
      <c r="DX216" s="177"/>
      <c r="DY216" s="177"/>
      <c r="DZ216" s="177"/>
      <c r="EA216" s="177"/>
      <c r="EB216" s="177"/>
      <c r="EC216" s="177"/>
      <c r="ED216" s="177"/>
      <c r="EF216" s="161"/>
      <c r="EH216" s="161"/>
      <c r="EM216" s="161"/>
      <c r="EN216" s="161"/>
      <c r="EO216" s="161"/>
      <c r="EP216" s="161"/>
      <c r="FL216" s="161"/>
      <c r="FM216" s="161"/>
      <c r="FN216" s="161"/>
      <c r="FO216" s="161"/>
      <c r="FP216" s="161"/>
      <c r="FQ216" s="161"/>
      <c r="FR216" s="430"/>
      <c r="FS216" s="639"/>
      <c r="FT216" s="639"/>
      <c r="FU216" s="161"/>
      <c r="FV216" s="667"/>
      <c r="FW216" s="667"/>
      <c r="FX216" s="667"/>
      <c r="FY216" s="161"/>
      <c r="FZ216" s="161"/>
      <c r="GA216" s="161"/>
      <c r="GB216" s="161"/>
      <c r="GC216" s="177"/>
      <c r="GD216" s="161"/>
      <c r="GE216" s="177"/>
    </row>
    <row r="217" spans="1:187">
      <c r="A217" s="161"/>
      <c r="B217" s="161"/>
      <c r="C217" s="161"/>
      <c r="D217" s="161"/>
      <c r="E217" s="161"/>
      <c r="F217" s="161"/>
      <c r="G217" s="161"/>
      <c r="H217" s="161"/>
      <c r="I217" s="161"/>
      <c r="J217" s="161"/>
      <c r="K217" s="161"/>
      <c r="L217" s="161"/>
      <c r="M217" s="161"/>
      <c r="N217" s="161"/>
      <c r="O217" s="161"/>
      <c r="P217" s="161"/>
      <c r="Q217" s="161"/>
      <c r="R217" s="161"/>
      <c r="S217" s="161"/>
      <c r="T217" s="161"/>
      <c r="U217" s="161"/>
      <c r="V217" s="161"/>
      <c r="W217" s="161"/>
      <c r="X217" s="161"/>
      <c r="Y217" s="161"/>
      <c r="Z217" s="161"/>
      <c r="AA217" s="161"/>
      <c r="AB217" s="161"/>
      <c r="AC217" s="161"/>
      <c r="AD217" s="161"/>
      <c r="AE217" s="161"/>
      <c r="AF217" s="161"/>
      <c r="AG217" s="161"/>
      <c r="AH217" s="161"/>
      <c r="AI217" s="161"/>
      <c r="AJ217" s="161"/>
      <c r="AK217" s="161"/>
      <c r="AL217" s="161"/>
      <c r="AM217" s="161"/>
      <c r="AN217" s="161"/>
      <c r="AO217" s="161"/>
      <c r="AP217" s="161"/>
      <c r="AQ217" s="161"/>
      <c r="AR217" s="161"/>
      <c r="AS217" s="161"/>
      <c r="AT217" s="161"/>
      <c r="AU217" s="161"/>
      <c r="AV217" s="161"/>
      <c r="AW217" s="161"/>
      <c r="AX217" s="161"/>
      <c r="AY217" s="161"/>
      <c r="AZ217" s="161"/>
      <c r="BA217" s="161"/>
      <c r="BB217" s="161"/>
      <c r="BC217" s="161"/>
      <c r="BD217" s="161"/>
      <c r="BE217" s="161"/>
      <c r="BF217" s="161"/>
      <c r="BG217" s="161"/>
      <c r="BH217" s="161"/>
      <c r="BI217" s="161"/>
      <c r="BJ217" s="161"/>
      <c r="BK217" s="161"/>
      <c r="BL217" s="161"/>
      <c r="BM217" s="161"/>
      <c r="BN217" s="161"/>
      <c r="BO217" s="263">
        <v>8504.6560000000009</v>
      </c>
      <c r="BP217" s="161"/>
      <c r="BQ217" s="161"/>
      <c r="BR217" s="161"/>
      <c r="BS217" s="263">
        <f t="shared" ref="BS217:BS223" si="271">BS191</f>
        <v>9202.0789999999997</v>
      </c>
      <c r="BT217" s="161"/>
      <c r="BU217" s="161"/>
      <c r="BV217" s="161"/>
      <c r="BW217" s="161"/>
      <c r="BX217" s="161"/>
      <c r="BY217" s="161"/>
      <c r="BZ217" s="161"/>
      <c r="CA217" s="161"/>
      <c r="CB217" s="161"/>
      <c r="CC217" s="161"/>
      <c r="CD217" s="161"/>
      <c r="CE217" s="161"/>
      <c r="CF217" s="161"/>
      <c r="CG217" s="161"/>
      <c r="CH217" s="161"/>
      <c r="CI217" s="161"/>
      <c r="CJ217" s="161"/>
      <c r="CK217" s="161"/>
      <c r="CL217" s="161"/>
      <c r="CM217" s="161"/>
      <c r="CN217" s="161"/>
      <c r="CO217" s="161"/>
      <c r="CP217" s="161"/>
      <c r="CQ217" s="161"/>
      <c r="CR217" s="161"/>
      <c r="CS217" s="161"/>
      <c r="CT217" s="161"/>
      <c r="CU217" s="161"/>
      <c r="CV217" s="161"/>
      <c r="CW217" s="161"/>
      <c r="CX217" s="161"/>
      <c r="CY217" s="161"/>
      <c r="CZ217" s="161"/>
      <c r="DA217" s="161"/>
      <c r="DB217" s="161"/>
      <c r="DC217" s="161"/>
      <c r="DD217" s="161"/>
      <c r="DE217" s="161"/>
      <c r="DF217" s="161"/>
      <c r="DG217" s="161"/>
      <c r="DH217" s="161"/>
      <c r="DI217" s="161"/>
      <c r="DJ217" s="161"/>
      <c r="DK217" s="177"/>
      <c r="DL217" s="177"/>
      <c r="DM217" s="177"/>
      <c r="DN217" s="177"/>
      <c r="DO217" s="177"/>
      <c r="DP217" s="177"/>
      <c r="DQ217" s="177"/>
      <c r="DR217" s="177"/>
      <c r="DS217" s="177"/>
      <c r="DT217" s="177"/>
      <c r="DU217" s="177"/>
      <c r="DV217" s="177"/>
      <c r="DW217" s="177"/>
      <c r="DX217" s="177"/>
      <c r="DY217" s="177"/>
      <c r="DZ217" s="467">
        <f t="shared" ref="DZ217:EA234" si="272">BS217/BO217-1</f>
        <v>8.2004845345890365E-2</v>
      </c>
      <c r="EA217" s="467" t="e">
        <f t="shared" si="272"/>
        <v>#DIV/0!</v>
      </c>
      <c r="EB217" s="467"/>
      <c r="EC217" s="467"/>
      <c r="ED217" s="467"/>
      <c r="EF217" s="161"/>
      <c r="EH217" s="161"/>
      <c r="EM217" s="161"/>
      <c r="EN217" s="161"/>
      <c r="EO217" s="161"/>
      <c r="EP217" s="161"/>
      <c r="FL217" s="161"/>
      <c r="FM217" s="161"/>
      <c r="FN217" s="161"/>
      <c r="FO217" s="161"/>
      <c r="FP217" s="161"/>
      <c r="FQ217" s="161"/>
      <c r="FR217" s="430"/>
      <c r="FS217" s="639"/>
      <c r="FT217" s="639"/>
      <c r="FU217" s="161"/>
      <c r="FV217" s="667"/>
      <c r="FW217" s="667"/>
      <c r="FX217" s="667"/>
      <c r="FY217" s="161"/>
      <c r="FZ217" s="161"/>
      <c r="GA217" s="161"/>
      <c r="GB217" s="161"/>
      <c r="GC217" s="177"/>
      <c r="GD217" s="161"/>
      <c r="GE217" s="177"/>
    </row>
    <row r="218" spans="1:187">
      <c r="A218" s="161"/>
      <c r="B218" s="161"/>
      <c r="C218" s="161"/>
      <c r="D218" s="161"/>
      <c r="E218" s="161"/>
      <c r="F218" s="161"/>
      <c r="G218" s="161"/>
      <c r="H218" s="161"/>
      <c r="I218" s="161"/>
      <c r="J218" s="161"/>
      <c r="K218" s="161"/>
      <c r="L218" s="161"/>
      <c r="M218" s="161"/>
      <c r="N218" s="161"/>
      <c r="O218" s="161"/>
      <c r="P218" s="161"/>
      <c r="Q218" s="161"/>
      <c r="R218" s="161"/>
      <c r="S218" s="161"/>
      <c r="T218" s="161"/>
      <c r="U218" s="161"/>
      <c r="V218" s="161"/>
      <c r="W218" s="161"/>
      <c r="X218" s="161"/>
      <c r="Y218" s="161"/>
      <c r="Z218" s="161"/>
      <c r="AA218" s="161"/>
      <c r="AB218" s="161"/>
      <c r="AC218" s="161"/>
      <c r="AD218" s="161"/>
      <c r="AE218" s="161"/>
      <c r="AF218" s="161"/>
      <c r="AG218" s="161"/>
      <c r="AH218" s="161"/>
      <c r="AI218" s="161"/>
      <c r="AJ218" s="161"/>
      <c r="AK218" s="161"/>
      <c r="AL218" s="161"/>
      <c r="AM218" s="161"/>
      <c r="AN218" s="161"/>
      <c r="AO218" s="161"/>
      <c r="AP218" s="161"/>
      <c r="AQ218" s="161"/>
      <c r="AR218" s="161"/>
      <c r="AS218" s="161"/>
      <c r="AT218" s="161"/>
      <c r="AU218" s="161"/>
      <c r="AV218" s="161"/>
      <c r="AW218" s="161"/>
      <c r="AX218" s="161"/>
      <c r="AY218" s="161"/>
      <c r="AZ218" s="161"/>
      <c r="BA218" s="161"/>
      <c r="BB218" s="161"/>
      <c r="BC218" s="161"/>
      <c r="BD218" s="161"/>
      <c r="BE218" s="161"/>
      <c r="BF218" s="161"/>
      <c r="BG218" s="161"/>
      <c r="BH218" s="161"/>
      <c r="BI218" s="161"/>
      <c r="BJ218" s="161"/>
      <c r="BK218" s="161"/>
      <c r="BL218" s="161"/>
      <c r="BM218" s="161"/>
      <c r="BN218" s="161"/>
      <c r="BO218" s="263">
        <v>2334.3250000000007</v>
      </c>
      <c r="BP218" s="161"/>
      <c r="BQ218" s="161"/>
      <c r="BR218" s="161"/>
      <c r="BS218" s="263">
        <f t="shared" si="271"/>
        <v>2477.8999999999996</v>
      </c>
      <c r="BT218" s="161"/>
      <c r="BU218" s="161"/>
      <c r="BV218" s="161"/>
      <c r="BW218" s="161"/>
      <c r="BX218" s="161"/>
      <c r="BY218" s="161"/>
      <c r="BZ218" s="161"/>
      <c r="CA218" s="161"/>
      <c r="CB218" s="161"/>
      <c r="CC218" s="161"/>
      <c r="CD218" s="161"/>
      <c r="CE218" s="161"/>
      <c r="CF218" s="161"/>
      <c r="CG218" s="161"/>
      <c r="CH218" s="161"/>
      <c r="CI218" s="161"/>
      <c r="CJ218" s="161"/>
      <c r="CK218" s="161"/>
      <c r="CL218" s="161"/>
      <c r="CM218" s="161"/>
      <c r="CN218" s="161"/>
      <c r="CO218" s="161"/>
      <c r="CP218" s="161"/>
      <c r="CQ218" s="161"/>
      <c r="CR218" s="161"/>
      <c r="CS218" s="161"/>
      <c r="CT218" s="161"/>
      <c r="CU218" s="161"/>
      <c r="CV218" s="161"/>
      <c r="CW218" s="161"/>
      <c r="CX218" s="161"/>
      <c r="CY218" s="161"/>
      <c r="CZ218" s="161"/>
      <c r="DA218" s="161"/>
      <c r="DB218" s="161"/>
      <c r="DC218" s="161"/>
      <c r="DD218" s="161"/>
      <c r="DE218" s="161"/>
      <c r="DF218" s="161"/>
      <c r="DG218" s="161"/>
      <c r="DH218" s="161"/>
      <c r="DI218" s="161"/>
      <c r="DJ218" s="161"/>
      <c r="DK218" s="177"/>
      <c r="DL218" s="177"/>
      <c r="DM218" s="177"/>
      <c r="DN218" s="177"/>
      <c r="DO218" s="177"/>
      <c r="DP218" s="177"/>
      <c r="DQ218" s="177"/>
      <c r="DR218" s="177"/>
      <c r="DS218" s="177"/>
      <c r="DT218" s="177"/>
      <c r="DU218" s="177"/>
      <c r="DV218" s="177"/>
      <c r="DW218" s="177"/>
      <c r="DX218" s="177"/>
      <c r="DY218" s="177"/>
      <c r="DZ218" s="804">
        <f t="shared" si="272"/>
        <v>6.1506002805949755E-2</v>
      </c>
      <c r="EA218" s="804" t="e">
        <f t="shared" si="272"/>
        <v>#DIV/0!</v>
      </c>
      <c r="EB218" s="804"/>
      <c r="EC218" s="804"/>
      <c r="ED218" s="804"/>
      <c r="EF218" s="161"/>
      <c r="EH218" s="161"/>
      <c r="EM218" s="161"/>
      <c r="EN218" s="161"/>
      <c r="EO218" s="161"/>
      <c r="EP218" s="161"/>
      <c r="FL218" s="161"/>
      <c r="FM218" s="161"/>
      <c r="FN218" s="161"/>
      <c r="FO218" s="161"/>
      <c r="FP218" s="161"/>
      <c r="FQ218" s="161"/>
      <c r="FR218" s="430"/>
      <c r="FS218" s="639"/>
      <c r="FT218" s="639"/>
      <c r="FU218" s="161"/>
      <c r="FV218" s="667"/>
      <c r="FW218" s="667"/>
      <c r="FX218" s="667"/>
      <c r="FY218" s="161"/>
      <c r="FZ218" s="161"/>
      <c r="GA218" s="161"/>
      <c r="GB218" s="161"/>
      <c r="GC218" s="177"/>
      <c r="GD218" s="161"/>
      <c r="GE218" s="177"/>
    </row>
    <row r="219" spans="1:187">
      <c r="A219" s="161"/>
      <c r="B219" s="161"/>
      <c r="C219" s="161"/>
      <c r="D219" s="161"/>
      <c r="E219" s="161"/>
      <c r="F219" s="161"/>
      <c r="G219" s="161"/>
      <c r="H219" s="161"/>
      <c r="I219" s="161"/>
      <c r="J219" s="161"/>
      <c r="K219" s="161"/>
      <c r="L219" s="161"/>
      <c r="M219" s="161"/>
      <c r="N219" s="161"/>
      <c r="O219" s="161"/>
      <c r="P219" s="161"/>
      <c r="Q219" s="161"/>
      <c r="R219" s="161"/>
      <c r="S219" s="161"/>
      <c r="T219" s="161"/>
      <c r="U219" s="161"/>
      <c r="V219" s="161"/>
      <c r="W219" s="161"/>
      <c r="X219" s="161"/>
      <c r="Y219" s="161"/>
      <c r="Z219" s="161"/>
      <c r="AA219" s="161"/>
      <c r="AB219" s="161"/>
      <c r="AC219" s="161"/>
      <c r="AD219" s="161"/>
      <c r="AE219" s="161"/>
      <c r="AF219" s="161"/>
      <c r="AG219" s="161"/>
      <c r="AH219" s="161"/>
      <c r="AI219" s="161"/>
      <c r="AJ219" s="161"/>
      <c r="AK219" s="161"/>
      <c r="AL219" s="161"/>
      <c r="AM219" s="161"/>
      <c r="AN219" s="161"/>
      <c r="AO219" s="161"/>
      <c r="AP219" s="161"/>
      <c r="AQ219" s="161"/>
      <c r="AR219" s="161"/>
      <c r="AS219" s="161"/>
      <c r="AT219" s="161"/>
      <c r="AU219" s="161"/>
      <c r="AV219" s="161"/>
      <c r="AW219" s="161"/>
      <c r="AX219" s="161"/>
      <c r="AY219" s="161"/>
      <c r="AZ219" s="161"/>
      <c r="BA219" s="161"/>
      <c r="BB219" s="161"/>
      <c r="BC219" s="161"/>
      <c r="BD219" s="161"/>
      <c r="BE219" s="161"/>
      <c r="BF219" s="161"/>
      <c r="BG219" s="161"/>
      <c r="BH219" s="161"/>
      <c r="BI219" s="161"/>
      <c r="BJ219" s="161"/>
      <c r="BK219" s="161"/>
      <c r="BL219" s="161"/>
      <c r="BM219" s="161"/>
      <c r="BN219" s="161"/>
      <c r="BO219" s="263">
        <v>6170.3310000000001</v>
      </c>
      <c r="BP219" s="161"/>
      <c r="BQ219" s="161"/>
      <c r="BR219" s="161"/>
      <c r="BS219" s="263">
        <f t="shared" si="271"/>
        <v>6724.1790000000001</v>
      </c>
      <c r="BT219" s="161"/>
      <c r="BU219" s="161"/>
      <c r="BV219" s="161"/>
      <c r="BW219" s="161"/>
      <c r="BX219" s="161"/>
      <c r="BY219" s="161"/>
      <c r="BZ219" s="161"/>
      <c r="CA219" s="161"/>
      <c r="CB219" s="161"/>
      <c r="CC219" s="161"/>
      <c r="CD219" s="161"/>
      <c r="CE219" s="161"/>
      <c r="CF219" s="161"/>
      <c r="CG219" s="161"/>
      <c r="CH219" s="161"/>
      <c r="CI219" s="161"/>
      <c r="CJ219" s="161"/>
      <c r="CK219" s="161"/>
      <c r="CL219" s="161"/>
      <c r="CM219" s="161"/>
      <c r="CN219" s="161"/>
      <c r="CO219" s="161"/>
      <c r="CP219" s="161"/>
      <c r="CQ219" s="161"/>
      <c r="CR219" s="161"/>
      <c r="CS219" s="161"/>
      <c r="CT219" s="161"/>
      <c r="CU219" s="161"/>
      <c r="CV219" s="161"/>
      <c r="CW219" s="161"/>
      <c r="CX219" s="161"/>
      <c r="CY219" s="161"/>
      <c r="CZ219" s="161"/>
      <c r="DA219" s="161"/>
      <c r="DB219" s="161"/>
      <c r="DC219" s="161"/>
      <c r="DD219" s="161"/>
      <c r="DE219" s="161"/>
      <c r="DF219" s="161"/>
      <c r="DG219" s="161"/>
      <c r="DH219" s="161"/>
      <c r="DI219" s="161"/>
      <c r="DJ219" s="161"/>
      <c r="DK219" s="177"/>
      <c r="DL219" s="177"/>
      <c r="DM219" s="177"/>
      <c r="DN219" s="177"/>
      <c r="DO219" s="177"/>
      <c r="DP219" s="177"/>
      <c r="DQ219" s="177"/>
      <c r="DR219" s="177"/>
      <c r="DS219" s="177"/>
      <c r="DT219" s="177"/>
      <c r="DU219" s="177"/>
      <c r="DV219" s="177"/>
      <c r="DW219" s="177"/>
      <c r="DX219" s="177"/>
      <c r="DY219" s="177"/>
      <c r="DZ219" s="467">
        <f t="shared" si="272"/>
        <v>8.9759852429310616E-2</v>
      </c>
      <c r="EA219" s="467" t="e">
        <f t="shared" si="272"/>
        <v>#DIV/0!</v>
      </c>
      <c r="EB219" s="467"/>
      <c r="EC219" s="467"/>
      <c r="ED219" s="467"/>
      <c r="EF219" s="161"/>
      <c r="EH219" s="161"/>
      <c r="EM219" s="161"/>
      <c r="EN219" s="161"/>
      <c r="EO219" s="161"/>
      <c r="EP219" s="161"/>
      <c r="FL219" s="161"/>
      <c r="FM219" s="161"/>
      <c r="FN219" s="161"/>
      <c r="FO219" s="161"/>
      <c r="FP219" s="161"/>
      <c r="FQ219" s="161"/>
      <c r="FR219" s="430"/>
      <c r="FS219" s="639"/>
      <c r="FT219" s="639"/>
      <c r="FU219" s="161"/>
      <c r="FV219" s="161"/>
      <c r="FW219" s="667"/>
      <c r="FX219" s="667"/>
      <c r="FY219" s="161"/>
      <c r="FZ219" s="161"/>
      <c r="GA219" s="161"/>
      <c r="GB219" s="161"/>
      <c r="GC219" s="177"/>
      <c r="GD219" s="161"/>
      <c r="GE219" s="177"/>
    </row>
    <row r="220" spans="1:187">
      <c r="A220" s="161"/>
      <c r="B220" s="161"/>
      <c r="C220" s="161"/>
      <c r="D220" s="161"/>
      <c r="E220" s="161"/>
      <c r="F220" s="161"/>
      <c r="G220" s="161"/>
      <c r="H220" s="161"/>
      <c r="I220" s="161"/>
      <c r="J220" s="161"/>
      <c r="K220" s="161"/>
      <c r="L220" s="161"/>
      <c r="M220" s="161"/>
      <c r="N220" s="161"/>
      <c r="O220" s="161"/>
      <c r="P220" s="161"/>
      <c r="Q220" s="161"/>
      <c r="R220" s="161"/>
      <c r="S220" s="161"/>
      <c r="T220" s="161"/>
      <c r="U220" s="161"/>
      <c r="V220" s="161"/>
      <c r="W220" s="161"/>
      <c r="X220" s="161"/>
      <c r="Y220" s="161"/>
      <c r="Z220" s="161"/>
      <c r="AA220" s="161"/>
      <c r="AB220" s="161"/>
      <c r="AC220" s="161"/>
      <c r="AD220" s="161"/>
      <c r="AE220" s="161"/>
      <c r="AF220" s="161"/>
      <c r="AG220" s="161"/>
      <c r="AH220" s="161"/>
      <c r="AI220" s="161"/>
      <c r="AJ220" s="161"/>
      <c r="AK220" s="161"/>
      <c r="AL220" s="161"/>
      <c r="AM220" s="161"/>
      <c r="AN220" s="161"/>
      <c r="AO220" s="161"/>
      <c r="AP220" s="161"/>
      <c r="AQ220" s="161"/>
      <c r="AR220" s="161"/>
      <c r="AS220" s="161"/>
      <c r="AT220" s="161"/>
      <c r="AU220" s="161"/>
      <c r="AV220" s="161"/>
      <c r="AW220" s="161"/>
      <c r="AX220" s="161"/>
      <c r="AY220" s="161"/>
      <c r="AZ220" s="161"/>
      <c r="BA220" s="161"/>
      <c r="BB220" s="161"/>
      <c r="BC220" s="161"/>
      <c r="BD220" s="161"/>
      <c r="BE220" s="161"/>
      <c r="BF220" s="161"/>
      <c r="BG220" s="161"/>
      <c r="BH220" s="161"/>
      <c r="BI220" s="161"/>
      <c r="BJ220" s="161"/>
      <c r="BK220" s="161"/>
      <c r="BL220" s="161"/>
      <c r="BM220" s="161"/>
      <c r="BN220" s="161"/>
      <c r="BO220" s="985">
        <v>2653.3760000000002</v>
      </c>
      <c r="BP220" s="161"/>
      <c r="BQ220" s="161"/>
      <c r="BR220" s="161"/>
      <c r="BS220" s="263">
        <f t="shared" si="271"/>
        <v>2670.931</v>
      </c>
      <c r="BT220" s="161"/>
      <c r="BU220" s="161"/>
      <c r="BV220" s="161"/>
      <c r="BW220" s="161"/>
      <c r="BX220" s="161"/>
      <c r="BY220" s="161"/>
      <c r="BZ220" s="161"/>
      <c r="CA220" s="161"/>
      <c r="CB220" s="161"/>
      <c r="CC220" s="161"/>
      <c r="CD220" s="161"/>
      <c r="CE220" s="161"/>
      <c r="CF220" s="161"/>
      <c r="CG220" s="161"/>
      <c r="CH220" s="161"/>
      <c r="CI220" s="161"/>
      <c r="CJ220" s="161"/>
      <c r="CK220" s="161"/>
      <c r="CL220" s="161"/>
      <c r="CM220" s="161"/>
      <c r="CN220" s="161"/>
      <c r="CO220" s="161"/>
      <c r="CP220" s="161"/>
      <c r="CQ220" s="161"/>
      <c r="CR220" s="161"/>
      <c r="CS220" s="161"/>
      <c r="CT220" s="161"/>
      <c r="CU220" s="161"/>
      <c r="CV220" s="161"/>
      <c r="CW220" s="161"/>
      <c r="CX220" s="161"/>
      <c r="CY220" s="161"/>
      <c r="CZ220" s="161"/>
      <c r="DA220" s="161"/>
      <c r="DB220" s="161"/>
      <c r="DC220" s="161"/>
      <c r="DD220" s="161"/>
      <c r="DE220" s="161"/>
      <c r="DF220" s="161"/>
      <c r="DG220" s="161"/>
      <c r="DH220" s="161"/>
      <c r="DI220" s="161"/>
      <c r="DJ220" s="161"/>
      <c r="DK220" s="177"/>
      <c r="DL220" s="177"/>
      <c r="DM220" s="177"/>
      <c r="DN220" s="177"/>
      <c r="DO220" s="177">
        <f>BS192/BR192-1</f>
        <v>1.3208221465670134E-2</v>
      </c>
      <c r="DP220" s="177"/>
      <c r="DQ220" s="177"/>
      <c r="DR220" s="177"/>
      <c r="DS220" s="177"/>
      <c r="DT220" s="177"/>
      <c r="DU220" s="177"/>
      <c r="DV220" s="177"/>
      <c r="DW220" s="177"/>
      <c r="DX220" s="177"/>
      <c r="DY220" s="177"/>
      <c r="DZ220" s="804">
        <f t="shared" si="272"/>
        <v>6.6160996406088302E-3</v>
      </c>
      <c r="EA220" s="804" t="e">
        <f t="shared" si="272"/>
        <v>#DIV/0!</v>
      </c>
      <c r="EB220" s="804"/>
      <c r="EC220" s="804"/>
      <c r="ED220" s="804"/>
      <c r="EF220" s="161"/>
      <c r="EH220" s="161"/>
      <c r="EM220" s="161"/>
      <c r="EN220" s="161"/>
      <c r="EO220" s="161"/>
      <c r="EP220" s="161"/>
      <c r="FL220" s="161"/>
      <c r="FM220" s="161"/>
      <c r="FN220" s="161"/>
      <c r="FO220" s="161"/>
      <c r="FP220" s="161"/>
      <c r="FQ220" s="161"/>
      <c r="FR220" s="430"/>
      <c r="FS220" s="639"/>
      <c r="FT220" s="639"/>
      <c r="FU220" s="161"/>
      <c r="FV220" s="161"/>
      <c r="FW220" s="667"/>
      <c r="FX220" s="667"/>
      <c r="FY220" s="161"/>
      <c r="FZ220" s="161"/>
      <c r="GA220" s="161"/>
      <c r="GB220" s="161"/>
      <c r="GC220" s="177"/>
      <c r="GD220" s="161"/>
      <c r="GE220" s="177"/>
    </row>
    <row r="221" spans="1:187">
      <c r="A221" s="161"/>
      <c r="B221" s="161"/>
      <c r="C221" s="161"/>
      <c r="D221" s="161"/>
      <c r="E221" s="161"/>
      <c r="F221" s="161"/>
      <c r="G221" s="161"/>
      <c r="H221" s="161"/>
      <c r="I221" s="161"/>
      <c r="J221" s="161"/>
      <c r="K221" s="161"/>
      <c r="L221" s="161"/>
      <c r="M221" s="161"/>
      <c r="N221" s="161"/>
      <c r="O221" s="161"/>
      <c r="P221" s="161"/>
      <c r="Q221" s="161"/>
      <c r="R221" s="161"/>
      <c r="S221" s="161"/>
      <c r="T221" s="161"/>
      <c r="U221" s="161"/>
      <c r="V221" s="161"/>
      <c r="W221" s="161"/>
      <c r="X221" s="161"/>
      <c r="Y221" s="161"/>
      <c r="Z221" s="161"/>
      <c r="AA221" s="161"/>
      <c r="AB221" s="161"/>
      <c r="AC221" s="161"/>
      <c r="AD221" s="161"/>
      <c r="AE221" s="161"/>
      <c r="AF221" s="161"/>
      <c r="AG221" s="161"/>
      <c r="AH221" s="161"/>
      <c r="AI221" s="161"/>
      <c r="AJ221" s="161"/>
      <c r="AK221" s="161"/>
      <c r="AL221" s="161"/>
      <c r="AM221" s="161"/>
      <c r="AN221" s="161"/>
      <c r="AO221" s="161"/>
      <c r="AP221" s="161"/>
      <c r="AQ221" s="161"/>
      <c r="AR221" s="161"/>
      <c r="AS221" s="161"/>
      <c r="AT221" s="161"/>
      <c r="AU221" s="161"/>
      <c r="AV221" s="161"/>
      <c r="AW221" s="161"/>
      <c r="AX221" s="161"/>
      <c r="AY221" s="161"/>
      <c r="AZ221" s="161"/>
      <c r="BA221" s="161"/>
      <c r="BB221" s="161"/>
      <c r="BC221" s="161"/>
      <c r="BD221" s="161"/>
      <c r="BE221" s="161"/>
      <c r="BF221" s="161"/>
      <c r="BG221" s="161"/>
      <c r="BH221" s="161"/>
      <c r="BI221" s="161"/>
      <c r="BJ221" s="161"/>
      <c r="BK221" s="161"/>
      <c r="BL221" s="161"/>
      <c r="BM221" s="161"/>
      <c r="BN221" s="161"/>
      <c r="BO221" s="985">
        <v>3515.953</v>
      </c>
      <c r="BP221" s="161"/>
      <c r="BQ221" s="161"/>
      <c r="BR221" s="161"/>
      <c r="BS221" s="263">
        <f t="shared" si="271"/>
        <v>4053.248</v>
      </c>
      <c r="BT221" s="161"/>
      <c r="BU221" s="161"/>
      <c r="BV221" s="161"/>
      <c r="BW221" s="161"/>
      <c r="BX221" s="161"/>
      <c r="BY221" s="161"/>
      <c r="BZ221" s="161"/>
      <c r="CA221" s="161"/>
      <c r="CB221" s="161"/>
      <c r="CC221" s="161"/>
      <c r="CD221" s="161"/>
      <c r="CE221" s="161"/>
      <c r="CF221" s="161"/>
      <c r="CG221" s="161"/>
      <c r="CH221" s="161"/>
      <c r="CI221" s="161"/>
      <c r="CJ221" s="161"/>
      <c r="CK221" s="161"/>
      <c r="CL221" s="161"/>
      <c r="CM221" s="161"/>
      <c r="CN221" s="161"/>
      <c r="CO221" s="161"/>
      <c r="CP221" s="161"/>
      <c r="CQ221" s="161"/>
      <c r="CR221" s="161"/>
      <c r="CS221" s="161"/>
      <c r="CT221" s="161"/>
      <c r="CU221" s="161"/>
      <c r="CV221" s="161"/>
      <c r="CW221" s="161"/>
      <c r="CX221" s="161"/>
      <c r="CY221" s="161"/>
      <c r="CZ221" s="161"/>
      <c r="DA221" s="161"/>
      <c r="DB221" s="161"/>
      <c r="DC221" s="161"/>
      <c r="DD221" s="161"/>
      <c r="DE221" s="161"/>
      <c r="DF221" s="161"/>
      <c r="DG221" s="161"/>
      <c r="DH221" s="161"/>
      <c r="DI221" s="161"/>
      <c r="DJ221" s="161"/>
      <c r="DK221" s="177"/>
      <c r="DL221" s="177"/>
      <c r="DM221" s="177"/>
      <c r="DN221" s="177"/>
      <c r="DO221" s="177"/>
      <c r="DP221" s="177"/>
      <c r="DQ221" s="177"/>
      <c r="DR221" s="177"/>
      <c r="DS221" s="177"/>
      <c r="DT221" s="177"/>
      <c r="DU221" s="177"/>
      <c r="DV221" s="177"/>
      <c r="DW221" s="177"/>
      <c r="DX221" s="177"/>
      <c r="DY221" s="177"/>
      <c r="DZ221" s="804">
        <f t="shared" si="272"/>
        <v>0.15281632035468062</v>
      </c>
      <c r="EA221" s="804" t="e">
        <f t="shared" si="272"/>
        <v>#DIV/0!</v>
      </c>
      <c r="EB221" s="804"/>
      <c r="EC221" s="804"/>
      <c r="ED221" s="804"/>
      <c r="EF221" s="161"/>
      <c r="EH221" s="161"/>
      <c r="EM221" s="161"/>
      <c r="EN221" s="161"/>
      <c r="EO221" s="161"/>
      <c r="EP221" s="161"/>
      <c r="FL221" s="161"/>
      <c r="FM221" s="161"/>
      <c r="FN221" s="161"/>
      <c r="FO221" s="161"/>
      <c r="FP221" s="161"/>
      <c r="FQ221" s="161"/>
      <c r="FR221" s="161"/>
      <c r="FS221" s="639"/>
      <c r="FT221" s="639"/>
      <c r="FU221" s="161"/>
      <c r="FV221" s="161"/>
      <c r="FW221" s="667"/>
      <c r="FX221" s="667"/>
      <c r="FY221" s="161"/>
      <c r="FZ221" s="161"/>
      <c r="GA221" s="161"/>
      <c r="GB221" s="161"/>
      <c r="GC221" s="177"/>
      <c r="GD221" s="161"/>
      <c r="GE221" s="177"/>
    </row>
    <row r="222" spans="1:187">
      <c r="A222" s="161"/>
      <c r="B222" s="161"/>
      <c r="C222" s="161"/>
      <c r="D222" s="161"/>
      <c r="E222" s="161"/>
      <c r="F222" s="161"/>
      <c r="G222" s="161"/>
      <c r="H222" s="161"/>
      <c r="I222" s="161"/>
      <c r="J222" s="161"/>
      <c r="K222" s="161"/>
      <c r="L222" s="161"/>
      <c r="M222" s="161"/>
      <c r="N222" s="161"/>
      <c r="O222" s="161"/>
      <c r="P222" s="161"/>
      <c r="Q222" s="161"/>
      <c r="R222" s="161"/>
      <c r="S222" s="161"/>
      <c r="T222" s="161"/>
      <c r="U222" s="161"/>
      <c r="V222" s="161"/>
      <c r="W222" s="161"/>
      <c r="X222" s="161"/>
      <c r="Y222" s="161"/>
      <c r="Z222" s="161"/>
      <c r="AA222" s="161"/>
      <c r="AB222" s="161"/>
      <c r="AC222" s="161"/>
      <c r="AD222" s="161"/>
      <c r="AE222" s="161"/>
      <c r="AF222" s="161"/>
      <c r="AG222" s="161"/>
      <c r="AH222" s="161"/>
      <c r="AI222" s="161"/>
      <c r="AJ222" s="161"/>
      <c r="AK222" s="161"/>
      <c r="AL222" s="161"/>
      <c r="AM222" s="161"/>
      <c r="AN222" s="161"/>
      <c r="AO222" s="161"/>
      <c r="AP222" s="161"/>
      <c r="AQ222" s="161"/>
      <c r="AR222" s="161"/>
      <c r="AS222" s="161"/>
      <c r="AT222" s="161"/>
      <c r="AU222" s="161"/>
      <c r="AV222" s="161"/>
      <c r="AW222" s="161"/>
      <c r="AX222" s="161"/>
      <c r="AY222" s="161"/>
      <c r="AZ222" s="161"/>
      <c r="BA222" s="161"/>
      <c r="BB222" s="161"/>
      <c r="BC222" s="161"/>
      <c r="BD222" s="161"/>
      <c r="BE222" s="161"/>
      <c r="BF222" s="161"/>
      <c r="BG222" s="161"/>
      <c r="BH222" s="161"/>
      <c r="BI222" s="161"/>
      <c r="BJ222" s="161"/>
      <c r="BK222" s="161"/>
      <c r="BL222" s="161"/>
      <c r="BM222" s="161"/>
      <c r="BN222" s="161"/>
      <c r="BO222" s="263">
        <v>2283.08</v>
      </c>
      <c r="BP222" s="161"/>
      <c r="BQ222" s="161"/>
      <c r="BR222" s="161"/>
      <c r="BS222" s="263">
        <f t="shared" si="271"/>
        <v>2467.4839999999999</v>
      </c>
      <c r="BT222" s="161"/>
      <c r="BU222" s="161"/>
      <c r="BV222" s="161"/>
      <c r="BW222" s="161"/>
      <c r="BX222" s="161"/>
      <c r="BY222" s="161"/>
      <c r="BZ222" s="161"/>
      <c r="CA222" s="161"/>
      <c r="CB222" s="161"/>
      <c r="CC222" s="161"/>
      <c r="CD222" s="161"/>
      <c r="CE222" s="161"/>
      <c r="CF222" s="161"/>
      <c r="CG222" s="161"/>
      <c r="CH222" s="161"/>
      <c r="CI222" s="161"/>
      <c r="CJ222" s="161"/>
      <c r="CK222" s="161"/>
      <c r="CL222" s="161"/>
      <c r="CM222" s="161"/>
      <c r="CN222" s="161"/>
      <c r="CO222" s="161"/>
      <c r="CP222" s="161"/>
      <c r="CQ222" s="161"/>
      <c r="CR222" s="161"/>
      <c r="CS222" s="161"/>
      <c r="CT222" s="161"/>
      <c r="CU222" s="161"/>
      <c r="CV222" s="161"/>
      <c r="CW222" s="161"/>
      <c r="CX222" s="161"/>
      <c r="CY222" s="161"/>
      <c r="CZ222" s="161"/>
      <c r="DA222" s="161"/>
      <c r="DB222" s="161"/>
      <c r="DC222" s="161"/>
      <c r="DD222" s="161"/>
      <c r="DE222" s="161"/>
      <c r="DF222" s="161"/>
      <c r="DG222" s="161"/>
      <c r="DH222" s="161"/>
      <c r="DI222" s="161"/>
      <c r="DJ222" s="161"/>
      <c r="DK222" s="177"/>
      <c r="DL222" s="177"/>
      <c r="DM222" s="177"/>
      <c r="DN222" s="177"/>
      <c r="DO222" s="177">
        <f>BS194/BR194-1</f>
        <v>5.574985473676719E-2</v>
      </c>
      <c r="DP222" s="177"/>
      <c r="DQ222" s="177"/>
      <c r="DR222" s="177"/>
      <c r="DS222" s="177"/>
      <c r="DT222" s="177"/>
      <c r="DU222" s="177"/>
      <c r="DV222" s="177"/>
      <c r="DW222" s="177"/>
      <c r="DX222" s="177"/>
      <c r="DY222" s="177"/>
      <c r="DZ222" s="467">
        <f t="shared" si="272"/>
        <v>8.0769837237416153E-2</v>
      </c>
      <c r="EA222" s="467" t="e">
        <f t="shared" si="272"/>
        <v>#DIV/0!</v>
      </c>
      <c r="EB222" s="467"/>
      <c r="EC222" s="467"/>
      <c r="ED222" s="467"/>
      <c r="EF222" s="161"/>
      <c r="EH222" s="161"/>
      <c r="EM222" s="161"/>
      <c r="EN222" s="161"/>
      <c r="EO222" s="161"/>
      <c r="EP222" s="161"/>
      <c r="FL222" s="161"/>
      <c r="FM222" s="161"/>
      <c r="FN222" s="161"/>
      <c r="FO222" s="161"/>
      <c r="FP222" s="161"/>
      <c r="FQ222" s="161"/>
      <c r="FR222" s="161"/>
      <c r="FS222" s="639"/>
      <c r="FT222" s="639"/>
      <c r="FU222" s="161"/>
      <c r="FV222" s="161"/>
      <c r="FW222" s="667"/>
      <c r="FX222" s="667"/>
      <c r="FY222" s="161"/>
      <c r="FZ222" s="161"/>
      <c r="GA222" s="161"/>
      <c r="GB222" s="161"/>
      <c r="GC222" s="177"/>
      <c r="GD222" s="161"/>
      <c r="GE222" s="177"/>
    </row>
    <row r="223" spans="1:187">
      <c r="A223" s="161"/>
      <c r="B223" s="161"/>
      <c r="C223" s="161"/>
      <c r="D223" s="161"/>
      <c r="E223" s="161"/>
      <c r="F223" s="161"/>
      <c r="G223" s="161"/>
      <c r="H223" s="161"/>
      <c r="I223" s="161"/>
      <c r="J223" s="161"/>
      <c r="K223" s="161"/>
      <c r="L223" s="161"/>
      <c r="M223" s="161"/>
      <c r="N223" s="161"/>
      <c r="O223" s="161"/>
      <c r="P223" s="161"/>
      <c r="Q223" s="161"/>
      <c r="R223" s="161"/>
      <c r="S223" s="161"/>
      <c r="T223" s="161"/>
      <c r="U223" s="161"/>
      <c r="V223" s="161"/>
      <c r="W223" s="161"/>
      <c r="X223" s="161"/>
      <c r="Y223" s="161"/>
      <c r="Z223" s="161"/>
      <c r="AA223" s="161"/>
      <c r="AB223" s="161"/>
      <c r="AC223" s="161"/>
      <c r="AD223" s="161"/>
      <c r="AE223" s="161"/>
      <c r="AF223" s="161"/>
      <c r="AG223" s="161"/>
      <c r="AH223" s="161"/>
      <c r="AI223" s="161"/>
      <c r="AJ223" s="161"/>
      <c r="AK223" s="161"/>
      <c r="AL223" s="161"/>
      <c r="AM223" s="161"/>
      <c r="AN223" s="161"/>
      <c r="AO223" s="161"/>
      <c r="AP223" s="161"/>
      <c r="AQ223" s="161"/>
      <c r="AR223" s="161"/>
      <c r="AS223" s="161"/>
      <c r="AT223" s="161"/>
      <c r="AU223" s="161"/>
      <c r="AV223" s="161"/>
      <c r="AW223" s="161"/>
      <c r="AX223" s="161"/>
      <c r="AY223" s="161"/>
      <c r="AZ223" s="161"/>
      <c r="BA223" s="161"/>
      <c r="BB223" s="161"/>
      <c r="BC223" s="161"/>
      <c r="BD223" s="161"/>
      <c r="BE223" s="161"/>
      <c r="BF223" s="161"/>
      <c r="BG223" s="161"/>
      <c r="BH223" s="161"/>
      <c r="BI223" s="161"/>
      <c r="BJ223" s="161"/>
      <c r="BK223" s="161"/>
      <c r="BL223" s="161"/>
      <c r="BM223" s="161"/>
      <c r="BN223" s="161"/>
      <c r="BO223" s="263">
        <v>1232.873</v>
      </c>
      <c r="BP223" s="161"/>
      <c r="BQ223" s="161"/>
      <c r="BR223" s="161"/>
      <c r="BS223" s="263">
        <f t="shared" si="271"/>
        <v>1585.7640000000001</v>
      </c>
      <c r="BT223" s="161"/>
      <c r="BU223" s="161"/>
      <c r="BV223" s="161"/>
      <c r="BW223" s="161"/>
      <c r="BX223" s="161"/>
      <c r="BY223" s="161"/>
      <c r="BZ223" s="161"/>
      <c r="CA223" s="161"/>
      <c r="CB223" s="161"/>
      <c r="CC223" s="161"/>
      <c r="CD223" s="161"/>
      <c r="CE223" s="161"/>
      <c r="CF223" s="161"/>
      <c r="CG223" s="161"/>
      <c r="CH223" s="161"/>
      <c r="CI223" s="161"/>
      <c r="CJ223" s="161"/>
      <c r="CK223" s="161"/>
      <c r="CL223" s="161"/>
      <c r="CM223" s="161"/>
      <c r="CN223" s="161"/>
      <c r="CO223" s="161"/>
      <c r="CP223" s="161"/>
      <c r="CQ223" s="161"/>
      <c r="CR223" s="161"/>
      <c r="CS223" s="161"/>
      <c r="CT223" s="161"/>
      <c r="CU223" s="161"/>
      <c r="CV223" s="161"/>
      <c r="CW223" s="161"/>
      <c r="CX223" s="161"/>
      <c r="CY223" s="161"/>
      <c r="CZ223" s="161"/>
      <c r="DA223" s="161"/>
      <c r="DB223" s="161"/>
      <c r="DC223" s="161"/>
      <c r="DD223" s="161"/>
      <c r="DE223" s="161"/>
      <c r="DF223" s="161"/>
      <c r="DG223" s="161"/>
      <c r="DH223" s="161"/>
      <c r="DI223" s="161"/>
      <c r="DJ223" s="161"/>
      <c r="DK223" s="177"/>
      <c r="DL223" s="177"/>
      <c r="DM223" s="177"/>
      <c r="DN223" s="177"/>
      <c r="DO223" s="177"/>
      <c r="DP223" s="177"/>
      <c r="DQ223" s="177"/>
      <c r="DR223" s="177"/>
      <c r="DS223" s="177"/>
      <c r="DT223" s="177"/>
      <c r="DU223" s="177"/>
      <c r="DV223" s="177"/>
      <c r="DW223" s="177"/>
      <c r="DX223" s="177"/>
      <c r="DY223" s="177"/>
      <c r="DZ223" s="467">
        <f t="shared" si="272"/>
        <v>0.28623467299551542</v>
      </c>
      <c r="EA223" s="467" t="e">
        <f t="shared" si="272"/>
        <v>#DIV/0!</v>
      </c>
      <c r="EB223" s="467"/>
      <c r="EC223" s="467"/>
      <c r="ED223" s="467"/>
      <c r="EF223" s="161"/>
      <c r="EH223" s="161"/>
      <c r="EM223" s="161"/>
      <c r="EN223" s="161"/>
      <c r="EO223" s="161"/>
      <c r="EP223" s="161"/>
      <c r="FL223" s="161"/>
      <c r="FM223" s="161"/>
      <c r="FN223" s="161"/>
      <c r="FO223" s="161"/>
      <c r="FP223" s="161"/>
      <c r="FQ223" s="161"/>
      <c r="FR223" s="161"/>
      <c r="FS223" s="639"/>
      <c r="FT223" s="639"/>
      <c r="FU223" s="161"/>
      <c r="FV223" s="161"/>
      <c r="FW223" s="667"/>
      <c r="FX223" s="667"/>
      <c r="FY223" s="161"/>
      <c r="FZ223" s="161"/>
      <c r="GA223" s="161"/>
      <c r="GB223" s="161"/>
      <c r="GC223" s="177"/>
      <c r="GD223" s="161"/>
      <c r="GE223" s="177"/>
    </row>
    <row r="224" spans="1:187">
      <c r="A224" s="161"/>
      <c r="B224" s="161"/>
      <c r="C224" s="161"/>
      <c r="D224" s="161"/>
      <c r="E224" s="161"/>
      <c r="F224" s="161"/>
      <c r="G224" s="161"/>
      <c r="H224" s="161"/>
      <c r="I224" s="161"/>
      <c r="J224" s="161"/>
      <c r="K224" s="161"/>
      <c r="L224" s="161"/>
      <c r="M224" s="161"/>
      <c r="N224" s="161"/>
      <c r="O224" s="161"/>
      <c r="P224" s="161"/>
      <c r="Q224" s="161"/>
      <c r="R224" s="161"/>
      <c r="S224" s="161"/>
      <c r="T224" s="161"/>
      <c r="U224" s="161"/>
      <c r="V224" s="161"/>
      <c r="W224" s="161"/>
      <c r="X224" s="161"/>
      <c r="Y224" s="161"/>
      <c r="Z224" s="161"/>
      <c r="AA224" s="161"/>
      <c r="AB224" s="161"/>
      <c r="AC224" s="161"/>
      <c r="AD224" s="161"/>
      <c r="AE224" s="161"/>
      <c r="AF224" s="161"/>
      <c r="AG224" s="161"/>
      <c r="AH224" s="161"/>
      <c r="AI224" s="161"/>
      <c r="AJ224" s="161"/>
      <c r="AK224" s="161"/>
      <c r="AL224" s="161"/>
      <c r="AM224" s="161"/>
      <c r="AN224" s="161"/>
      <c r="AO224" s="161"/>
      <c r="AP224" s="161"/>
      <c r="AQ224" s="161"/>
      <c r="AR224" s="161"/>
      <c r="AS224" s="161"/>
      <c r="AT224" s="161"/>
      <c r="AU224" s="161"/>
      <c r="AV224" s="161"/>
      <c r="AW224" s="161"/>
      <c r="AX224" s="161"/>
      <c r="AY224" s="161"/>
      <c r="AZ224" s="161"/>
      <c r="BA224" s="161"/>
      <c r="BB224" s="161"/>
      <c r="BC224" s="161"/>
      <c r="BD224" s="161"/>
      <c r="BE224" s="161"/>
      <c r="BF224" s="161"/>
      <c r="BG224" s="161"/>
      <c r="BH224" s="161"/>
      <c r="BI224" s="161"/>
      <c r="BJ224" s="161"/>
      <c r="BK224" s="161"/>
      <c r="BL224" s="161"/>
      <c r="BM224" s="161"/>
      <c r="BN224" s="161"/>
      <c r="BO224" s="263"/>
      <c r="BP224" s="161"/>
      <c r="BQ224" s="161"/>
      <c r="BR224" s="161"/>
      <c r="BS224" s="263"/>
      <c r="BT224" s="161"/>
      <c r="BU224" s="161"/>
      <c r="BV224" s="161"/>
      <c r="BW224" s="161"/>
      <c r="BX224" s="161"/>
      <c r="BY224" s="161"/>
      <c r="BZ224" s="161"/>
      <c r="CA224" s="161"/>
      <c r="CB224" s="161"/>
      <c r="CC224" s="161"/>
      <c r="CD224" s="161"/>
      <c r="CE224" s="161"/>
      <c r="CF224" s="161"/>
      <c r="CG224" s="161"/>
      <c r="CH224" s="161"/>
      <c r="CI224" s="161"/>
      <c r="CJ224" s="161"/>
      <c r="CK224" s="161"/>
      <c r="CL224" s="161"/>
      <c r="CM224" s="161"/>
      <c r="CN224" s="161"/>
      <c r="CO224" s="161"/>
      <c r="CP224" s="161"/>
      <c r="CQ224" s="161"/>
      <c r="CR224" s="161"/>
      <c r="CS224" s="161"/>
      <c r="CT224" s="161"/>
      <c r="CU224" s="161"/>
      <c r="CV224" s="161"/>
      <c r="CW224" s="161"/>
      <c r="CX224" s="161"/>
      <c r="CY224" s="161"/>
      <c r="CZ224" s="161"/>
      <c r="DA224" s="161"/>
      <c r="DB224" s="161"/>
      <c r="DC224" s="161"/>
      <c r="DD224" s="161"/>
      <c r="DE224" s="161"/>
      <c r="DF224" s="161"/>
      <c r="DG224" s="161"/>
      <c r="DH224" s="161"/>
      <c r="DI224" s="161"/>
      <c r="DJ224" s="161"/>
      <c r="DK224" s="177"/>
      <c r="DL224" s="177"/>
      <c r="DM224" s="177"/>
      <c r="DN224" s="177"/>
      <c r="DO224" s="177"/>
      <c r="DP224" s="177"/>
      <c r="DQ224" s="177"/>
      <c r="DR224" s="177"/>
      <c r="DS224" s="177"/>
      <c r="DT224" s="177"/>
      <c r="DU224" s="177"/>
      <c r="DV224" s="177"/>
      <c r="DW224" s="177"/>
      <c r="DX224" s="177"/>
      <c r="DY224" s="177"/>
      <c r="DZ224" s="467" t="e">
        <f t="shared" si="272"/>
        <v>#DIV/0!</v>
      </c>
      <c r="EA224" s="467" t="e">
        <f t="shared" si="272"/>
        <v>#DIV/0!</v>
      </c>
      <c r="EB224" s="467"/>
      <c r="EC224" s="467"/>
      <c r="ED224" s="467"/>
      <c r="EF224" s="161"/>
      <c r="EH224" s="161"/>
      <c r="EM224" s="161"/>
      <c r="EN224" s="161"/>
      <c r="EO224" s="161"/>
      <c r="EP224" s="161"/>
      <c r="FL224" s="161"/>
      <c r="FM224" s="161"/>
      <c r="FN224" s="161"/>
      <c r="FO224" s="161"/>
      <c r="FP224" s="161"/>
      <c r="FQ224" s="161"/>
      <c r="FR224" s="161"/>
      <c r="FS224" s="639"/>
      <c r="FT224" s="639"/>
      <c r="FU224" s="161"/>
      <c r="FV224" s="161"/>
      <c r="FW224" s="667"/>
      <c r="FX224" s="667"/>
      <c r="FY224" s="161"/>
      <c r="FZ224" s="161"/>
      <c r="GA224" s="161"/>
      <c r="GB224" s="161"/>
      <c r="GC224" s="177"/>
      <c r="GD224" s="161"/>
      <c r="GE224" s="177"/>
    </row>
    <row r="225" spans="1:187">
      <c r="A225" s="161"/>
      <c r="B225" s="161"/>
      <c r="C225" s="161"/>
      <c r="D225" s="161"/>
      <c r="E225" s="161"/>
      <c r="F225" s="161"/>
      <c r="G225" s="161"/>
      <c r="H225" s="161"/>
      <c r="I225" s="161"/>
      <c r="J225" s="161"/>
      <c r="K225" s="161"/>
      <c r="L225" s="161"/>
      <c r="M225" s="161"/>
      <c r="N225" s="161"/>
      <c r="O225" s="161"/>
      <c r="P225" s="161"/>
      <c r="Q225" s="161"/>
      <c r="R225" s="161"/>
      <c r="S225" s="161"/>
      <c r="T225" s="161"/>
      <c r="U225" s="161"/>
      <c r="V225" s="161"/>
      <c r="W225" s="161"/>
      <c r="X225" s="161"/>
      <c r="Y225" s="161"/>
      <c r="Z225" s="161"/>
      <c r="AA225" s="161"/>
      <c r="AB225" s="161"/>
      <c r="AC225" s="161"/>
      <c r="AD225" s="161"/>
      <c r="AE225" s="161"/>
      <c r="AF225" s="161"/>
      <c r="AG225" s="161"/>
      <c r="AH225" s="161"/>
      <c r="AI225" s="161"/>
      <c r="AJ225" s="161"/>
      <c r="AK225" s="161"/>
      <c r="AL225" s="161"/>
      <c r="AM225" s="161"/>
      <c r="AN225" s="161"/>
      <c r="AO225" s="161"/>
      <c r="AP225" s="161"/>
      <c r="AQ225" s="161"/>
      <c r="AR225" s="161"/>
      <c r="AS225" s="161"/>
      <c r="AT225" s="161"/>
      <c r="AU225" s="161"/>
      <c r="AV225" s="161"/>
      <c r="AW225" s="161"/>
      <c r="AX225" s="161"/>
      <c r="AY225" s="161"/>
      <c r="AZ225" s="161"/>
      <c r="BA225" s="161"/>
      <c r="BB225" s="161"/>
      <c r="BC225" s="161"/>
      <c r="BD225" s="161"/>
      <c r="BE225" s="161"/>
      <c r="BF225" s="161"/>
      <c r="BG225" s="161"/>
      <c r="BH225" s="161"/>
      <c r="BI225" s="161"/>
      <c r="BJ225" s="161"/>
      <c r="BK225" s="161"/>
      <c r="BL225" s="161"/>
      <c r="BM225" s="161"/>
      <c r="BN225" s="161"/>
      <c r="BO225" s="263">
        <v>5.5229999999999997</v>
      </c>
      <c r="BP225" s="161"/>
      <c r="BQ225" s="161"/>
      <c r="BR225" s="161"/>
      <c r="BS225" s="263">
        <f>BS199</f>
        <v>-18.760000000000002</v>
      </c>
      <c r="BT225" s="161"/>
      <c r="BU225" s="161"/>
      <c r="BV225" s="161"/>
      <c r="BW225" s="161"/>
      <c r="BX225" s="161"/>
      <c r="BY225" s="161"/>
      <c r="BZ225" s="161"/>
      <c r="CA225" s="161"/>
      <c r="CB225" s="161"/>
      <c r="CC225" s="161"/>
      <c r="CD225" s="161"/>
      <c r="CE225" s="161"/>
      <c r="CF225" s="161"/>
      <c r="CG225" s="161"/>
      <c r="CH225" s="161"/>
      <c r="CI225" s="161"/>
      <c r="CJ225" s="161"/>
      <c r="CK225" s="161"/>
      <c r="CL225" s="161"/>
      <c r="CM225" s="161"/>
      <c r="CN225" s="161"/>
      <c r="CO225" s="161"/>
      <c r="CP225" s="161"/>
      <c r="CQ225" s="161"/>
      <c r="CR225" s="161"/>
      <c r="CS225" s="161"/>
      <c r="CT225" s="161"/>
      <c r="CU225" s="161"/>
      <c r="CV225" s="161"/>
      <c r="CW225" s="161"/>
      <c r="CX225" s="161"/>
      <c r="CY225" s="161"/>
      <c r="CZ225" s="161"/>
      <c r="DA225" s="161"/>
      <c r="DB225" s="161"/>
      <c r="DC225" s="161"/>
      <c r="DD225" s="161"/>
      <c r="DE225" s="161"/>
      <c r="DF225" s="161"/>
      <c r="DG225" s="161"/>
      <c r="DH225" s="161"/>
      <c r="DI225" s="161"/>
      <c r="DJ225" s="161"/>
      <c r="DK225" s="177"/>
      <c r="DL225" s="177"/>
      <c r="DM225" s="177"/>
      <c r="DN225" s="177"/>
      <c r="DO225" s="177"/>
      <c r="DP225" s="177"/>
      <c r="DQ225" s="177"/>
      <c r="DR225" s="177"/>
      <c r="DS225" s="177"/>
      <c r="DT225" s="177"/>
      <c r="DU225" s="177"/>
      <c r="DV225" s="177"/>
      <c r="DW225" s="177"/>
      <c r="DX225" s="177"/>
      <c r="DY225" s="177"/>
      <c r="DZ225" s="467">
        <f t="shared" si="272"/>
        <v>-4.3967046894803552</v>
      </c>
      <c r="EA225" s="467" t="e">
        <f t="shared" si="272"/>
        <v>#DIV/0!</v>
      </c>
      <c r="EB225" s="467"/>
      <c r="EC225" s="467"/>
      <c r="ED225" s="467"/>
      <c r="EF225" s="161"/>
      <c r="EH225" s="161"/>
      <c r="EM225" s="161"/>
      <c r="EN225" s="161"/>
      <c r="EO225" s="161"/>
      <c r="EP225" s="161"/>
      <c r="FL225" s="161"/>
      <c r="FM225" s="161"/>
      <c r="FN225" s="161"/>
      <c r="FO225" s="161"/>
      <c r="FP225" s="161"/>
      <c r="FQ225" s="161"/>
      <c r="FR225" s="161"/>
      <c r="FS225" s="639"/>
      <c r="FT225" s="639"/>
      <c r="FU225" s="161"/>
      <c r="FV225" s="161"/>
      <c r="FW225" s="667"/>
      <c r="FX225" s="667"/>
      <c r="FY225" s="161"/>
      <c r="FZ225" s="161"/>
      <c r="GA225" s="161"/>
      <c r="GB225" s="161"/>
      <c r="GC225" s="177"/>
      <c r="GD225" s="161"/>
      <c r="GE225" s="177"/>
    </row>
    <row r="226" spans="1:187">
      <c r="A226" s="161"/>
      <c r="B226" s="161"/>
      <c r="C226" s="161"/>
      <c r="D226" s="161"/>
      <c r="E226" s="161"/>
      <c r="F226" s="161"/>
      <c r="G226" s="161"/>
      <c r="H226" s="161"/>
      <c r="I226" s="161"/>
      <c r="J226" s="161"/>
      <c r="K226" s="161"/>
      <c r="L226" s="161"/>
      <c r="M226" s="161"/>
      <c r="N226" s="161"/>
      <c r="O226" s="161"/>
      <c r="P226" s="161"/>
      <c r="Q226" s="161"/>
      <c r="R226" s="161"/>
      <c r="S226" s="161"/>
      <c r="T226" s="161"/>
      <c r="U226" s="161"/>
      <c r="V226" s="161"/>
      <c r="W226" s="161"/>
      <c r="X226" s="161"/>
      <c r="Y226" s="161"/>
      <c r="Z226" s="161"/>
      <c r="AA226" s="161"/>
      <c r="AB226" s="161"/>
      <c r="AC226" s="161"/>
      <c r="AD226" s="161"/>
      <c r="AE226" s="161"/>
      <c r="AF226" s="161"/>
      <c r="AG226" s="161"/>
      <c r="AH226" s="161"/>
      <c r="AI226" s="161"/>
      <c r="AJ226" s="161"/>
      <c r="AK226" s="161"/>
      <c r="AL226" s="161"/>
      <c r="AM226" s="161"/>
      <c r="AN226" s="161"/>
      <c r="AO226" s="161"/>
      <c r="AP226" s="161"/>
      <c r="AQ226" s="161"/>
      <c r="AR226" s="161"/>
      <c r="AS226" s="161"/>
      <c r="AT226" s="161"/>
      <c r="AU226" s="161"/>
      <c r="AV226" s="161"/>
      <c r="AW226" s="161"/>
      <c r="AX226" s="161"/>
      <c r="AY226" s="161"/>
      <c r="AZ226" s="161"/>
      <c r="BA226" s="161"/>
      <c r="BB226" s="161"/>
      <c r="BC226" s="161"/>
      <c r="BD226" s="161"/>
      <c r="BE226" s="161"/>
      <c r="BF226" s="161"/>
      <c r="BG226" s="161"/>
      <c r="BH226" s="161"/>
      <c r="BI226" s="161"/>
      <c r="BJ226" s="161"/>
      <c r="BK226" s="161"/>
      <c r="BL226" s="161"/>
      <c r="BM226" s="161"/>
      <c r="BN226" s="161"/>
      <c r="BO226" s="263">
        <v>684.00800000000004</v>
      </c>
      <c r="BP226" s="161"/>
      <c r="BQ226" s="161"/>
      <c r="BR226" s="161"/>
      <c r="BS226" s="263">
        <f>BS200</f>
        <v>475.548</v>
      </c>
      <c r="BT226" s="161"/>
      <c r="BU226" s="161"/>
      <c r="BV226" s="161"/>
      <c r="BW226" s="161"/>
      <c r="BX226" s="161"/>
      <c r="BY226" s="161"/>
      <c r="BZ226" s="161"/>
      <c r="CA226" s="161"/>
      <c r="CB226" s="161"/>
      <c r="CC226" s="161"/>
      <c r="CD226" s="161"/>
      <c r="CE226" s="161"/>
      <c r="CF226" s="161"/>
      <c r="CG226" s="161"/>
      <c r="CH226" s="161"/>
      <c r="CI226" s="161"/>
      <c r="CJ226" s="161"/>
      <c r="CK226" s="161"/>
      <c r="CL226" s="161"/>
      <c r="CM226" s="161"/>
      <c r="CN226" s="161"/>
      <c r="CO226" s="161"/>
      <c r="CP226" s="161"/>
      <c r="CQ226" s="161"/>
      <c r="CR226" s="161"/>
      <c r="CS226" s="161"/>
      <c r="CT226" s="161"/>
      <c r="CU226" s="161"/>
      <c r="CV226" s="161"/>
      <c r="CW226" s="161"/>
      <c r="CX226" s="161"/>
      <c r="CY226" s="161"/>
      <c r="CZ226" s="161"/>
      <c r="DA226" s="161"/>
      <c r="DB226" s="161"/>
      <c r="DC226" s="161"/>
      <c r="DD226" s="161"/>
      <c r="DE226" s="161"/>
      <c r="DF226" s="161"/>
      <c r="DG226" s="161"/>
      <c r="DH226" s="161"/>
      <c r="DI226" s="161"/>
      <c r="DJ226" s="161"/>
      <c r="DK226" s="177"/>
      <c r="DL226" s="177"/>
      <c r="DM226" s="177"/>
      <c r="DN226" s="177"/>
      <c r="DO226" s="177"/>
      <c r="DP226" s="177"/>
      <c r="DQ226" s="177"/>
      <c r="DR226" s="177"/>
      <c r="DS226" s="177"/>
      <c r="DT226" s="177"/>
      <c r="DU226" s="177"/>
      <c r="DV226" s="177"/>
      <c r="DW226" s="177"/>
      <c r="DX226" s="177"/>
      <c r="DY226" s="177"/>
      <c r="DZ226" s="467">
        <f t="shared" si="272"/>
        <v>-0.30476251739745741</v>
      </c>
      <c r="EA226" s="467" t="e">
        <f t="shared" si="272"/>
        <v>#DIV/0!</v>
      </c>
      <c r="EB226" s="467"/>
      <c r="EC226" s="467"/>
      <c r="ED226" s="467"/>
      <c r="EF226" s="161"/>
      <c r="EH226" s="161"/>
      <c r="EM226" s="161"/>
      <c r="EN226" s="161"/>
      <c r="EO226" s="161"/>
      <c r="EP226" s="161"/>
      <c r="FL226" s="161"/>
      <c r="FM226" s="161"/>
      <c r="FN226" s="161"/>
      <c r="FO226" s="161"/>
      <c r="FP226" s="161"/>
      <c r="FQ226" s="161"/>
      <c r="FR226" s="161"/>
      <c r="FS226" s="639"/>
      <c r="FT226" s="639"/>
      <c r="FU226" s="161"/>
      <c r="FV226" s="161"/>
      <c r="FW226" s="667"/>
      <c r="FX226" s="667"/>
      <c r="FY226" s="161"/>
      <c r="FZ226" s="161"/>
      <c r="GA226" s="161"/>
      <c r="GB226" s="161"/>
      <c r="GC226" s="177"/>
      <c r="GD226" s="161"/>
      <c r="GE226" s="177"/>
    </row>
    <row r="227" spans="1:187">
      <c r="A227" s="161"/>
      <c r="B227" s="161"/>
      <c r="C227" s="161"/>
      <c r="D227" s="161"/>
      <c r="E227" s="161"/>
      <c r="F227" s="161"/>
      <c r="G227" s="161"/>
      <c r="H227" s="161"/>
      <c r="I227" s="161"/>
      <c r="J227" s="161"/>
      <c r="K227" s="161"/>
      <c r="L227" s="161"/>
      <c r="M227" s="161"/>
      <c r="N227" s="161"/>
      <c r="O227" s="161"/>
      <c r="P227" s="161"/>
      <c r="Q227" s="161"/>
      <c r="R227" s="161"/>
      <c r="S227" s="161"/>
      <c r="T227" s="161"/>
      <c r="U227" s="161"/>
      <c r="V227" s="161"/>
      <c r="W227" s="161"/>
      <c r="X227" s="161"/>
      <c r="Y227" s="161"/>
      <c r="Z227" s="161"/>
      <c r="AA227" s="161"/>
      <c r="AB227" s="161"/>
      <c r="AC227" s="161"/>
      <c r="AD227" s="161"/>
      <c r="AE227" s="161"/>
      <c r="AF227" s="161"/>
      <c r="AG227" s="161"/>
      <c r="AH227" s="161"/>
      <c r="AI227" s="161"/>
      <c r="AJ227" s="161"/>
      <c r="AK227" s="161"/>
      <c r="AL227" s="161"/>
      <c r="AM227" s="161"/>
      <c r="AN227" s="161"/>
      <c r="AO227" s="161"/>
      <c r="AP227" s="161"/>
      <c r="AQ227" s="161"/>
      <c r="AR227" s="161"/>
      <c r="AS227" s="161"/>
      <c r="AT227" s="161"/>
      <c r="AU227" s="161"/>
      <c r="AV227" s="161"/>
      <c r="AW227" s="161"/>
      <c r="AX227" s="161"/>
      <c r="AY227" s="161"/>
      <c r="AZ227" s="161"/>
      <c r="BA227" s="161"/>
      <c r="BB227" s="161"/>
      <c r="BC227" s="161"/>
      <c r="BD227" s="161"/>
      <c r="BE227" s="161"/>
      <c r="BF227" s="161"/>
      <c r="BG227" s="161"/>
      <c r="BH227" s="161"/>
      <c r="BI227" s="161"/>
      <c r="BJ227" s="161"/>
      <c r="BK227" s="161"/>
      <c r="BL227" s="161"/>
      <c r="BM227" s="161"/>
      <c r="BN227" s="161"/>
      <c r="BO227" s="263">
        <v>0</v>
      </c>
      <c r="BP227" s="161"/>
      <c r="BQ227" s="161"/>
      <c r="BR227" s="161"/>
      <c r="BS227" s="263">
        <f>BS201</f>
        <v>0</v>
      </c>
      <c r="BT227" s="161"/>
      <c r="BU227" s="161"/>
      <c r="BV227" s="161"/>
      <c r="BW227" s="161"/>
      <c r="BX227" s="161"/>
      <c r="BY227" s="161"/>
      <c r="BZ227" s="161"/>
      <c r="CA227" s="161"/>
      <c r="CB227" s="161"/>
      <c r="CC227" s="161"/>
      <c r="CD227" s="161"/>
      <c r="CE227" s="161"/>
      <c r="CF227" s="161"/>
      <c r="CG227" s="161"/>
      <c r="CH227" s="161"/>
      <c r="CI227" s="161"/>
      <c r="CJ227" s="161"/>
      <c r="CK227" s="161"/>
      <c r="CL227" s="161"/>
      <c r="CM227" s="161"/>
      <c r="CN227" s="161"/>
      <c r="CO227" s="161"/>
      <c r="CP227" s="161"/>
      <c r="CQ227" s="161"/>
      <c r="CR227" s="161"/>
      <c r="CS227" s="161"/>
      <c r="CT227" s="161"/>
      <c r="CU227" s="161"/>
      <c r="CV227" s="161"/>
      <c r="CW227" s="161"/>
      <c r="CX227" s="161"/>
      <c r="CY227" s="161"/>
      <c r="CZ227" s="161"/>
      <c r="DA227" s="161"/>
      <c r="DB227" s="161"/>
      <c r="DC227" s="161"/>
      <c r="DD227" s="161"/>
      <c r="DE227" s="161"/>
      <c r="DF227" s="161"/>
      <c r="DG227" s="161"/>
      <c r="DH227" s="161"/>
      <c r="DI227" s="161"/>
      <c r="DJ227" s="161"/>
      <c r="DK227" s="177"/>
      <c r="DL227" s="177"/>
      <c r="DM227" s="177"/>
      <c r="DN227" s="177"/>
      <c r="DO227" s="177"/>
      <c r="DP227" s="177"/>
      <c r="DQ227" s="177"/>
      <c r="DR227" s="177"/>
      <c r="DS227" s="177"/>
      <c r="DT227" s="177"/>
      <c r="DU227" s="177"/>
      <c r="DV227" s="177"/>
      <c r="DW227" s="177"/>
      <c r="DX227" s="177"/>
      <c r="DY227" s="177"/>
      <c r="DZ227" s="467" t="e">
        <f t="shared" si="272"/>
        <v>#DIV/0!</v>
      </c>
      <c r="EA227" s="467" t="e">
        <f t="shared" si="272"/>
        <v>#DIV/0!</v>
      </c>
      <c r="EB227" s="467"/>
      <c r="EC227" s="467"/>
      <c r="ED227" s="467"/>
      <c r="EF227" s="161"/>
      <c r="EH227" s="161"/>
      <c r="EM227" s="161"/>
      <c r="EN227" s="161"/>
      <c r="EO227" s="161"/>
      <c r="EP227" s="161"/>
      <c r="FL227" s="161"/>
      <c r="FM227" s="161"/>
      <c r="FN227" s="161"/>
      <c r="FO227" s="161"/>
      <c r="FP227" s="161"/>
      <c r="FQ227" s="161"/>
      <c r="FR227" s="161"/>
      <c r="FS227" s="639"/>
      <c r="FT227" s="639"/>
      <c r="FU227" s="161"/>
      <c r="FV227" s="161"/>
      <c r="FW227" s="667"/>
      <c r="FX227" s="667"/>
      <c r="FY227" s="161"/>
      <c r="FZ227" s="161"/>
      <c r="GA227" s="161"/>
      <c r="GB227" s="161"/>
      <c r="GC227" s="177"/>
      <c r="GD227" s="161"/>
      <c r="GE227" s="177"/>
    </row>
    <row r="228" spans="1:187">
      <c r="A228" s="161"/>
      <c r="B228" s="161"/>
      <c r="C228" s="161"/>
      <c r="D228" s="161"/>
      <c r="E228" s="161"/>
      <c r="F228" s="161"/>
      <c r="G228" s="161"/>
      <c r="H228" s="161"/>
      <c r="I228" s="161"/>
      <c r="J228" s="161"/>
      <c r="K228" s="161"/>
      <c r="L228" s="161"/>
      <c r="M228" s="161"/>
      <c r="N228" s="161"/>
      <c r="O228" s="161"/>
      <c r="P228" s="161"/>
      <c r="Q228" s="161"/>
      <c r="R228" s="161"/>
      <c r="S228" s="161"/>
      <c r="T228" s="161"/>
      <c r="U228" s="161"/>
      <c r="V228" s="161"/>
      <c r="W228" s="161"/>
      <c r="X228" s="161"/>
      <c r="Y228" s="161"/>
      <c r="Z228" s="161"/>
      <c r="AA228" s="161"/>
      <c r="AB228" s="161"/>
      <c r="AC228" s="161"/>
      <c r="AD228" s="161"/>
      <c r="AE228" s="161"/>
      <c r="AF228" s="161"/>
      <c r="AG228" s="161"/>
      <c r="AH228" s="161"/>
      <c r="AI228" s="161"/>
      <c r="AJ228" s="161"/>
      <c r="AK228" s="161"/>
      <c r="AL228" s="161"/>
      <c r="AM228" s="161"/>
      <c r="AN228" s="161"/>
      <c r="AO228" s="161"/>
      <c r="AP228" s="161"/>
      <c r="AQ228" s="161"/>
      <c r="AR228" s="161"/>
      <c r="AS228" s="161"/>
      <c r="AT228" s="161"/>
      <c r="AU228" s="161"/>
      <c r="AV228" s="161"/>
      <c r="AW228" s="161"/>
      <c r="AX228" s="161"/>
      <c r="AY228" s="161"/>
      <c r="AZ228" s="161"/>
      <c r="BA228" s="161"/>
      <c r="BB228" s="161"/>
      <c r="BC228" s="161"/>
      <c r="BD228" s="161"/>
      <c r="BE228" s="161"/>
      <c r="BF228" s="161"/>
      <c r="BG228" s="161"/>
      <c r="BH228" s="161"/>
      <c r="BI228" s="161"/>
      <c r="BJ228" s="161"/>
      <c r="BK228" s="161"/>
      <c r="BL228" s="161"/>
      <c r="BM228" s="161"/>
      <c r="BN228" s="161"/>
      <c r="BO228" s="263">
        <v>808.61599999999953</v>
      </c>
      <c r="BP228" s="161"/>
      <c r="BQ228" s="161"/>
      <c r="BR228" s="161"/>
      <c r="BS228" s="263">
        <f>BS202</f>
        <v>1091.4560000000001</v>
      </c>
      <c r="BT228" s="161"/>
      <c r="BU228" s="161"/>
      <c r="BV228" s="161"/>
      <c r="BW228" s="161"/>
      <c r="BX228" s="161"/>
      <c r="BY228" s="161"/>
      <c r="BZ228" s="161"/>
      <c r="CA228" s="161"/>
      <c r="CB228" s="161"/>
      <c r="CC228" s="161"/>
      <c r="CD228" s="161"/>
      <c r="CE228" s="161"/>
      <c r="CF228" s="161"/>
      <c r="CG228" s="161"/>
      <c r="CH228" s="161"/>
      <c r="CI228" s="161"/>
      <c r="CJ228" s="161"/>
      <c r="CK228" s="161"/>
      <c r="CL228" s="161"/>
      <c r="CM228" s="161"/>
      <c r="CN228" s="161"/>
      <c r="CO228" s="161"/>
      <c r="CP228" s="161"/>
      <c r="CQ228" s="161"/>
      <c r="CR228" s="161"/>
      <c r="CS228" s="161"/>
      <c r="CT228" s="161"/>
      <c r="CU228" s="161"/>
      <c r="CV228" s="161"/>
      <c r="CW228" s="161"/>
      <c r="CX228" s="161"/>
      <c r="CY228" s="161"/>
      <c r="CZ228" s="161"/>
      <c r="DA228" s="161"/>
      <c r="DB228" s="161"/>
      <c r="DC228" s="161"/>
      <c r="DD228" s="161"/>
      <c r="DE228" s="161"/>
      <c r="DF228" s="161"/>
      <c r="DG228" s="161"/>
      <c r="DH228" s="161"/>
      <c r="DI228" s="161"/>
      <c r="DJ228" s="161"/>
      <c r="DK228" s="177"/>
      <c r="DL228" s="177"/>
      <c r="DM228" s="177"/>
      <c r="DN228" s="177"/>
      <c r="DO228" s="177"/>
      <c r="DP228" s="177"/>
      <c r="DQ228" s="177"/>
      <c r="DR228" s="177"/>
      <c r="DS228" s="177"/>
      <c r="DT228" s="177"/>
      <c r="DU228" s="177"/>
      <c r="DV228" s="177"/>
      <c r="DW228" s="177"/>
      <c r="DX228" s="177"/>
      <c r="DY228" s="177"/>
      <c r="DZ228" s="467">
        <f t="shared" si="272"/>
        <v>0.3497828388258466</v>
      </c>
      <c r="EA228" s="467" t="e">
        <f t="shared" si="272"/>
        <v>#DIV/0!</v>
      </c>
      <c r="EB228" s="467"/>
      <c r="EC228" s="467"/>
      <c r="ED228" s="467"/>
      <c r="EF228" s="161"/>
      <c r="EH228" s="161"/>
      <c r="EM228" s="161"/>
      <c r="EN228" s="161"/>
      <c r="EO228" s="161"/>
      <c r="EP228" s="161"/>
      <c r="FL228" s="161"/>
      <c r="FM228" s="161"/>
      <c r="FN228" s="161"/>
      <c r="FO228" s="161"/>
      <c r="FP228" s="161"/>
      <c r="FQ228" s="161"/>
      <c r="FR228" s="161"/>
      <c r="FS228" s="639"/>
      <c r="FT228" s="639"/>
      <c r="FU228" s="161"/>
      <c r="FV228" s="161"/>
      <c r="FW228" s="667"/>
      <c r="FX228" s="667"/>
      <c r="FY228" s="161"/>
      <c r="FZ228" s="161"/>
      <c r="GA228" s="161"/>
      <c r="GB228" s="161"/>
      <c r="GC228" s="177"/>
      <c r="GD228" s="161"/>
      <c r="GE228" s="177"/>
    </row>
    <row r="229" spans="1:187">
      <c r="A229" s="161"/>
      <c r="B229" s="161"/>
      <c r="C229" s="161"/>
      <c r="D229" s="161"/>
      <c r="E229" s="161"/>
      <c r="F229" s="161"/>
      <c r="G229" s="161"/>
      <c r="H229" s="161"/>
      <c r="I229" s="161"/>
      <c r="J229" s="161"/>
      <c r="K229" s="161"/>
      <c r="L229" s="161"/>
      <c r="M229" s="161"/>
      <c r="N229" s="161"/>
      <c r="O229" s="161"/>
      <c r="P229" s="161"/>
      <c r="Q229" s="161"/>
      <c r="R229" s="161"/>
      <c r="S229" s="161"/>
      <c r="T229" s="161"/>
      <c r="U229" s="161"/>
      <c r="V229" s="161"/>
      <c r="W229" s="161"/>
      <c r="X229" s="161"/>
      <c r="Y229" s="161"/>
      <c r="Z229" s="161"/>
      <c r="AA229" s="161"/>
      <c r="AB229" s="161"/>
      <c r="AC229" s="161"/>
      <c r="AD229" s="161"/>
      <c r="AE229" s="161"/>
      <c r="AF229" s="161"/>
      <c r="AG229" s="161"/>
      <c r="AH229" s="161"/>
      <c r="AI229" s="161"/>
      <c r="AJ229" s="161"/>
      <c r="AK229" s="161"/>
      <c r="AL229" s="161"/>
      <c r="AM229" s="161"/>
      <c r="AN229" s="161"/>
      <c r="AO229" s="161"/>
      <c r="AP229" s="161"/>
      <c r="AQ229" s="161"/>
      <c r="AR229" s="161"/>
      <c r="AS229" s="161"/>
      <c r="AT229" s="161"/>
      <c r="AU229" s="161"/>
      <c r="AV229" s="161"/>
      <c r="AW229" s="161"/>
      <c r="AX229" s="161"/>
      <c r="AY229" s="161"/>
      <c r="AZ229" s="161"/>
      <c r="BA229" s="161"/>
      <c r="BB229" s="161"/>
      <c r="BC229" s="161"/>
      <c r="BD229" s="161"/>
      <c r="BE229" s="161"/>
      <c r="BF229" s="161"/>
      <c r="BG229" s="161"/>
      <c r="BH229" s="161"/>
      <c r="BI229" s="161"/>
      <c r="BJ229" s="161"/>
      <c r="BK229" s="161"/>
      <c r="BL229" s="161"/>
      <c r="BM229" s="161"/>
      <c r="BN229" s="161"/>
      <c r="BO229" s="263"/>
      <c r="BP229" s="161"/>
      <c r="BQ229" s="161"/>
      <c r="BR229" s="161"/>
      <c r="BS229" s="263"/>
      <c r="BT229" s="161"/>
      <c r="BU229" s="161"/>
      <c r="BV229" s="161"/>
      <c r="BW229" s="161"/>
      <c r="BX229" s="161"/>
      <c r="BY229" s="161"/>
      <c r="BZ229" s="161"/>
      <c r="CA229" s="161"/>
      <c r="CB229" s="161"/>
      <c r="CC229" s="161"/>
      <c r="CD229" s="161"/>
      <c r="CE229" s="161"/>
      <c r="CF229" s="161"/>
      <c r="CG229" s="161"/>
      <c r="CH229" s="161"/>
      <c r="CI229" s="161"/>
      <c r="CJ229" s="161"/>
      <c r="CK229" s="161"/>
      <c r="CL229" s="161"/>
      <c r="CM229" s="161"/>
      <c r="CN229" s="161"/>
      <c r="CO229" s="161"/>
      <c r="CP229" s="161"/>
      <c r="CQ229" s="161"/>
      <c r="CR229" s="161"/>
      <c r="CS229" s="161"/>
      <c r="CT229" s="161"/>
      <c r="CU229" s="161"/>
      <c r="CV229" s="161"/>
      <c r="CW229" s="161"/>
      <c r="CX229" s="161"/>
      <c r="CY229" s="161"/>
      <c r="CZ229" s="161"/>
      <c r="DA229" s="161"/>
      <c r="DB229" s="161"/>
      <c r="DC229" s="161"/>
      <c r="DD229" s="161"/>
      <c r="DE229" s="161"/>
      <c r="DF229" s="161"/>
      <c r="DG229" s="161"/>
      <c r="DH229" s="161"/>
      <c r="DI229" s="161"/>
      <c r="DJ229" s="161"/>
      <c r="DK229" s="177"/>
      <c r="DL229" s="177"/>
      <c r="DM229" s="177"/>
      <c r="DN229" s="177"/>
      <c r="DO229" s="177"/>
      <c r="DP229" s="177"/>
      <c r="DQ229" s="177"/>
      <c r="DR229" s="177"/>
      <c r="DS229" s="177"/>
      <c r="DT229" s="177"/>
      <c r="DU229" s="177"/>
      <c r="DV229" s="177"/>
      <c r="DW229" s="177"/>
      <c r="DX229" s="177"/>
      <c r="DY229" s="177"/>
      <c r="DZ229" s="467" t="e">
        <f t="shared" si="272"/>
        <v>#DIV/0!</v>
      </c>
      <c r="EA229" s="467" t="e">
        <f t="shared" si="272"/>
        <v>#DIV/0!</v>
      </c>
      <c r="EB229" s="467"/>
      <c r="EC229" s="467"/>
      <c r="ED229" s="467"/>
      <c r="EF229" s="161"/>
      <c r="EH229" s="161"/>
      <c r="EM229" s="161"/>
      <c r="EN229" s="161"/>
      <c r="EO229" s="161"/>
      <c r="EP229" s="161"/>
      <c r="FL229" s="161"/>
      <c r="FM229" s="161"/>
      <c r="FN229" s="161"/>
      <c r="FO229" s="161"/>
      <c r="FP229" s="161"/>
      <c r="FQ229" s="161"/>
      <c r="FR229" s="161"/>
      <c r="FS229" s="639"/>
      <c r="FT229" s="639"/>
      <c r="FU229" s="161"/>
      <c r="FV229" s="161"/>
      <c r="FW229" s="667"/>
      <c r="FX229" s="667"/>
      <c r="FY229" s="161"/>
      <c r="FZ229" s="161"/>
      <c r="GA229" s="161"/>
      <c r="GB229" s="161"/>
      <c r="GC229" s="177"/>
      <c r="GD229" s="161"/>
      <c r="GE229" s="177"/>
    </row>
    <row r="230" spans="1:187">
      <c r="A230" s="161"/>
      <c r="B230" s="161"/>
      <c r="C230" s="161"/>
      <c r="D230" s="161"/>
      <c r="E230" s="161"/>
      <c r="F230" s="161"/>
      <c r="G230" s="161"/>
      <c r="H230" s="161"/>
      <c r="I230" s="161"/>
      <c r="J230" s="161"/>
      <c r="K230" s="161"/>
      <c r="L230" s="161"/>
      <c r="M230" s="161"/>
      <c r="N230" s="161"/>
      <c r="O230" s="161"/>
      <c r="P230" s="161"/>
      <c r="Q230" s="161"/>
      <c r="R230" s="161"/>
      <c r="S230" s="161"/>
      <c r="T230" s="161"/>
      <c r="U230" s="161"/>
      <c r="V230" s="161"/>
      <c r="W230" s="161"/>
      <c r="X230" s="161"/>
      <c r="Y230" s="161"/>
      <c r="Z230" s="161"/>
      <c r="AA230" s="161"/>
      <c r="AB230" s="161"/>
      <c r="AC230" s="161"/>
      <c r="AD230" s="161"/>
      <c r="AE230" s="161"/>
      <c r="AF230" s="161"/>
      <c r="AG230" s="161"/>
      <c r="AH230" s="161"/>
      <c r="AI230" s="161"/>
      <c r="AJ230" s="161"/>
      <c r="AK230" s="161"/>
      <c r="AL230" s="161"/>
      <c r="AM230" s="161"/>
      <c r="AN230" s="161"/>
      <c r="AO230" s="161"/>
      <c r="AP230" s="161"/>
      <c r="AQ230" s="161"/>
      <c r="AR230" s="161"/>
      <c r="AS230" s="161"/>
      <c r="AT230" s="161"/>
      <c r="AU230" s="161"/>
      <c r="AV230" s="161"/>
      <c r="AW230" s="161"/>
      <c r="AX230" s="161"/>
      <c r="AY230" s="161"/>
      <c r="AZ230" s="161"/>
      <c r="BA230" s="161"/>
      <c r="BB230" s="161"/>
      <c r="BC230" s="161"/>
      <c r="BD230" s="161"/>
      <c r="BE230" s="161"/>
      <c r="BF230" s="161"/>
      <c r="BG230" s="161"/>
      <c r="BH230" s="161"/>
      <c r="BI230" s="161"/>
      <c r="BJ230" s="161"/>
      <c r="BK230" s="161"/>
      <c r="BL230" s="161"/>
      <c r="BM230" s="161"/>
      <c r="BN230" s="161"/>
      <c r="BO230" s="263">
        <v>243.483</v>
      </c>
      <c r="BP230" s="161"/>
      <c r="BQ230" s="161"/>
      <c r="BR230" s="161"/>
      <c r="BS230" s="263">
        <f>BS204</f>
        <v>327.43299999999999</v>
      </c>
      <c r="BT230" s="161"/>
      <c r="BU230" s="161"/>
      <c r="BV230" s="161"/>
      <c r="BW230" s="161"/>
      <c r="BX230" s="161"/>
      <c r="BY230" s="161"/>
      <c r="BZ230" s="161"/>
      <c r="CA230" s="161"/>
      <c r="CB230" s="161"/>
      <c r="CC230" s="161"/>
      <c r="CD230" s="161"/>
      <c r="CE230" s="161"/>
      <c r="CF230" s="161"/>
      <c r="CG230" s="161"/>
      <c r="CH230" s="161"/>
      <c r="CI230" s="161"/>
      <c r="CJ230" s="161"/>
      <c r="CK230" s="161"/>
      <c r="CL230" s="161"/>
      <c r="CM230" s="161"/>
      <c r="CN230" s="161"/>
      <c r="CO230" s="161"/>
      <c r="CP230" s="161"/>
      <c r="CQ230" s="161"/>
      <c r="CR230" s="161"/>
      <c r="CS230" s="161"/>
      <c r="CT230" s="161"/>
      <c r="CU230" s="161"/>
      <c r="CV230" s="161"/>
      <c r="CW230" s="161"/>
      <c r="CX230" s="161"/>
      <c r="CY230" s="161"/>
      <c r="CZ230" s="161"/>
      <c r="DA230" s="161"/>
      <c r="DB230" s="161"/>
      <c r="DC230" s="161"/>
      <c r="DD230" s="161"/>
      <c r="DE230" s="161"/>
      <c r="DF230" s="161"/>
      <c r="DG230" s="161"/>
      <c r="DH230" s="161"/>
      <c r="DI230" s="161"/>
      <c r="DJ230" s="161"/>
      <c r="DK230" s="177"/>
      <c r="DL230" s="177"/>
      <c r="DM230" s="177"/>
      <c r="DN230" s="177"/>
      <c r="DO230" s="177"/>
      <c r="DP230" s="177"/>
      <c r="DQ230" s="177"/>
      <c r="DR230" s="177"/>
      <c r="DS230" s="177"/>
      <c r="DT230" s="177"/>
      <c r="DU230" s="177"/>
      <c r="DV230" s="177"/>
      <c r="DW230" s="177"/>
      <c r="DX230" s="177"/>
      <c r="DY230" s="177"/>
      <c r="DZ230" s="467">
        <f t="shared" si="272"/>
        <v>0.34478793180632739</v>
      </c>
      <c r="EA230" s="467" t="e">
        <f t="shared" si="272"/>
        <v>#DIV/0!</v>
      </c>
      <c r="EB230" s="467"/>
      <c r="EC230" s="467"/>
      <c r="ED230" s="467"/>
      <c r="EF230" s="161"/>
      <c r="EH230" s="161"/>
      <c r="EM230" s="161"/>
      <c r="EN230" s="161"/>
      <c r="EO230" s="161"/>
      <c r="EP230" s="161"/>
      <c r="FL230" s="161"/>
      <c r="FM230" s="161"/>
      <c r="FN230" s="161"/>
      <c r="FO230" s="161"/>
      <c r="FP230" s="161"/>
      <c r="FQ230" s="161"/>
      <c r="FR230" s="161"/>
      <c r="FS230" s="639"/>
      <c r="FT230" s="639"/>
      <c r="FU230" s="161"/>
      <c r="FV230" s="161"/>
      <c r="FW230" s="667"/>
      <c r="FX230" s="667"/>
      <c r="FY230" s="161"/>
      <c r="FZ230" s="161"/>
      <c r="GA230" s="161"/>
      <c r="GB230" s="161"/>
      <c r="GC230" s="177"/>
      <c r="GD230" s="161"/>
      <c r="GE230" s="177"/>
    </row>
    <row r="231" spans="1:187">
      <c r="A231" s="161"/>
      <c r="B231" s="161"/>
      <c r="C231" s="161"/>
      <c r="D231" s="161"/>
      <c r="E231" s="161"/>
      <c r="F231" s="161"/>
      <c r="G231" s="161"/>
      <c r="H231" s="161"/>
      <c r="I231" s="161"/>
      <c r="J231" s="161"/>
      <c r="K231" s="161"/>
      <c r="L231" s="161"/>
      <c r="M231" s="161"/>
      <c r="N231" s="161"/>
      <c r="O231" s="161"/>
      <c r="P231" s="161"/>
      <c r="Q231" s="161"/>
      <c r="R231" s="161"/>
      <c r="S231" s="161"/>
      <c r="T231" s="161"/>
      <c r="U231" s="161"/>
      <c r="V231" s="161"/>
      <c r="W231" s="161"/>
      <c r="X231" s="161"/>
      <c r="Y231" s="161"/>
      <c r="Z231" s="161"/>
      <c r="AA231" s="161"/>
      <c r="AB231" s="161"/>
      <c r="AC231" s="161"/>
      <c r="AD231" s="161"/>
      <c r="AE231" s="161"/>
      <c r="AF231" s="161"/>
      <c r="AG231" s="161"/>
      <c r="AH231" s="161"/>
      <c r="AI231" s="161"/>
      <c r="AJ231" s="161"/>
      <c r="AK231" s="161"/>
      <c r="AL231" s="161"/>
      <c r="AM231" s="161"/>
      <c r="AN231" s="161"/>
      <c r="AO231" s="161"/>
      <c r="AP231" s="161"/>
      <c r="AQ231" s="161"/>
      <c r="AR231" s="161"/>
      <c r="AS231" s="161"/>
      <c r="AT231" s="161"/>
      <c r="AU231" s="161"/>
      <c r="AV231" s="161"/>
      <c r="AW231" s="161"/>
      <c r="AX231" s="161"/>
      <c r="AY231" s="161"/>
      <c r="AZ231" s="161"/>
      <c r="BA231" s="161"/>
      <c r="BB231" s="161"/>
      <c r="BC231" s="161"/>
      <c r="BD231" s="161"/>
      <c r="BE231" s="161"/>
      <c r="BF231" s="161"/>
      <c r="BG231" s="161"/>
      <c r="BH231" s="161"/>
      <c r="BI231" s="161"/>
      <c r="BJ231" s="161"/>
      <c r="BK231" s="161"/>
      <c r="BL231" s="161"/>
      <c r="BM231" s="161"/>
      <c r="BN231" s="161"/>
      <c r="BO231" s="986">
        <v>0.30111078682588538</v>
      </c>
      <c r="BP231" s="161"/>
      <c r="BQ231" s="161"/>
      <c r="BR231" s="161"/>
      <c r="BS231" s="986">
        <f>BS205</f>
        <v>0.29999651841210268</v>
      </c>
      <c r="BT231" s="161"/>
      <c r="BU231" s="161"/>
      <c r="BV231" s="161"/>
      <c r="BW231" s="161"/>
      <c r="BX231" s="161"/>
      <c r="BY231" s="161"/>
      <c r="BZ231" s="161"/>
      <c r="CA231" s="161"/>
      <c r="CB231" s="161"/>
      <c r="CC231" s="161"/>
      <c r="CD231" s="161"/>
      <c r="CE231" s="161"/>
      <c r="CF231" s="161"/>
      <c r="CG231" s="161"/>
      <c r="CH231" s="161"/>
      <c r="CI231" s="161"/>
      <c r="CJ231" s="161"/>
      <c r="CK231" s="161"/>
      <c r="CL231" s="161"/>
      <c r="CM231" s="161"/>
      <c r="CN231" s="161"/>
      <c r="CO231" s="161"/>
      <c r="CP231" s="161"/>
      <c r="CQ231" s="161"/>
      <c r="CR231" s="161"/>
      <c r="CS231" s="161"/>
      <c r="CT231" s="161"/>
      <c r="CU231" s="161"/>
      <c r="CV231" s="161"/>
      <c r="CW231" s="161"/>
      <c r="CX231" s="161"/>
      <c r="CY231" s="161"/>
      <c r="CZ231" s="161"/>
      <c r="DA231" s="161"/>
      <c r="DB231" s="161"/>
      <c r="DC231" s="161"/>
      <c r="DD231" s="161"/>
      <c r="DE231" s="161"/>
      <c r="DF231" s="161"/>
      <c r="DG231" s="161"/>
      <c r="DH231" s="161"/>
      <c r="DI231" s="161"/>
      <c r="DJ231" s="161"/>
      <c r="DK231" s="177"/>
      <c r="DL231" s="177"/>
      <c r="DM231" s="177"/>
      <c r="DN231" s="177">
        <v>9275.7999999999993</v>
      </c>
      <c r="DO231" s="177"/>
      <c r="DP231" s="177"/>
      <c r="DQ231" s="177"/>
      <c r="DR231" s="177"/>
      <c r="DS231" s="177"/>
      <c r="DT231" s="177"/>
      <c r="DU231" s="177"/>
      <c r="DV231" s="177"/>
      <c r="DW231" s="177"/>
      <c r="DX231" s="177"/>
      <c r="DY231" s="177"/>
      <c r="DZ231" s="467">
        <f t="shared" si="272"/>
        <v>-3.7005263927227805E-3</v>
      </c>
      <c r="EA231" s="467" t="e">
        <f t="shared" si="272"/>
        <v>#DIV/0!</v>
      </c>
      <c r="EB231" s="467"/>
      <c r="EC231" s="467"/>
      <c r="ED231" s="467"/>
      <c r="EF231" s="161"/>
      <c r="EH231" s="161"/>
      <c r="EM231" s="161"/>
      <c r="EN231" s="161"/>
      <c r="EO231" s="161"/>
      <c r="EP231" s="161"/>
      <c r="FL231" s="161"/>
      <c r="FM231" s="161"/>
      <c r="FN231" s="161"/>
      <c r="FO231" s="161"/>
      <c r="FP231" s="161"/>
      <c r="FQ231" s="161"/>
      <c r="FR231" s="161"/>
      <c r="FS231" s="639"/>
      <c r="FT231" s="639"/>
      <c r="FU231" s="161"/>
      <c r="FV231" s="161"/>
      <c r="FW231" s="667"/>
      <c r="FX231" s="667"/>
      <c r="FY231" s="161"/>
      <c r="FZ231" s="161"/>
      <c r="GA231" s="161"/>
      <c r="GB231" s="161"/>
      <c r="GC231" s="177"/>
      <c r="GD231" s="161"/>
      <c r="GE231" s="177"/>
    </row>
    <row r="232" spans="1:187">
      <c r="A232" s="161"/>
      <c r="B232" s="161"/>
      <c r="C232" s="161"/>
      <c r="D232" s="161"/>
      <c r="E232" s="161"/>
      <c r="F232" s="161"/>
      <c r="G232" s="161"/>
      <c r="H232" s="161"/>
      <c r="I232" s="161"/>
      <c r="J232" s="161"/>
      <c r="K232" s="161"/>
      <c r="L232" s="161"/>
      <c r="M232" s="161"/>
      <c r="N232" s="161"/>
      <c r="O232" s="161"/>
      <c r="P232" s="161"/>
      <c r="Q232" s="161"/>
      <c r="R232" s="161"/>
      <c r="S232" s="161"/>
      <c r="T232" s="161"/>
      <c r="U232" s="161"/>
      <c r="V232" s="161"/>
      <c r="W232" s="161"/>
      <c r="X232" s="161"/>
      <c r="Y232" s="161"/>
      <c r="Z232" s="161"/>
      <c r="AA232" s="161"/>
      <c r="AB232" s="161"/>
      <c r="AC232" s="161"/>
      <c r="AD232" s="161"/>
      <c r="AE232" s="161"/>
      <c r="AF232" s="161"/>
      <c r="AG232" s="161"/>
      <c r="AH232" s="161"/>
      <c r="AI232" s="161"/>
      <c r="AJ232" s="161"/>
      <c r="AK232" s="161"/>
      <c r="AL232" s="161"/>
      <c r="AM232" s="161"/>
      <c r="AN232" s="161"/>
      <c r="AO232" s="161"/>
      <c r="AP232" s="161"/>
      <c r="AQ232" s="161"/>
      <c r="AR232" s="161"/>
      <c r="AS232" s="161"/>
      <c r="AT232" s="161"/>
      <c r="AU232" s="161"/>
      <c r="AV232" s="161"/>
      <c r="AW232" s="161"/>
      <c r="AX232" s="161"/>
      <c r="AY232" s="161"/>
      <c r="AZ232" s="161"/>
      <c r="BA232" s="161"/>
      <c r="BB232" s="161"/>
      <c r="BC232" s="161"/>
      <c r="BD232" s="161"/>
      <c r="BE232" s="161"/>
      <c r="BF232" s="161"/>
      <c r="BG232" s="161"/>
      <c r="BH232" s="161"/>
      <c r="BI232" s="161"/>
      <c r="BJ232" s="161"/>
      <c r="BK232" s="161"/>
      <c r="BL232" s="161"/>
      <c r="BM232" s="161"/>
      <c r="BN232" s="161"/>
      <c r="BO232" s="263"/>
      <c r="BP232" s="161"/>
      <c r="BQ232" s="161"/>
      <c r="BR232" s="161"/>
      <c r="BS232" s="263"/>
      <c r="BT232" s="161"/>
      <c r="BU232" s="161"/>
      <c r="BV232" s="161"/>
      <c r="BW232" s="161"/>
      <c r="BX232" s="161"/>
      <c r="BY232" s="161"/>
      <c r="BZ232" s="161"/>
      <c r="CA232" s="161"/>
      <c r="CB232" s="161"/>
      <c r="CC232" s="161"/>
      <c r="CD232" s="161"/>
      <c r="CE232" s="161"/>
      <c r="CF232" s="161"/>
      <c r="CG232" s="161"/>
      <c r="CH232" s="161"/>
      <c r="CI232" s="161"/>
      <c r="CJ232" s="161"/>
      <c r="CK232" s="161"/>
      <c r="CL232" s="161"/>
      <c r="CM232" s="161"/>
      <c r="CN232" s="161"/>
      <c r="CO232" s="161"/>
      <c r="CP232" s="161"/>
      <c r="CQ232" s="161"/>
      <c r="CR232" s="161"/>
      <c r="CS232" s="161"/>
      <c r="CT232" s="161"/>
      <c r="CU232" s="161"/>
      <c r="CV232" s="161"/>
      <c r="CW232" s="161"/>
      <c r="CX232" s="161"/>
      <c r="CY232" s="161"/>
      <c r="CZ232" s="161"/>
      <c r="DA232" s="161"/>
      <c r="DB232" s="161"/>
      <c r="DC232" s="161"/>
      <c r="DD232" s="161"/>
      <c r="DE232" s="161"/>
      <c r="DF232" s="161"/>
      <c r="DG232" s="161"/>
      <c r="DH232" s="161"/>
      <c r="DI232" s="161"/>
      <c r="DJ232" s="161"/>
      <c r="DK232" s="177"/>
      <c r="DL232" s="177"/>
      <c r="DM232" s="177"/>
      <c r="DN232" s="177">
        <v>35369.199999999997</v>
      </c>
      <c r="DO232" s="177"/>
      <c r="DP232" s="177"/>
      <c r="DQ232" s="177"/>
      <c r="DR232" s="177"/>
      <c r="DS232" s="177"/>
      <c r="DT232" s="177"/>
      <c r="DU232" s="177"/>
      <c r="DV232" s="177"/>
      <c r="DW232" s="177"/>
      <c r="DX232" s="177"/>
      <c r="DY232" s="177"/>
      <c r="DZ232" s="467" t="e">
        <f t="shared" si="272"/>
        <v>#DIV/0!</v>
      </c>
      <c r="EA232" s="467" t="e">
        <f t="shared" si="272"/>
        <v>#DIV/0!</v>
      </c>
      <c r="EB232" s="467"/>
      <c r="EC232" s="467"/>
      <c r="ED232" s="467"/>
      <c r="EF232" s="161"/>
      <c r="EH232" s="161"/>
      <c r="EM232" s="161"/>
      <c r="EN232" s="161"/>
      <c r="EO232" s="161"/>
      <c r="EP232" s="161"/>
      <c r="FL232" s="161"/>
      <c r="FM232" s="161"/>
      <c r="FN232" s="161"/>
      <c r="FO232" s="161"/>
      <c r="FP232" s="161"/>
      <c r="FQ232" s="161"/>
      <c r="FR232" s="161"/>
      <c r="FS232" s="639"/>
      <c r="FT232" s="639"/>
      <c r="FU232" s="161"/>
      <c r="FV232" s="161"/>
      <c r="FW232" s="667"/>
      <c r="FX232" s="667"/>
      <c r="FY232" s="161"/>
      <c r="FZ232" s="161"/>
      <c r="GA232" s="161"/>
      <c r="GB232" s="161"/>
      <c r="GC232" s="177"/>
      <c r="GD232" s="161"/>
      <c r="GE232" s="177"/>
    </row>
    <row r="233" spans="1:187">
      <c r="A233" s="161"/>
      <c r="B233" s="161"/>
      <c r="C233" s="161"/>
      <c r="D233" s="161"/>
      <c r="E233" s="161"/>
      <c r="F233" s="161"/>
      <c r="G233" s="161"/>
      <c r="H233" s="161"/>
      <c r="I233" s="161"/>
      <c r="J233" s="161"/>
      <c r="K233" s="161"/>
      <c r="L233" s="161"/>
      <c r="M233" s="161"/>
      <c r="N233" s="161"/>
      <c r="O233" s="161"/>
      <c r="P233" s="161"/>
      <c r="Q233" s="161"/>
      <c r="R233" s="161"/>
      <c r="S233" s="161"/>
      <c r="T233" s="161"/>
      <c r="U233" s="161"/>
      <c r="V233" s="161"/>
      <c r="W233" s="161"/>
      <c r="X233" s="161"/>
      <c r="Y233" s="161"/>
      <c r="Z233" s="161"/>
      <c r="AA233" s="161"/>
      <c r="AB233" s="161"/>
      <c r="AC233" s="161"/>
      <c r="AD233" s="161"/>
      <c r="AE233" s="161"/>
      <c r="AF233" s="161"/>
      <c r="AG233" s="161"/>
      <c r="AH233" s="161"/>
      <c r="AI233" s="161"/>
      <c r="AJ233" s="161"/>
      <c r="AK233" s="161"/>
      <c r="AL233" s="161"/>
      <c r="AM233" s="161"/>
      <c r="AN233" s="161"/>
      <c r="AO233" s="161"/>
      <c r="AP233" s="161"/>
      <c r="AQ233" s="161"/>
      <c r="AR233" s="161"/>
      <c r="AS233" s="161"/>
      <c r="AT233" s="161"/>
      <c r="AU233" s="161"/>
      <c r="AV233" s="161"/>
      <c r="AW233" s="161"/>
      <c r="AX233" s="161"/>
      <c r="AY233" s="161"/>
      <c r="AZ233" s="161"/>
      <c r="BA233" s="161"/>
      <c r="BB233" s="161"/>
      <c r="BC233" s="161"/>
      <c r="BD233" s="161"/>
      <c r="BE233" s="161"/>
      <c r="BF233" s="161"/>
      <c r="BG233" s="161"/>
      <c r="BH233" s="161"/>
      <c r="BI233" s="161"/>
      <c r="BJ233" s="161"/>
      <c r="BK233" s="161"/>
      <c r="BL233" s="161"/>
      <c r="BM233" s="161"/>
      <c r="BN233" s="161"/>
      <c r="BO233" s="263">
        <v>-41.356000000000002</v>
      </c>
      <c r="BP233" s="161"/>
      <c r="BQ233" s="161"/>
      <c r="BR233" s="161"/>
      <c r="BS233" s="263">
        <f>BS207</f>
        <v>-43.244</v>
      </c>
      <c r="BT233" s="161"/>
      <c r="BU233" s="161"/>
      <c r="BV233" s="161"/>
      <c r="BW233" s="161"/>
      <c r="BX233" s="161"/>
      <c r="BY233" s="161"/>
      <c r="BZ233" s="161"/>
      <c r="CA233" s="161"/>
      <c r="CB233" s="161"/>
      <c r="CC233" s="161"/>
      <c r="CD233" s="161"/>
      <c r="CE233" s="161"/>
      <c r="CF233" s="161"/>
      <c r="CG233" s="161"/>
      <c r="CH233" s="161"/>
      <c r="CI233" s="161"/>
      <c r="CJ233" s="161"/>
      <c r="CK233" s="161"/>
      <c r="CL233" s="161"/>
      <c r="CM233" s="161"/>
      <c r="CN233" s="161"/>
      <c r="CO233" s="161"/>
      <c r="CP233" s="161"/>
      <c r="CQ233" s="161"/>
      <c r="CR233" s="161"/>
      <c r="CS233" s="161"/>
      <c r="CT233" s="161"/>
      <c r="CU233" s="161"/>
      <c r="CV233" s="161"/>
      <c r="CW233" s="161"/>
      <c r="CX233" s="161"/>
      <c r="CY233" s="161"/>
      <c r="CZ233" s="161"/>
      <c r="DA233" s="161"/>
      <c r="DB233" s="161"/>
      <c r="DC233" s="161"/>
      <c r="DD233" s="161"/>
      <c r="DE233" s="161"/>
      <c r="DF233" s="161"/>
      <c r="DG233" s="161"/>
      <c r="DH233" s="161"/>
      <c r="DI233" s="161"/>
      <c r="DJ233" s="161"/>
      <c r="DK233" s="177"/>
      <c r="DL233" s="177"/>
      <c r="DM233" s="177"/>
      <c r="DN233" s="177">
        <f>DN231/DN232</f>
        <v>0.26225642649536884</v>
      </c>
      <c r="DO233" s="177"/>
      <c r="DP233" s="177"/>
      <c r="DQ233" s="177"/>
      <c r="DR233" s="177"/>
      <c r="DS233" s="177"/>
      <c r="DT233" s="177"/>
      <c r="DU233" s="177"/>
      <c r="DV233" s="177"/>
      <c r="DW233" s="177"/>
      <c r="DX233" s="177"/>
      <c r="DY233" s="177"/>
      <c r="DZ233" s="467">
        <f t="shared" si="272"/>
        <v>4.5652384176419369E-2</v>
      </c>
      <c r="EA233" s="467" t="e">
        <f t="shared" si="272"/>
        <v>#DIV/0!</v>
      </c>
      <c r="EB233" s="467"/>
      <c r="EC233" s="467"/>
      <c r="ED233" s="467"/>
      <c r="EF233" s="161"/>
      <c r="EH233" s="161"/>
      <c r="EM233" s="161"/>
      <c r="EN233" s="161"/>
      <c r="EO233" s="161"/>
      <c r="EP233" s="161"/>
      <c r="FL233" s="161"/>
      <c r="FM233" s="161"/>
      <c r="FN233" s="161"/>
      <c r="FO233" s="161"/>
      <c r="FP233" s="161"/>
      <c r="FQ233" s="161"/>
      <c r="FR233" s="161"/>
      <c r="FS233" s="639"/>
      <c r="FT233" s="639"/>
      <c r="FU233" s="161"/>
      <c r="FV233" s="161"/>
      <c r="FW233" s="667"/>
      <c r="FX233" s="667"/>
      <c r="FY233" s="161"/>
      <c r="FZ233" s="161"/>
      <c r="GA233" s="161"/>
      <c r="GB233" s="161"/>
      <c r="GC233" s="177"/>
      <c r="GD233" s="161"/>
      <c r="GE233" s="177"/>
    </row>
    <row r="234" spans="1:187">
      <c r="A234" s="161"/>
      <c r="B234" s="161"/>
      <c r="C234" s="161"/>
      <c r="D234" s="161"/>
      <c r="E234" s="161"/>
      <c r="F234" s="161"/>
      <c r="G234" s="161"/>
      <c r="H234" s="161"/>
      <c r="I234" s="161"/>
      <c r="J234" s="161"/>
      <c r="K234" s="161"/>
      <c r="L234" s="161"/>
      <c r="M234" s="161"/>
      <c r="N234" s="161"/>
      <c r="O234" s="161"/>
      <c r="P234" s="161"/>
      <c r="Q234" s="161"/>
      <c r="R234" s="161"/>
      <c r="S234" s="161"/>
      <c r="T234" s="161"/>
      <c r="U234" s="161"/>
      <c r="V234" s="161"/>
      <c r="W234" s="161"/>
      <c r="X234" s="161"/>
      <c r="Y234" s="161"/>
      <c r="Z234" s="161"/>
      <c r="AA234" s="161"/>
      <c r="AB234" s="161"/>
      <c r="AC234" s="161"/>
      <c r="AD234" s="161"/>
      <c r="AE234" s="161"/>
      <c r="AF234" s="161"/>
      <c r="AG234" s="161"/>
      <c r="AH234" s="161"/>
      <c r="AI234" s="161"/>
      <c r="AJ234" s="161"/>
      <c r="AK234" s="161"/>
      <c r="AL234" s="161"/>
      <c r="AM234" s="161"/>
      <c r="AN234" s="161"/>
      <c r="AO234" s="161"/>
      <c r="AP234" s="161"/>
      <c r="AQ234" s="161"/>
      <c r="AR234" s="161"/>
      <c r="AS234" s="161"/>
      <c r="AT234" s="161"/>
      <c r="AU234" s="161"/>
      <c r="AV234" s="161"/>
      <c r="AW234" s="161"/>
      <c r="AX234" s="161"/>
      <c r="AY234" s="161"/>
      <c r="AZ234" s="161"/>
      <c r="BA234" s="161"/>
      <c r="BB234" s="161"/>
      <c r="BC234" s="161"/>
      <c r="BD234" s="161"/>
      <c r="BE234" s="161"/>
      <c r="BF234" s="161"/>
      <c r="BG234" s="161"/>
      <c r="BH234" s="161"/>
      <c r="BI234" s="161"/>
      <c r="BJ234" s="161"/>
      <c r="BK234" s="161"/>
      <c r="BL234" s="161"/>
      <c r="BM234" s="161"/>
      <c r="BN234" s="161"/>
      <c r="BO234" s="263">
        <v>523.77699999999959</v>
      </c>
      <c r="BP234" s="161"/>
      <c r="BQ234" s="161"/>
      <c r="BR234" s="161"/>
      <c r="BS234" s="263">
        <f>BS208</f>
        <v>720.77900000000011</v>
      </c>
      <c r="BT234" s="161"/>
      <c r="BU234" s="161"/>
      <c r="BV234" s="161"/>
      <c r="BW234" s="161"/>
      <c r="BX234" s="161"/>
      <c r="BY234" s="161"/>
      <c r="BZ234" s="161"/>
      <c r="CA234" s="161"/>
      <c r="CB234" s="161"/>
      <c r="CC234" s="161"/>
      <c r="CD234" s="161"/>
      <c r="CE234" s="161"/>
      <c r="CF234" s="161"/>
      <c r="CG234" s="161"/>
      <c r="CH234" s="161"/>
      <c r="CI234" s="161"/>
      <c r="CJ234" s="161"/>
      <c r="CK234" s="161"/>
      <c r="CL234" s="161"/>
      <c r="CM234" s="161"/>
      <c r="CN234" s="161"/>
      <c r="CO234" s="161"/>
      <c r="CP234" s="161"/>
      <c r="CQ234" s="161"/>
      <c r="CR234" s="161"/>
      <c r="CS234" s="161"/>
      <c r="CT234" s="161"/>
      <c r="CU234" s="161"/>
      <c r="CV234" s="161"/>
      <c r="CW234" s="161"/>
      <c r="CX234" s="161"/>
      <c r="CY234" s="161"/>
      <c r="CZ234" s="161"/>
      <c r="DA234" s="161"/>
      <c r="DB234" s="161"/>
      <c r="DC234" s="161"/>
      <c r="DD234" s="161"/>
      <c r="DE234" s="161"/>
      <c r="DF234" s="161"/>
      <c r="DG234" s="161"/>
      <c r="DH234" s="161"/>
      <c r="DI234" s="161"/>
      <c r="DJ234" s="161"/>
      <c r="DK234" s="177"/>
      <c r="DL234" s="177"/>
      <c r="DM234" s="177"/>
      <c r="DN234" s="177"/>
      <c r="DO234" s="177"/>
      <c r="DP234" s="177"/>
      <c r="DQ234" s="177"/>
      <c r="DR234" s="177"/>
      <c r="DS234" s="177"/>
      <c r="DT234" s="177"/>
      <c r="DU234" s="177"/>
      <c r="DV234" s="177"/>
      <c r="DW234" s="177"/>
      <c r="DX234" s="177"/>
      <c r="DY234" s="177"/>
      <c r="DZ234" s="467">
        <f t="shared" si="272"/>
        <v>0.37611808078629005</v>
      </c>
      <c r="EA234" s="467" t="e">
        <f t="shared" si="272"/>
        <v>#DIV/0!</v>
      </c>
      <c r="EB234" s="467"/>
      <c r="EC234" s="467"/>
      <c r="ED234" s="467"/>
      <c r="EF234" s="161"/>
      <c r="EH234" s="161"/>
      <c r="EM234" s="161"/>
      <c r="EN234" s="161"/>
      <c r="EO234" s="161"/>
      <c r="EP234" s="161"/>
      <c r="FL234" s="161"/>
      <c r="FM234" s="161"/>
      <c r="FN234" s="161"/>
      <c r="FO234" s="161"/>
      <c r="FP234" s="161"/>
      <c r="FQ234" s="161"/>
      <c r="FR234" s="161"/>
      <c r="FS234" s="639"/>
      <c r="FT234" s="639"/>
      <c r="FU234" s="161"/>
      <c r="FV234" s="161"/>
      <c r="FW234" s="667"/>
      <c r="FX234" s="667"/>
      <c r="FY234" s="161"/>
      <c r="FZ234" s="161"/>
      <c r="GA234" s="161"/>
      <c r="GB234" s="161"/>
      <c r="GC234" s="177"/>
      <c r="GD234" s="161"/>
      <c r="GE234" s="177"/>
    </row>
    <row r="235" spans="1:187">
      <c r="A235" s="161"/>
      <c r="B235" s="161"/>
      <c r="C235" s="161"/>
      <c r="D235" s="161"/>
      <c r="E235" s="161"/>
      <c r="F235" s="161"/>
      <c r="G235" s="161"/>
      <c r="H235" s="161"/>
      <c r="I235" s="161"/>
      <c r="J235" s="161"/>
      <c r="K235" s="161"/>
      <c r="L235" s="161"/>
      <c r="M235" s="161"/>
      <c r="N235" s="161"/>
      <c r="O235" s="161"/>
      <c r="P235" s="161"/>
      <c r="Q235" s="161"/>
      <c r="R235" s="161"/>
      <c r="S235" s="161"/>
      <c r="T235" s="161"/>
      <c r="U235" s="161"/>
      <c r="V235" s="161"/>
      <c r="W235" s="161"/>
      <c r="X235" s="161"/>
      <c r="Y235" s="161"/>
      <c r="Z235" s="161"/>
      <c r="AA235" s="161"/>
      <c r="AB235" s="161"/>
      <c r="AC235" s="161"/>
      <c r="AD235" s="161"/>
      <c r="AE235" s="161"/>
      <c r="AF235" s="161"/>
      <c r="AG235" s="161"/>
      <c r="AH235" s="161"/>
      <c r="AI235" s="161"/>
      <c r="AJ235" s="161"/>
      <c r="AK235" s="161"/>
      <c r="AL235" s="161"/>
      <c r="AM235" s="161"/>
      <c r="AN235" s="161"/>
      <c r="AO235" s="161"/>
      <c r="AP235" s="161"/>
      <c r="AQ235" s="161"/>
      <c r="AR235" s="161"/>
      <c r="AS235" s="161"/>
      <c r="AT235" s="161"/>
      <c r="AU235" s="161"/>
      <c r="AV235" s="161"/>
      <c r="AW235" s="161"/>
      <c r="AX235" s="161"/>
      <c r="AY235" s="161"/>
      <c r="AZ235" s="161"/>
      <c r="BA235" s="161"/>
      <c r="BB235" s="161"/>
      <c r="BC235" s="161"/>
      <c r="BD235" s="161"/>
      <c r="BE235" s="161"/>
      <c r="BF235" s="161"/>
      <c r="BG235" s="161"/>
      <c r="BH235" s="161"/>
      <c r="BI235" s="161"/>
      <c r="BJ235" s="161"/>
      <c r="BK235" s="161"/>
      <c r="BL235" s="161"/>
      <c r="BM235" s="161"/>
      <c r="BN235" s="161"/>
      <c r="BO235" s="263">
        <v>518.25399999999956</v>
      </c>
      <c r="BP235" s="161"/>
      <c r="BQ235" s="161"/>
      <c r="BR235" s="161"/>
      <c r="BS235" s="263">
        <f t="shared" ref="BS235" si="273">BS210</f>
        <v>739.5390000000001</v>
      </c>
      <c r="BT235" s="161"/>
      <c r="BU235" s="161"/>
      <c r="BV235" s="161"/>
      <c r="BW235" s="161"/>
      <c r="BX235" s="161"/>
      <c r="BY235" s="161"/>
      <c r="BZ235" s="161"/>
      <c r="CA235" s="161"/>
      <c r="CB235" s="161"/>
      <c r="CC235" s="161"/>
      <c r="CD235" s="161"/>
      <c r="CE235" s="161"/>
      <c r="CF235" s="161"/>
      <c r="CG235" s="161"/>
      <c r="CH235" s="161"/>
      <c r="CI235" s="161"/>
      <c r="CJ235" s="161"/>
      <c r="CK235" s="161"/>
      <c r="CL235" s="161"/>
      <c r="CM235" s="161"/>
      <c r="CN235" s="161"/>
      <c r="CO235" s="161"/>
      <c r="CP235" s="161"/>
      <c r="CQ235" s="161"/>
      <c r="CR235" s="161"/>
      <c r="CS235" s="161"/>
      <c r="CT235" s="161"/>
      <c r="CU235" s="161"/>
      <c r="CV235" s="161"/>
      <c r="CW235" s="161"/>
      <c r="CX235" s="161"/>
      <c r="CY235" s="161"/>
      <c r="CZ235" s="161"/>
      <c r="DA235" s="161"/>
      <c r="DB235" s="161"/>
      <c r="DC235" s="161"/>
      <c r="DD235" s="161"/>
      <c r="DE235" s="161"/>
      <c r="DF235" s="161"/>
      <c r="DG235" s="161"/>
      <c r="DH235" s="161"/>
      <c r="DI235" s="161"/>
      <c r="DJ235" s="161"/>
      <c r="DK235" s="177"/>
      <c r="DL235" s="177"/>
      <c r="DM235" s="177"/>
      <c r="DN235" s="177"/>
      <c r="DO235" s="177"/>
      <c r="DP235" s="177"/>
      <c r="DQ235" s="177"/>
      <c r="DR235" s="177"/>
      <c r="DS235" s="177"/>
      <c r="DT235" s="177"/>
      <c r="DU235" s="177"/>
      <c r="DV235" s="177"/>
      <c r="DW235" s="177"/>
      <c r="DX235" s="177"/>
      <c r="DY235" s="177"/>
      <c r="DZ235" s="177"/>
      <c r="EA235" s="177"/>
      <c r="EB235" s="177"/>
      <c r="EC235" s="177"/>
      <c r="ED235" s="177"/>
      <c r="EF235" s="161"/>
      <c r="EH235" s="161"/>
      <c r="EM235" s="161"/>
      <c r="EN235" s="161"/>
      <c r="EO235" s="161"/>
      <c r="EP235" s="161"/>
      <c r="FL235" s="161"/>
      <c r="FM235" s="161"/>
      <c r="FN235" s="161"/>
      <c r="FO235" s="161"/>
      <c r="FP235" s="161"/>
      <c r="FQ235" s="161"/>
      <c r="FR235" s="161"/>
      <c r="FS235" s="639"/>
      <c r="FT235" s="639"/>
      <c r="FU235" s="161"/>
      <c r="FV235" s="161"/>
      <c r="FW235" s="667"/>
      <c r="FX235" s="667"/>
      <c r="FY235" s="161"/>
      <c r="FZ235" s="161"/>
      <c r="GA235" s="161"/>
      <c r="GB235" s="161"/>
      <c r="GC235" s="177"/>
      <c r="GD235" s="161"/>
      <c r="GE235" s="177"/>
    </row>
    <row r="236" spans="1:187">
      <c r="A236" s="161"/>
      <c r="B236" s="161"/>
      <c r="C236" s="161"/>
      <c r="D236" s="161"/>
      <c r="E236" s="161"/>
      <c r="F236" s="161"/>
      <c r="G236" s="161"/>
      <c r="H236" s="161"/>
      <c r="I236" s="161"/>
      <c r="J236" s="161"/>
      <c r="K236" s="161"/>
      <c r="L236" s="161"/>
      <c r="M236" s="161"/>
      <c r="N236" s="161"/>
      <c r="O236" s="161"/>
      <c r="P236" s="161"/>
      <c r="Q236" s="161"/>
      <c r="R236" s="161"/>
      <c r="S236" s="161"/>
      <c r="T236" s="161"/>
      <c r="U236" s="161"/>
      <c r="V236" s="161"/>
      <c r="W236" s="161"/>
      <c r="X236" s="161"/>
      <c r="Y236" s="161"/>
      <c r="Z236" s="161"/>
      <c r="AA236" s="161"/>
      <c r="AB236" s="161"/>
      <c r="AC236" s="161"/>
      <c r="AD236" s="161"/>
      <c r="AE236" s="161"/>
      <c r="AF236" s="161"/>
      <c r="AG236" s="161"/>
      <c r="AH236" s="161"/>
      <c r="AI236" s="161"/>
      <c r="AJ236" s="161"/>
      <c r="AK236" s="161"/>
      <c r="AL236" s="161"/>
      <c r="AM236" s="161"/>
      <c r="AN236" s="161"/>
      <c r="AO236" s="161"/>
      <c r="AP236" s="161"/>
      <c r="AQ236" s="161"/>
      <c r="AR236" s="161"/>
      <c r="AS236" s="161"/>
      <c r="AT236" s="161"/>
      <c r="AU236" s="161"/>
      <c r="AV236" s="161"/>
      <c r="AW236" s="161"/>
      <c r="AX236" s="161"/>
      <c r="AY236" s="161"/>
      <c r="AZ236" s="161"/>
      <c r="BA236" s="161"/>
      <c r="BB236" s="161"/>
      <c r="BC236" s="161"/>
      <c r="BD236" s="161"/>
      <c r="BE236" s="161"/>
      <c r="BF236" s="161"/>
      <c r="BG236" s="161"/>
      <c r="BH236" s="161"/>
      <c r="BI236" s="161"/>
      <c r="BJ236" s="161"/>
      <c r="BK236" s="161"/>
      <c r="BL236" s="161"/>
      <c r="BM236" s="161"/>
      <c r="BN236" s="161"/>
      <c r="BO236" s="161"/>
      <c r="BP236" s="161"/>
      <c r="BQ236" s="161"/>
      <c r="BR236" s="161"/>
      <c r="BS236" s="161"/>
      <c r="BT236" s="161"/>
      <c r="BU236" s="161"/>
      <c r="BV236" s="161"/>
      <c r="BW236" s="161"/>
      <c r="BX236" s="161"/>
      <c r="BY236" s="161"/>
      <c r="BZ236" s="161"/>
      <c r="CA236" s="161"/>
      <c r="CB236" s="161"/>
      <c r="CC236" s="161"/>
      <c r="CD236" s="161"/>
      <c r="CE236" s="161"/>
      <c r="CF236" s="161"/>
      <c r="CG236" s="161"/>
      <c r="CH236" s="161"/>
      <c r="CI236" s="161"/>
      <c r="CJ236" s="161"/>
      <c r="CK236" s="161"/>
      <c r="CL236" s="161"/>
      <c r="CM236" s="161"/>
      <c r="CN236" s="161"/>
      <c r="CO236" s="161"/>
      <c r="CP236" s="161"/>
      <c r="CQ236" s="161"/>
      <c r="CR236" s="161"/>
      <c r="CS236" s="161"/>
      <c r="CT236" s="161"/>
      <c r="CU236" s="161"/>
      <c r="CV236" s="161"/>
      <c r="CW236" s="161"/>
      <c r="CX236" s="161"/>
      <c r="CY236" s="161"/>
      <c r="CZ236" s="161"/>
      <c r="DA236" s="161"/>
      <c r="DB236" s="161"/>
      <c r="DC236" s="161"/>
      <c r="DD236" s="161"/>
      <c r="DE236" s="161"/>
      <c r="DF236" s="161"/>
      <c r="DG236" s="161"/>
      <c r="DH236" s="161"/>
      <c r="DI236" s="161"/>
      <c r="DJ236" s="161"/>
      <c r="DK236" s="177"/>
      <c r="DL236" s="177"/>
      <c r="DM236" s="177"/>
      <c r="DN236" s="177"/>
      <c r="DO236" s="177"/>
      <c r="DP236" s="177"/>
      <c r="DQ236" s="177"/>
      <c r="DR236" s="177"/>
      <c r="DS236" s="177"/>
      <c r="DT236" s="177"/>
      <c r="DU236" s="177"/>
      <c r="DV236" s="177"/>
      <c r="DW236" s="177"/>
      <c r="DX236" s="177"/>
      <c r="DY236" s="177"/>
      <c r="DZ236" s="177"/>
      <c r="EA236" s="177"/>
      <c r="EB236" s="177"/>
      <c r="EC236" s="177"/>
      <c r="ED236" s="177"/>
      <c r="EF236" s="161"/>
      <c r="EH236" s="161"/>
      <c r="EM236" s="161"/>
      <c r="EN236" s="161"/>
      <c r="EO236" s="161"/>
      <c r="EP236" s="161"/>
      <c r="FL236" s="161"/>
      <c r="FM236" s="161"/>
      <c r="FN236" s="161"/>
      <c r="FO236" s="161"/>
      <c r="FP236" s="161"/>
      <c r="FQ236" s="161"/>
      <c r="FR236" s="161"/>
      <c r="FS236" s="639"/>
      <c r="FT236" s="639"/>
      <c r="FU236" s="161"/>
      <c r="FV236" s="161"/>
      <c r="FW236" s="667"/>
      <c r="FX236" s="667"/>
      <c r="FY236" s="161"/>
      <c r="FZ236" s="161"/>
      <c r="GA236" s="161"/>
      <c r="GB236" s="161"/>
      <c r="GC236" s="177"/>
      <c r="GD236" s="161"/>
      <c r="GE236" s="177"/>
    </row>
    <row r="237" spans="1:187">
      <c r="A237" s="161"/>
      <c r="B237" s="161"/>
      <c r="C237" s="161"/>
      <c r="D237" s="161"/>
      <c r="E237" s="161"/>
      <c r="F237" s="161"/>
      <c r="G237" s="161"/>
      <c r="H237" s="161"/>
      <c r="I237" s="161"/>
      <c r="J237" s="161"/>
      <c r="K237" s="161"/>
      <c r="L237" s="161"/>
      <c r="M237" s="161"/>
      <c r="N237" s="161"/>
      <c r="O237" s="161"/>
      <c r="P237" s="161"/>
      <c r="Q237" s="161"/>
      <c r="R237" s="161"/>
      <c r="S237" s="161"/>
      <c r="T237" s="161"/>
      <c r="U237" s="161"/>
      <c r="V237" s="161"/>
      <c r="W237" s="161"/>
      <c r="X237" s="161"/>
      <c r="Y237" s="161"/>
      <c r="Z237" s="161"/>
      <c r="AA237" s="161"/>
      <c r="AB237" s="161"/>
      <c r="AC237" s="161"/>
      <c r="AD237" s="161"/>
      <c r="AE237" s="161"/>
      <c r="AF237" s="161"/>
      <c r="AG237" s="161"/>
      <c r="AH237" s="161"/>
      <c r="AI237" s="161"/>
      <c r="AJ237" s="161"/>
      <c r="AK237" s="161"/>
      <c r="AL237" s="161"/>
      <c r="AM237" s="161"/>
      <c r="AN237" s="161"/>
      <c r="AO237" s="161"/>
      <c r="AP237" s="161"/>
      <c r="AQ237" s="161"/>
      <c r="AR237" s="161"/>
      <c r="AS237" s="161"/>
      <c r="AT237" s="161"/>
      <c r="AU237" s="161"/>
      <c r="AV237" s="161"/>
      <c r="AW237" s="161"/>
      <c r="AX237" s="161"/>
      <c r="AY237" s="161"/>
      <c r="AZ237" s="161"/>
      <c r="BA237" s="161"/>
      <c r="BB237" s="161"/>
      <c r="BC237" s="161"/>
      <c r="BD237" s="161"/>
      <c r="BE237" s="161"/>
      <c r="BF237" s="161"/>
      <c r="BG237" s="161"/>
      <c r="BH237" s="161"/>
      <c r="BI237" s="161"/>
      <c r="BJ237" s="161"/>
      <c r="BK237" s="161"/>
      <c r="BL237" s="161"/>
      <c r="BM237" s="161"/>
      <c r="BN237" s="161"/>
      <c r="BO237" s="161"/>
      <c r="BP237" s="161"/>
      <c r="BQ237" s="161"/>
      <c r="BR237" s="161"/>
      <c r="BS237" s="161"/>
      <c r="BT237" s="161"/>
      <c r="BU237" s="161"/>
      <c r="BV237" s="161"/>
      <c r="BW237" s="161"/>
      <c r="BX237" s="161"/>
      <c r="BY237" s="161"/>
      <c r="BZ237" s="161"/>
      <c r="CA237" s="161"/>
      <c r="CB237" s="161"/>
      <c r="CC237" s="161"/>
      <c r="CD237" s="161"/>
      <c r="CE237" s="161"/>
      <c r="CF237" s="161"/>
      <c r="CG237" s="161"/>
      <c r="CH237" s="161"/>
      <c r="CI237" s="161"/>
      <c r="CJ237" s="161"/>
      <c r="CK237" s="161"/>
      <c r="CL237" s="161"/>
      <c r="CM237" s="161"/>
      <c r="CN237" s="161"/>
      <c r="CO237" s="161"/>
      <c r="CP237" s="161"/>
      <c r="CQ237" s="161"/>
      <c r="CR237" s="161"/>
      <c r="CS237" s="161"/>
      <c r="CT237" s="161"/>
      <c r="CU237" s="161"/>
      <c r="CV237" s="161"/>
      <c r="CW237" s="161"/>
      <c r="CX237" s="161"/>
      <c r="CY237" s="161"/>
      <c r="CZ237" s="161"/>
      <c r="DA237" s="161"/>
      <c r="DB237" s="161"/>
      <c r="DC237" s="161"/>
      <c r="DD237" s="161"/>
      <c r="DE237" s="161"/>
      <c r="DF237" s="161"/>
      <c r="DG237" s="161"/>
      <c r="DH237" s="161"/>
      <c r="DI237" s="161"/>
      <c r="DJ237" s="161"/>
      <c r="DK237" s="177"/>
      <c r="DL237" s="177"/>
      <c r="DM237" s="177"/>
      <c r="DN237" s="177"/>
      <c r="DO237" s="177"/>
      <c r="DP237" s="177"/>
      <c r="DQ237" s="177"/>
      <c r="DR237" s="177"/>
      <c r="DS237" s="177"/>
      <c r="DT237" s="177"/>
      <c r="DU237" s="177"/>
      <c r="DV237" s="177"/>
      <c r="DW237" s="177"/>
      <c r="DX237" s="177"/>
      <c r="DY237" s="177"/>
      <c r="DZ237" s="177"/>
      <c r="EA237" s="177"/>
      <c r="EB237" s="177"/>
      <c r="EC237" s="177"/>
      <c r="ED237" s="177"/>
      <c r="EF237" s="161"/>
      <c r="EH237" s="161"/>
      <c r="EM237" s="161"/>
      <c r="EN237" s="161"/>
      <c r="EO237" s="161"/>
      <c r="EP237" s="161"/>
      <c r="FL237" s="161"/>
      <c r="FM237" s="161"/>
      <c r="FN237" s="161"/>
      <c r="FO237" s="161"/>
      <c r="FP237" s="161"/>
      <c r="FQ237" s="161"/>
      <c r="FR237" s="161"/>
      <c r="FS237" s="639"/>
      <c r="FT237" s="639"/>
      <c r="FU237" s="161"/>
      <c r="FV237" s="161"/>
      <c r="FW237" s="667"/>
      <c r="FX237" s="667"/>
      <c r="FY237" s="161"/>
      <c r="FZ237" s="161"/>
      <c r="GA237" s="161"/>
      <c r="GB237" s="161"/>
      <c r="GC237" s="177"/>
      <c r="GD237" s="161"/>
      <c r="GE237" s="177"/>
    </row>
    <row r="238" spans="1:187">
      <c r="A238" s="161"/>
      <c r="B238" s="161"/>
      <c r="C238" s="161"/>
      <c r="D238" s="161"/>
      <c r="E238" s="161"/>
      <c r="F238" s="161"/>
      <c r="G238" s="161"/>
      <c r="H238" s="161"/>
      <c r="I238" s="161"/>
      <c r="J238" s="161"/>
      <c r="K238" s="161"/>
      <c r="L238" s="161"/>
      <c r="M238" s="161"/>
      <c r="N238" s="161"/>
      <c r="O238" s="161"/>
      <c r="P238" s="161"/>
      <c r="Q238" s="161"/>
      <c r="R238" s="161"/>
      <c r="S238" s="161"/>
      <c r="T238" s="161"/>
      <c r="U238" s="161"/>
      <c r="V238" s="161"/>
      <c r="W238" s="161"/>
      <c r="X238" s="161"/>
      <c r="Y238" s="161"/>
      <c r="Z238" s="161"/>
      <c r="AA238" s="161"/>
      <c r="AB238" s="161"/>
      <c r="AC238" s="161"/>
      <c r="AD238" s="161"/>
      <c r="AE238" s="161"/>
      <c r="AF238" s="161"/>
      <c r="AG238" s="161"/>
      <c r="AH238" s="161"/>
      <c r="AI238" s="161"/>
      <c r="AJ238" s="161"/>
      <c r="AK238" s="161"/>
      <c r="AL238" s="161"/>
      <c r="AM238" s="161"/>
      <c r="AN238" s="161"/>
      <c r="AO238" s="161"/>
      <c r="AP238" s="161"/>
      <c r="AQ238" s="161"/>
      <c r="AR238" s="161"/>
      <c r="AS238" s="161"/>
      <c r="AT238" s="161"/>
      <c r="AU238" s="161"/>
      <c r="AV238" s="161"/>
      <c r="AW238" s="161"/>
      <c r="AX238" s="161"/>
      <c r="AY238" s="161"/>
      <c r="AZ238" s="161"/>
      <c r="BA238" s="161"/>
      <c r="BB238" s="161"/>
      <c r="BC238" s="161"/>
      <c r="BD238" s="161"/>
      <c r="BE238" s="161"/>
      <c r="BF238" s="161"/>
      <c r="BG238" s="161"/>
      <c r="BH238" s="161"/>
      <c r="BI238" s="161"/>
      <c r="BJ238" s="161"/>
      <c r="BK238" s="161"/>
      <c r="BL238" s="161"/>
      <c r="BM238" s="161"/>
      <c r="BN238" s="161"/>
      <c r="BO238" s="263">
        <f>BO221-BO217</f>
        <v>-4988.7030000000013</v>
      </c>
      <c r="BP238" s="161"/>
      <c r="BQ238" s="161"/>
      <c r="BR238" s="161"/>
      <c r="BS238" s="263">
        <f>BS221-BS217</f>
        <v>-5148.8310000000001</v>
      </c>
      <c r="BT238" s="161"/>
      <c r="BU238" s="161"/>
      <c r="BV238" s="161"/>
      <c r="BW238" s="161"/>
      <c r="BX238" s="161"/>
      <c r="BY238" s="161"/>
      <c r="BZ238" s="161"/>
      <c r="CA238" s="161"/>
      <c r="CB238" s="161"/>
      <c r="CC238" s="161"/>
      <c r="CD238" s="161"/>
      <c r="CE238" s="161"/>
      <c r="CF238" s="161"/>
      <c r="CG238" s="161"/>
      <c r="CH238" s="161"/>
      <c r="CI238" s="161"/>
      <c r="CJ238" s="161"/>
      <c r="CK238" s="161"/>
      <c r="CL238" s="161"/>
      <c r="CM238" s="161"/>
      <c r="CN238" s="161"/>
      <c r="CO238" s="161"/>
      <c r="CP238" s="161"/>
      <c r="CQ238" s="161"/>
      <c r="CR238" s="161"/>
      <c r="CS238" s="161"/>
      <c r="CT238" s="161"/>
      <c r="CU238" s="161"/>
      <c r="CV238" s="161"/>
      <c r="CW238" s="161"/>
      <c r="CX238" s="161"/>
      <c r="CY238" s="161"/>
      <c r="CZ238" s="161"/>
      <c r="DA238" s="161"/>
      <c r="DB238" s="161"/>
      <c r="DC238" s="161"/>
      <c r="DD238" s="161"/>
      <c r="DE238" s="161"/>
      <c r="DF238" s="161"/>
      <c r="DG238" s="161"/>
      <c r="DH238" s="161"/>
      <c r="DI238" s="161"/>
      <c r="DJ238" s="161"/>
      <c r="DK238" s="177"/>
      <c r="DL238" s="177"/>
      <c r="DM238" s="177"/>
      <c r="DN238" s="177"/>
      <c r="DO238" s="177"/>
      <c r="DP238" s="177"/>
      <c r="DQ238" s="177"/>
      <c r="DR238" s="177"/>
      <c r="DS238" s="177"/>
      <c r="DT238" s="177"/>
      <c r="DU238" s="177"/>
      <c r="DV238" s="177"/>
      <c r="DW238" s="177"/>
      <c r="DX238" s="177"/>
      <c r="DY238" s="177"/>
      <c r="DZ238" s="467">
        <f t="shared" ref="DZ238:EA240" si="274">BS238/BO238-1</f>
        <v>3.2098122497971726E-2</v>
      </c>
      <c r="EA238" s="467" t="e">
        <f t="shared" si="274"/>
        <v>#DIV/0!</v>
      </c>
      <c r="EB238" s="467"/>
      <c r="EC238" s="467"/>
      <c r="ED238" s="467"/>
      <c r="EF238" s="161"/>
      <c r="EH238" s="161"/>
      <c r="EM238" s="161"/>
      <c r="EN238" s="161"/>
      <c r="EO238" s="161"/>
      <c r="EP238" s="161"/>
      <c r="FL238" s="161"/>
      <c r="FM238" s="161"/>
      <c r="FN238" s="161"/>
      <c r="FO238" s="161"/>
      <c r="FP238" s="161"/>
      <c r="FQ238" s="161"/>
      <c r="FR238" s="161"/>
      <c r="FS238" s="639"/>
      <c r="FT238" s="639"/>
      <c r="FU238" s="161"/>
      <c r="FV238" s="161"/>
      <c r="FW238" s="667"/>
      <c r="FX238" s="667"/>
      <c r="FY238" s="161"/>
      <c r="FZ238" s="161"/>
      <c r="GA238" s="161"/>
      <c r="GB238" s="161"/>
      <c r="GC238" s="177"/>
      <c r="GD238" s="161"/>
      <c r="GE238" s="177"/>
    </row>
    <row r="239" spans="1:187">
      <c r="A239" s="161"/>
      <c r="B239" s="161"/>
      <c r="C239" s="161"/>
      <c r="D239" s="161"/>
      <c r="E239" s="161"/>
      <c r="F239" s="161"/>
      <c r="G239" s="161"/>
      <c r="H239" s="161"/>
      <c r="I239" s="161"/>
      <c r="J239" s="161"/>
      <c r="K239" s="161"/>
      <c r="L239" s="161"/>
      <c r="M239" s="161"/>
      <c r="N239" s="161"/>
      <c r="O239" s="161"/>
      <c r="P239" s="161"/>
      <c r="Q239" s="161"/>
      <c r="R239" s="161"/>
      <c r="S239" s="161"/>
      <c r="T239" s="161"/>
      <c r="U239" s="161"/>
      <c r="V239" s="161"/>
      <c r="W239" s="161"/>
      <c r="X239" s="161"/>
      <c r="Y239" s="161"/>
      <c r="Z239" s="161"/>
      <c r="AA239" s="161"/>
      <c r="AB239" s="161"/>
      <c r="AC239" s="161"/>
      <c r="AD239" s="161"/>
      <c r="AE239" s="161"/>
      <c r="AF239" s="161"/>
      <c r="AG239" s="161"/>
      <c r="AH239" s="161"/>
      <c r="AI239" s="161"/>
      <c r="AJ239" s="161"/>
      <c r="AK239" s="161"/>
      <c r="AL239" s="161"/>
      <c r="AM239" s="161"/>
      <c r="AN239" s="161"/>
      <c r="AO239" s="161"/>
      <c r="AP239" s="161"/>
      <c r="AQ239" s="161"/>
      <c r="AR239" s="161"/>
      <c r="AS239" s="161"/>
      <c r="AT239" s="161"/>
      <c r="AU239" s="161"/>
      <c r="AV239" s="161"/>
      <c r="AW239" s="161"/>
      <c r="AX239" s="161"/>
      <c r="AY239" s="161"/>
      <c r="AZ239" s="161"/>
      <c r="BA239" s="161"/>
      <c r="BB239" s="161"/>
      <c r="BC239" s="161"/>
      <c r="BD239" s="161"/>
      <c r="BE239" s="161"/>
      <c r="BF239" s="161"/>
      <c r="BG239" s="161"/>
      <c r="BH239" s="161"/>
      <c r="BI239" s="161"/>
      <c r="BJ239" s="161"/>
      <c r="BK239" s="161"/>
      <c r="BL239" s="161"/>
      <c r="BM239" s="161"/>
      <c r="BN239" s="161"/>
      <c r="BO239" s="263">
        <f>BO218+BO220</f>
        <v>4987.7010000000009</v>
      </c>
      <c r="BP239" s="161"/>
      <c r="BQ239" s="161"/>
      <c r="BR239" s="161"/>
      <c r="BS239" s="263">
        <f>BS218+BS220</f>
        <v>5148.8310000000001</v>
      </c>
      <c r="BT239" s="161"/>
      <c r="BU239" s="161"/>
      <c r="BV239" s="161"/>
      <c r="BW239" s="161"/>
      <c r="BX239" s="161"/>
      <c r="BY239" s="161"/>
      <c r="BZ239" s="161"/>
      <c r="CA239" s="161"/>
      <c r="CB239" s="161"/>
      <c r="CC239" s="161"/>
      <c r="CD239" s="161"/>
      <c r="CE239" s="161"/>
      <c r="CF239" s="161"/>
      <c r="CG239" s="161"/>
      <c r="CH239" s="161"/>
      <c r="CI239" s="161"/>
      <c r="CJ239" s="161"/>
      <c r="CK239" s="161"/>
      <c r="CL239" s="161"/>
      <c r="CM239" s="161"/>
      <c r="CN239" s="161"/>
      <c r="CO239" s="161"/>
      <c r="CP239" s="161"/>
      <c r="CQ239" s="161"/>
      <c r="CR239" s="161"/>
      <c r="CS239" s="161"/>
      <c r="CT239" s="161"/>
      <c r="CU239" s="161"/>
      <c r="CV239" s="161"/>
      <c r="CW239" s="161"/>
      <c r="CX239" s="161"/>
      <c r="CY239" s="161"/>
      <c r="CZ239" s="161"/>
      <c r="DA239" s="161"/>
      <c r="DB239" s="161"/>
      <c r="DC239" s="161"/>
      <c r="DD239" s="161"/>
      <c r="DE239" s="161"/>
      <c r="DF239" s="161"/>
      <c r="DG239" s="161"/>
      <c r="DH239" s="161"/>
      <c r="DI239" s="161"/>
      <c r="DJ239" s="161"/>
      <c r="DK239" s="177"/>
      <c r="DL239" s="177"/>
      <c r="DM239" s="177"/>
      <c r="DN239" s="177"/>
      <c r="DO239" s="177"/>
      <c r="DP239" s="177"/>
      <c r="DQ239" s="177"/>
      <c r="DR239" s="177"/>
      <c r="DS239" s="177"/>
      <c r="DT239" s="177"/>
      <c r="DU239" s="177"/>
      <c r="DV239" s="177"/>
      <c r="DW239" s="177"/>
      <c r="DX239" s="177"/>
      <c r="DY239" s="177"/>
      <c r="DZ239" s="467">
        <f t="shared" si="274"/>
        <v>3.2305464982764542E-2</v>
      </c>
      <c r="EA239" s="467" t="e">
        <f t="shared" si="274"/>
        <v>#DIV/0!</v>
      </c>
      <c r="EB239" s="467"/>
      <c r="EC239" s="467"/>
      <c r="ED239" s="467"/>
      <c r="EF239" s="161"/>
      <c r="EH239" s="161"/>
      <c r="EM239" s="161"/>
      <c r="EN239" s="161"/>
      <c r="EO239" s="161"/>
      <c r="EP239" s="161"/>
      <c r="FL239" s="161"/>
      <c r="FM239" s="161"/>
      <c r="FN239" s="161"/>
      <c r="FO239" s="161"/>
      <c r="FP239" s="161"/>
      <c r="FQ239" s="161"/>
      <c r="FR239" s="161"/>
      <c r="FS239" s="639"/>
      <c r="FT239" s="639"/>
      <c r="FU239" s="161"/>
      <c r="FV239" s="161"/>
      <c r="FW239" s="667"/>
      <c r="FX239" s="667"/>
      <c r="FY239" s="161"/>
      <c r="FZ239" s="161"/>
      <c r="GA239" s="161"/>
      <c r="GB239" s="161"/>
      <c r="GC239" s="177"/>
      <c r="GD239" s="161"/>
      <c r="GE239" s="177"/>
    </row>
    <row r="240" spans="1:187">
      <c r="A240" s="161"/>
      <c r="B240" s="161"/>
      <c r="C240" s="161"/>
      <c r="D240" s="161"/>
      <c r="E240" s="161"/>
      <c r="F240" s="161"/>
      <c r="G240" s="161"/>
      <c r="H240" s="161"/>
      <c r="I240" s="161"/>
      <c r="J240" s="161"/>
      <c r="K240" s="161"/>
      <c r="L240" s="161"/>
      <c r="M240" s="161"/>
      <c r="N240" s="161"/>
      <c r="O240" s="161"/>
      <c r="P240" s="161"/>
      <c r="Q240" s="161"/>
      <c r="R240" s="161"/>
      <c r="S240" s="161"/>
      <c r="T240" s="161"/>
      <c r="U240" s="161"/>
      <c r="V240" s="161"/>
      <c r="W240" s="161"/>
      <c r="X240" s="161"/>
      <c r="Y240" s="161"/>
      <c r="Z240" s="161"/>
      <c r="AA240" s="161"/>
      <c r="AB240" s="161"/>
      <c r="AC240" s="161"/>
      <c r="AD240" s="161"/>
      <c r="AE240" s="161"/>
      <c r="AF240" s="161"/>
      <c r="AG240" s="161"/>
      <c r="AH240" s="161"/>
      <c r="AI240" s="161"/>
      <c r="AJ240" s="161"/>
      <c r="AK240" s="161"/>
      <c r="AL240" s="161"/>
      <c r="AM240" s="161"/>
      <c r="AN240" s="161"/>
      <c r="AO240" s="161"/>
      <c r="AP240" s="161"/>
      <c r="AQ240" s="161"/>
      <c r="AR240" s="161"/>
      <c r="AS240" s="161"/>
      <c r="AT240" s="161"/>
      <c r="AU240" s="161"/>
      <c r="AV240" s="161"/>
      <c r="AW240" s="161"/>
      <c r="AX240" s="161"/>
      <c r="AY240" s="161"/>
      <c r="AZ240" s="161"/>
      <c r="BA240" s="161"/>
      <c r="BB240" s="161"/>
      <c r="BC240" s="161"/>
      <c r="BD240" s="161"/>
      <c r="BE240" s="161"/>
      <c r="BF240" s="161"/>
      <c r="BG240" s="161"/>
      <c r="BH240" s="161"/>
      <c r="BI240" s="161"/>
      <c r="BJ240" s="161"/>
      <c r="BK240" s="161"/>
      <c r="BL240" s="161"/>
      <c r="BM240" s="161"/>
      <c r="BN240" s="161"/>
      <c r="BO240" s="263">
        <f>BO239</f>
        <v>4987.7010000000009</v>
      </c>
      <c r="BP240" s="161"/>
      <c r="BQ240" s="161"/>
      <c r="BR240" s="161"/>
      <c r="BS240" s="985">
        <f>BO240*1.08</f>
        <v>5386.7170800000013</v>
      </c>
      <c r="BT240" s="161"/>
      <c r="BU240" s="161"/>
      <c r="BV240" s="161"/>
      <c r="BW240" s="161"/>
      <c r="BX240" s="161"/>
      <c r="BY240" s="161"/>
      <c r="BZ240" s="161"/>
      <c r="CA240" s="161"/>
      <c r="CB240" s="161"/>
      <c r="CC240" s="161"/>
      <c r="CD240" s="161"/>
      <c r="CE240" s="161"/>
      <c r="CF240" s="161"/>
      <c r="CG240" s="161"/>
      <c r="CH240" s="161"/>
      <c r="CI240" s="161"/>
      <c r="CJ240" s="161"/>
      <c r="CK240" s="161"/>
      <c r="CL240" s="161"/>
      <c r="CM240" s="161"/>
      <c r="CN240" s="161"/>
      <c r="CO240" s="161"/>
      <c r="CP240" s="161"/>
      <c r="CQ240" s="161"/>
      <c r="CR240" s="161"/>
      <c r="CS240" s="161"/>
      <c r="CT240" s="161"/>
      <c r="CU240" s="161"/>
      <c r="CV240" s="161"/>
      <c r="CW240" s="161"/>
      <c r="CX240" s="161"/>
      <c r="CY240" s="161"/>
      <c r="CZ240" s="161"/>
      <c r="DA240" s="161"/>
      <c r="DB240" s="161"/>
      <c r="DC240" s="161"/>
      <c r="DD240" s="161"/>
      <c r="DE240" s="161"/>
      <c r="DF240" s="161"/>
      <c r="DG240" s="161"/>
      <c r="DH240" s="161"/>
      <c r="DI240" s="161"/>
      <c r="DJ240" s="161"/>
      <c r="DK240" s="177"/>
      <c r="DL240" s="177"/>
      <c r="DM240" s="177"/>
      <c r="DN240" s="177"/>
      <c r="DO240" s="177"/>
      <c r="DP240" s="177"/>
      <c r="DQ240" s="177"/>
      <c r="DR240" s="177"/>
      <c r="DS240" s="177"/>
      <c r="DT240" s="177"/>
      <c r="DU240" s="177"/>
      <c r="DV240" s="177"/>
      <c r="DW240" s="177"/>
      <c r="DX240" s="177"/>
      <c r="DY240" s="177"/>
      <c r="DZ240" s="989">
        <f t="shared" si="274"/>
        <v>8.0000000000000071E-2</v>
      </c>
      <c r="EA240" s="989" t="e">
        <f t="shared" si="274"/>
        <v>#DIV/0!</v>
      </c>
      <c r="EB240" s="486"/>
      <c r="EC240" s="486"/>
      <c r="ED240" s="486"/>
      <c r="EF240" s="161"/>
      <c r="EH240" s="161"/>
      <c r="EM240" s="161"/>
      <c r="EN240" s="161"/>
      <c r="EO240" s="161"/>
      <c r="EP240" s="161"/>
      <c r="FL240" s="161"/>
      <c r="FM240" s="161"/>
      <c r="FN240" s="161"/>
      <c r="FO240" s="161"/>
      <c r="FP240" s="161"/>
      <c r="FQ240" s="161"/>
      <c r="FR240" s="161"/>
      <c r="FS240" s="639"/>
      <c r="FT240" s="639"/>
      <c r="FU240" s="161"/>
      <c r="FV240" s="161"/>
      <c r="FW240" s="667"/>
      <c r="FX240" s="667"/>
      <c r="FY240" s="161"/>
      <c r="FZ240" s="161"/>
      <c r="GA240" s="161"/>
      <c r="GB240" s="161"/>
      <c r="GC240" s="177"/>
      <c r="GD240" s="161"/>
      <c r="GE240" s="177"/>
    </row>
    <row r="241" spans="1:187">
      <c r="A241" s="161"/>
      <c r="B241" s="161"/>
      <c r="C241" s="161"/>
      <c r="D241" s="161"/>
      <c r="E241" s="161"/>
      <c r="F241" s="161"/>
      <c r="G241" s="161"/>
      <c r="H241" s="161"/>
      <c r="I241" s="161"/>
      <c r="J241" s="161"/>
      <c r="K241" s="161"/>
      <c r="L241" s="161"/>
      <c r="M241" s="161"/>
      <c r="N241" s="161"/>
      <c r="O241" s="161"/>
      <c r="P241" s="161"/>
      <c r="Q241" s="161"/>
      <c r="R241" s="161"/>
      <c r="S241" s="161"/>
      <c r="T241" s="161"/>
      <c r="U241" s="161"/>
      <c r="V241" s="161"/>
      <c r="W241" s="161"/>
      <c r="X241" s="161"/>
      <c r="Y241" s="161"/>
      <c r="Z241" s="161"/>
      <c r="AA241" s="161"/>
      <c r="AB241" s="161"/>
      <c r="AC241" s="161"/>
      <c r="AD241" s="161"/>
      <c r="AE241" s="161"/>
      <c r="AF241" s="161"/>
      <c r="AG241" s="161"/>
      <c r="AH241" s="161"/>
      <c r="AI241" s="161"/>
      <c r="AJ241" s="161"/>
      <c r="AK241" s="161"/>
      <c r="AL241" s="161"/>
      <c r="AM241" s="161"/>
      <c r="AN241" s="161"/>
      <c r="AO241" s="161"/>
      <c r="AP241" s="161"/>
      <c r="AQ241" s="161"/>
      <c r="AR241" s="161"/>
      <c r="AS241" s="161"/>
      <c r="AT241" s="161"/>
      <c r="AU241" s="161"/>
      <c r="AV241" s="161"/>
      <c r="AW241" s="161"/>
      <c r="AX241" s="161"/>
      <c r="AY241" s="161"/>
      <c r="AZ241" s="161"/>
      <c r="BA241" s="161"/>
      <c r="BB241" s="161"/>
      <c r="BC241" s="161"/>
      <c r="BD241" s="161"/>
      <c r="BE241" s="161"/>
      <c r="BF241" s="161"/>
      <c r="BG241" s="161"/>
      <c r="BH241" s="161"/>
      <c r="BI241" s="161"/>
      <c r="BJ241" s="161"/>
      <c r="BK241" s="161"/>
      <c r="BL241" s="161"/>
      <c r="BM241" s="161"/>
      <c r="BN241" s="161"/>
      <c r="BO241" s="161"/>
      <c r="BP241" s="161"/>
      <c r="BQ241" s="161"/>
      <c r="BR241" s="161"/>
      <c r="BS241" s="294">
        <f>BS217-BS240</f>
        <v>3815.3619199999985</v>
      </c>
      <c r="BT241" s="161"/>
      <c r="BU241" s="161"/>
      <c r="BV241" s="161"/>
      <c r="BW241" s="161"/>
      <c r="BX241" s="161"/>
      <c r="BY241" s="161"/>
      <c r="BZ241" s="161"/>
      <c r="CA241" s="161"/>
      <c r="CB241" s="161"/>
      <c r="CC241" s="161"/>
      <c r="CD241" s="161"/>
      <c r="CE241" s="161"/>
      <c r="CF241" s="161"/>
      <c r="CG241" s="161"/>
      <c r="CH241" s="161"/>
      <c r="CI241" s="161"/>
      <c r="CJ241" s="161"/>
      <c r="CK241" s="161"/>
      <c r="CL241" s="161"/>
      <c r="CM241" s="161"/>
      <c r="CN241" s="161"/>
      <c r="CO241" s="161"/>
      <c r="CP241" s="161"/>
      <c r="CQ241" s="161"/>
      <c r="CR241" s="161"/>
      <c r="CS241" s="161"/>
      <c r="CT241" s="161"/>
      <c r="CU241" s="161"/>
      <c r="CV241" s="161"/>
      <c r="CW241" s="161"/>
      <c r="CX241" s="161"/>
      <c r="CY241" s="161"/>
      <c r="CZ241" s="161"/>
      <c r="DA241" s="161"/>
      <c r="DB241" s="161"/>
      <c r="DC241" s="161"/>
      <c r="DD241" s="161"/>
      <c r="DE241" s="161"/>
      <c r="DF241" s="161"/>
      <c r="DG241" s="161"/>
      <c r="DH241" s="161"/>
      <c r="DI241" s="161"/>
      <c r="DJ241" s="161"/>
      <c r="DK241" s="177"/>
      <c r="DL241" s="177"/>
      <c r="DM241" s="177"/>
      <c r="DN241" s="177"/>
      <c r="DO241" s="177"/>
      <c r="DP241" s="177"/>
      <c r="DQ241" s="177"/>
      <c r="DR241" s="177"/>
      <c r="DS241" s="177"/>
      <c r="DT241" s="177"/>
      <c r="DU241" s="177"/>
      <c r="DV241" s="177"/>
      <c r="DW241" s="177"/>
      <c r="DX241" s="177"/>
      <c r="DY241" s="177"/>
      <c r="DZ241" s="987">
        <f>BS241/BO221-1</f>
        <v>8.5157258928091117E-2</v>
      </c>
      <c r="EA241" s="987" t="e">
        <f>BT241/BP221-1</f>
        <v>#DIV/0!</v>
      </c>
      <c r="EB241" s="1032"/>
      <c r="EC241" s="1032"/>
      <c r="ED241" s="1032"/>
      <c r="EF241" s="161"/>
      <c r="EH241" s="161"/>
      <c r="EM241" s="161"/>
      <c r="EN241" s="161"/>
      <c r="EO241" s="161"/>
      <c r="EP241" s="161"/>
      <c r="FL241" s="161"/>
      <c r="FM241" s="161"/>
      <c r="FN241" s="161"/>
      <c r="FO241" s="161"/>
      <c r="FP241" s="161"/>
      <c r="FQ241" s="161"/>
      <c r="FR241" s="161"/>
      <c r="FS241" s="639"/>
      <c r="FT241" s="639"/>
      <c r="FU241" s="161"/>
      <c r="FV241" s="161"/>
      <c r="FW241" s="667"/>
      <c r="FX241" s="667"/>
      <c r="FY241" s="161"/>
      <c r="FZ241" s="161"/>
      <c r="GA241" s="161"/>
      <c r="GB241" s="161"/>
      <c r="GC241" s="177"/>
      <c r="GD241" s="161"/>
      <c r="GE241" s="177"/>
    </row>
    <row r="242" spans="1:187">
      <c r="A242" s="161"/>
      <c r="B242" s="161"/>
      <c r="C242" s="161"/>
      <c r="D242" s="161"/>
      <c r="E242" s="161"/>
      <c r="F242" s="161"/>
      <c r="G242" s="161"/>
      <c r="H242" s="161"/>
      <c r="I242" s="161"/>
      <c r="J242" s="161"/>
      <c r="K242" s="161"/>
      <c r="L242" s="161"/>
      <c r="M242" s="161"/>
      <c r="N242" s="161"/>
      <c r="O242" s="161"/>
      <c r="P242" s="161"/>
      <c r="Q242" s="161"/>
      <c r="R242" s="161"/>
      <c r="S242" s="161"/>
      <c r="T242" s="161"/>
      <c r="U242" s="161"/>
      <c r="V242" s="161"/>
      <c r="W242" s="161"/>
      <c r="X242" s="161"/>
      <c r="Y242" s="161"/>
      <c r="Z242" s="161"/>
      <c r="AA242" s="161"/>
      <c r="AB242" s="161"/>
      <c r="AC242" s="161"/>
      <c r="AD242" s="161"/>
      <c r="AE242" s="161"/>
      <c r="AF242" s="161"/>
      <c r="AG242" s="161"/>
      <c r="AH242" s="161"/>
      <c r="AI242" s="161"/>
      <c r="AJ242" s="161"/>
      <c r="AK242" s="161"/>
      <c r="AL242" s="161"/>
      <c r="AM242" s="161"/>
      <c r="AN242" s="161"/>
      <c r="AO242" s="161"/>
      <c r="AP242" s="161"/>
      <c r="AQ242" s="161"/>
      <c r="AR242" s="161"/>
      <c r="AS242" s="161"/>
      <c r="AT242" s="161"/>
      <c r="AU242" s="161"/>
      <c r="AV242" s="161"/>
      <c r="AW242" s="161"/>
      <c r="AX242" s="161"/>
      <c r="AY242" s="161"/>
      <c r="AZ242" s="161"/>
      <c r="BA242" s="161"/>
      <c r="BB242" s="161"/>
      <c r="BC242" s="161"/>
      <c r="BD242" s="161"/>
      <c r="BE242" s="161"/>
      <c r="BF242" s="161"/>
      <c r="BG242" s="161"/>
      <c r="BH242" s="161"/>
      <c r="BI242" s="161"/>
      <c r="BJ242" s="161"/>
      <c r="BK242" s="161"/>
      <c r="BL242" s="161"/>
      <c r="BM242" s="161"/>
      <c r="BN242" s="161"/>
      <c r="BO242" s="161"/>
      <c r="BP242" s="161"/>
      <c r="BQ242" s="161"/>
      <c r="BR242" s="161"/>
      <c r="BS242" s="161"/>
      <c r="BT242" s="161"/>
      <c r="BU242" s="161"/>
      <c r="BV242" s="161"/>
      <c r="BW242" s="161"/>
      <c r="BX242" s="161"/>
      <c r="BY242" s="161"/>
      <c r="BZ242" s="161"/>
      <c r="CA242" s="161"/>
      <c r="CB242" s="161"/>
      <c r="CC242" s="161"/>
      <c r="CD242" s="161"/>
      <c r="CE242" s="161"/>
      <c r="CF242" s="161"/>
      <c r="CG242" s="161"/>
      <c r="CH242" s="161"/>
      <c r="CI242" s="161"/>
      <c r="CJ242" s="161"/>
      <c r="CK242" s="161"/>
      <c r="CL242" s="161"/>
      <c r="CM242" s="161"/>
      <c r="CN242" s="161"/>
      <c r="CO242" s="161"/>
      <c r="CP242" s="161"/>
      <c r="CQ242" s="161"/>
      <c r="CR242" s="161"/>
      <c r="CS242" s="161"/>
      <c r="CT242" s="161"/>
      <c r="CU242" s="161"/>
      <c r="CV242" s="161"/>
      <c r="CW242" s="161"/>
      <c r="CX242" s="161"/>
      <c r="CY242" s="161"/>
      <c r="CZ242" s="161"/>
      <c r="DA242" s="161"/>
      <c r="DB242" s="161"/>
      <c r="DC242" s="161"/>
      <c r="DD242" s="161"/>
      <c r="DE242" s="161"/>
      <c r="DF242" s="161"/>
      <c r="DG242" s="161"/>
      <c r="DH242" s="161"/>
      <c r="DI242" s="161"/>
      <c r="DJ242" s="161"/>
      <c r="DK242" s="177"/>
      <c r="DL242" s="177"/>
      <c r="DM242" s="177"/>
      <c r="DN242" s="177"/>
      <c r="DO242" s="177"/>
      <c r="DP242" s="177"/>
      <c r="DQ242" s="177"/>
      <c r="DR242" s="177"/>
      <c r="DS242" s="177"/>
      <c r="DT242" s="177"/>
      <c r="DU242" s="177"/>
      <c r="DV242" s="177"/>
      <c r="DW242" s="177"/>
      <c r="DX242" s="177"/>
      <c r="DY242" s="177"/>
      <c r="DZ242" s="177"/>
      <c r="EA242" s="177"/>
      <c r="EB242" s="177"/>
      <c r="EC242" s="177"/>
      <c r="ED242" s="177"/>
      <c r="EF242" s="161"/>
      <c r="EH242" s="161"/>
      <c r="EM242" s="161"/>
      <c r="EN242" s="161"/>
      <c r="EO242" s="161"/>
      <c r="EP242" s="161"/>
      <c r="FL242" s="161"/>
      <c r="FM242" s="161"/>
      <c r="FN242" s="161"/>
      <c r="FO242" s="161"/>
      <c r="FP242" s="161"/>
      <c r="FQ242" s="161"/>
      <c r="FR242" s="161"/>
      <c r="FS242" s="639"/>
      <c r="FT242" s="639"/>
      <c r="FU242" s="161"/>
      <c r="FV242" s="161"/>
      <c r="FW242" s="667"/>
      <c r="FX242" s="667"/>
      <c r="FY242" s="161"/>
      <c r="FZ242" s="161"/>
      <c r="GA242" s="161"/>
      <c r="GB242" s="161"/>
      <c r="GC242" s="177"/>
      <c r="GD242" s="161"/>
      <c r="GE242" s="177"/>
    </row>
    <row r="243" spans="1:187">
      <c r="A243" s="161"/>
      <c r="B243" s="161"/>
      <c r="C243" s="161"/>
      <c r="D243" s="161"/>
      <c r="E243" s="161"/>
      <c r="F243" s="161"/>
      <c r="G243" s="161"/>
      <c r="H243" s="161"/>
      <c r="I243" s="161"/>
      <c r="J243" s="161"/>
      <c r="K243" s="161"/>
      <c r="L243" s="161"/>
      <c r="M243" s="161"/>
      <c r="N243" s="161"/>
      <c r="O243" s="161"/>
      <c r="P243" s="161"/>
      <c r="Q243" s="161"/>
      <c r="R243" s="161"/>
      <c r="S243" s="161"/>
      <c r="T243" s="161"/>
      <c r="U243" s="161"/>
      <c r="V243" s="161"/>
      <c r="W243" s="161"/>
      <c r="X243" s="161"/>
      <c r="Y243" s="161"/>
      <c r="Z243" s="161"/>
      <c r="AA243" s="161"/>
      <c r="AB243" s="161"/>
      <c r="AC243" s="161"/>
      <c r="AD243" s="161"/>
      <c r="AE243" s="161"/>
      <c r="AF243" s="161"/>
      <c r="AG243" s="161"/>
      <c r="AH243" s="161"/>
      <c r="AI243" s="161"/>
      <c r="AJ243" s="161"/>
      <c r="AK243" s="161"/>
      <c r="AL243" s="161"/>
      <c r="AM243" s="161"/>
      <c r="AN243" s="161"/>
      <c r="AO243" s="161"/>
      <c r="AP243" s="161"/>
      <c r="AQ243" s="161"/>
      <c r="AR243" s="161"/>
      <c r="AS243" s="161"/>
      <c r="AT243" s="161"/>
      <c r="AU243" s="161"/>
      <c r="AV243" s="161"/>
      <c r="AW243" s="161"/>
      <c r="AX243" s="161"/>
      <c r="AY243" s="161"/>
      <c r="AZ243" s="161"/>
      <c r="BA243" s="161"/>
      <c r="BB243" s="161"/>
      <c r="BC243" s="161"/>
      <c r="BD243" s="161"/>
      <c r="BE243" s="161"/>
      <c r="BF243" s="161"/>
      <c r="BG243" s="161"/>
      <c r="BH243" s="161"/>
      <c r="BI243" s="161"/>
      <c r="BJ243" s="161"/>
      <c r="BK243" s="161"/>
      <c r="BL243" s="161"/>
      <c r="BM243" s="161"/>
      <c r="BN243" s="161"/>
      <c r="BO243" s="161"/>
      <c r="BP243" s="161"/>
      <c r="BQ243" s="161"/>
      <c r="BR243" s="161"/>
      <c r="BS243" s="161"/>
      <c r="BT243" s="161"/>
      <c r="BU243" s="161"/>
      <c r="BV243" s="161"/>
      <c r="BW243" s="161"/>
      <c r="BX243" s="161"/>
      <c r="BY243" s="161"/>
      <c r="BZ243" s="161"/>
      <c r="CA243" s="161"/>
      <c r="CB243" s="161"/>
      <c r="CC243" s="161"/>
      <c r="CD243" s="161"/>
      <c r="CE243" s="161"/>
      <c r="CF243" s="161"/>
      <c r="CG243" s="161"/>
      <c r="CH243" s="161"/>
      <c r="CI243" s="161"/>
      <c r="CJ243" s="161"/>
      <c r="CK243" s="161"/>
      <c r="CL243" s="161"/>
      <c r="CM243" s="161"/>
      <c r="CN243" s="161"/>
      <c r="CO243" s="161"/>
      <c r="CP243" s="161"/>
      <c r="CQ243" s="161"/>
      <c r="CR243" s="161"/>
      <c r="CS243" s="161"/>
      <c r="CT243" s="161"/>
      <c r="CU243" s="161"/>
      <c r="CV243" s="161"/>
      <c r="CW243" s="161"/>
      <c r="CX243" s="161"/>
      <c r="CY243" s="161"/>
      <c r="CZ243" s="161"/>
      <c r="DA243" s="161"/>
      <c r="DB243" s="161"/>
      <c r="DC243" s="161"/>
      <c r="DD243" s="161"/>
      <c r="DE243" s="161"/>
      <c r="DF243" s="161"/>
      <c r="DG243" s="161"/>
      <c r="DH243" s="161"/>
      <c r="DI243" s="161"/>
      <c r="DJ243" s="161"/>
      <c r="DK243" s="177"/>
      <c r="DL243" s="177"/>
      <c r="DM243" s="177"/>
      <c r="DN243" s="177"/>
      <c r="DO243" s="177"/>
      <c r="DP243" s="177"/>
      <c r="DQ243" s="177"/>
      <c r="DR243" s="177"/>
      <c r="DS243" s="177"/>
      <c r="DT243" s="177"/>
      <c r="DU243" s="177"/>
      <c r="DV243" s="177"/>
      <c r="DW243" s="177"/>
      <c r="DX243" s="177"/>
      <c r="DY243" s="177"/>
      <c r="DZ243" s="177"/>
      <c r="EA243" s="177"/>
      <c r="EB243" s="177"/>
      <c r="EC243" s="177"/>
      <c r="ED243" s="177"/>
      <c r="EF243" s="161"/>
      <c r="EH243" s="161"/>
      <c r="EM243" s="161"/>
      <c r="EN243" s="161"/>
      <c r="EO243" s="161"/>
      <c r="EP243" s="161"/>
      <c r="FL243" s="161"/>
      <c r="FM243" s="161"/>
      <c r="FN243" s="161"/>
      <c r="FO243" s="161"/>
      <c r="FP243" s="161"/>
      <c r="FQ243" s="161"/>
      <c r="FR243" s="161"/>
      <c r="FS243" s="639"/>
      <c r="FT243" s="639"/>
      <c r="FU243" s="161"/>
      <c r="FV243" s="161"/>
      <c r="FW243" s="667"/>
      <c r="FX243" s="667"/>
      <c r="FY243" s="161"/>
      <c r="FZ243" s="161"/>
      <c r="GA243" s="161"/>
      <c r="GB243" s="161"/>
      <c r="GC243" s="177"/>
      <c r="GD243" s="161"/>
      <c r="GE243" s="177"/>
    </row>
    <row r="244" spans="1:187">
      <c r="A244" s="161"/>
      <c r="B244" s="161"/>
      <c r="C244" s="161"/>
      <c r="D244" s="161"/>
      <c r="E244" s="161"/>
      <c r="F244" s="161"/>
      <c r="G244" s="161"/>
      <c r="H244" s="161"/>
      <c r="I244" s="161"/>
      <c r="J244" s="161"/>
      <c r="K244" s="161"/>
      <c r="L244" s="161"/>
      <c r="M244" s="161"/>
      <c r="N244" s="161"/>
      <c r="O244" s="161"/>
      <c r="P244" s="161"/>
      <c r="Q244" s="161"/>
      <c r="R244" s="161"/>
      <c r="S244" s="161"/>
      <c r="T244" s="161"/>
      <c r="U244" s="161"/>
      <c r="V244" s="161"/>
      <c r="W244" s="161"/>
      <c r="X244" s="161"/>
      <c r="Y244" s="161"/>
      <c r="Z244" s="161"/>
      <c r="AA244" s="161"/>
      <c r="AB244" s="161"/>
      <c r="AC244" s="161"/>
      <c r="AD244" s="161"/>
      <c r="AE244" s="161"/>
      <c r="AF244" s="161"/>
      <c r="AG244" s="161"/>
      <c r="AH244" s="161"/>
      <c r="AI244" s="161"/>
      <c r="AJ244" s="161"/>
      <c r="AK244" s="161"/>
      <c r="AL244" s="161"/>
      <c r="AM244" s="161"/>
      <c r="AN244" s="161"/>
      <c r="AO244" s="161"/>
      <c r="AP244" s="161"/>
      <c r="AQ244" s="161"/>
      <c r="AR244" s="161"/>
      <c r="AS244" s="161"/>
      <c r="AT244" s="161"/>
      <c r="AU244" s="161"/>
      <c r="AV244" s="161"/>
      <c r="AW244" s="161"/>
      <c r="AX244" s="161"/>
      <c r="AY244" s="161"/>
      <c r="AZ244" s="161"/>
      <c r="BA244" s="161"/>
      <c r="BB244" s="161"/>
      <c r="BC244" s="161"/>
      <c r="BD244" s="161"/>
      <c r="BE244" s="161"/>
      <c r="BF244" s="161"/>
      <c r="BG244" s="161"/>
      <c r="BH244" s="161"/>
      <c r="BI244" s="161"/>
      <c r="BJ244" s="161"/>
      <c r="BK244" s="161"/>
      <c r="BL244" s="161"/>
      <c r="BM244" s="161"/>
      <c r="BN244" s="161"/>
      <c r="BO244" s="263">
        <f>BO239</f>
        <v>4987.7010000000009</v>
      </c>
      <c r="BP244" s="161"/>
      <c r="BQ244" s="161"/>
      <c r="BR244" s="161"/>
      <c r="BS244" s="263">
        <f>BS239</f>
        <v>5148.8310000000001</v>
      </c>
      <c r="BT244" s="161"/>
      <c r="BU244" s="161"/>
      <c r="BV244" s="161"/>
      <c r="BW244" s="161"/>
      <c r="BX244" s="161"/>
      <c r="BY244" s="161"/>
      <c r="BZ244" s="161"/>
      <c r="CA244" s="161"/>
      <c r="CB244" s="161"/>
      <c r="CC244" s="161"/>
      <c r="CD244" s="161"/>
      <c r="CE244" s="161"/>
      <c r="CF244" s="161"/>
      <c r="CG244" s="161"/>
      <c r="CH244" s="161"/>
      <c r="CI244" s="161"/>
      <c r="CJ244" s="161"/>
      <c r="CK244" s="161"/>
      <c r="CL244" s="161"/>
      <c r="CM244" s="161"/>
      <c r="CN244" s="161"/>
      <c r="CO244" s="161"/>
      <c r="CP244" s="161"/>
      <c r="CQ244" s="161"/>
      <c r="CR244" s="161"/>
      <c r="CS244" s="161"/>
      <c r="CT244" s="161"/>
      <c r="CU244" s="161"/>
      <c r="CV244" s="161"/>
      <c r="CW244" s="161"/>
      <c r="CX244" s="161"/>
      <c r="CY244" s="161"/>
      <c r="CZ244" s="161"/>
      <c r="DA244" s="161"/>
      <c r="DB244" s="161"/>
      <c r="DC244" s="161"/>
      <c r="DD244" s="161"/>
      <c r="DE244" s="161"/>
      <c r="DF244" s="161"/>
      <c r="DG244" s="161"/>
      <c r="DH244" s="161"/>
      <c r="DI244" s="161"/>
      <c r="DJ244" s="161"/>
      <c r="DK244" s="177"/>
      <c r="DL244" s="177"/>
      <c r="DM244" s="177"/>
      <c r="DN244" s="177"/>
      <c r="DO244" s="177"/>
      <c r="DP244" s="177"/>
      <c r="DQ244" s="177"/>
      <c r="DR244" s="177"/>
      <c r="DS244" s="177"/>
      <c r="DT244" s="177"/>
      <c r="DU244" s="177"/>
      <c r="DV244" s="177"/>
      <c r="DW244" s="177"/>
      <c r="DX244" s="177"/>
      <c r="DY244" s="177"/>
      <c r="DZ244" s="467">
        <f t="shared" ref="DZ244:EA246" si="275">BS244/BO244-1</f>
        <v>3.2305464982764542E-2</v>
      </c>
      <c r="EA244" s="467" t="e">
        <f t="shared" si="275"/>
        <v>#DIV/0!</v>
      </c>
      <c r="EB244" s="467"/>
      <c r="EC244" s="467"/>
      <c r="ED244" s="467"/>
      <c r="EF244" s="161"/>
      <c r="EH244" s="161"/>
      <c r="EM244" s="161"/>
      <c r="EN244" s="161"/>
      <c r="EO244" s="161"/>
      <c r="EP244" s="161"/>
      <c r="FL244" s="161"/>
      <c r="FM244" s="161"/>
      <c r="FN244" s="161"/>
      <c r="FO244" s="161"/>
      <c r="FP244" s="161"/>
      <c r="FQ244" s="161"/>
      <c r="FR244" s="161"/>
      <c r="FS244" s="639"/>
      <c r="FT244" s="639"/>
      <c r="FU244" s="161"/>
      <c r="FV244" s="161"/>
      <c r="FW244" s="667"/>
      <c r="FX244" s="667"/>
      <c r="FY244" s="161"/>
      <c r="FZ244" s="161"/>
      <c r="GA244" s="161"/>
      <c r="GB244" s="161"/>
      <c r="GC244" s="177"/>
      <c r="GD244" s="161"/>
      <c r="GE244" s="177"/>
    </row>
    <row r="245" spans="1:187">
      <c r="A245" s="161"/>
      <c r="B245" s="161"/>
      <c r="C245" s="161"/>
      <c r="D245" s="161"/>
      <c r="E245" s="161"/>
      <c r="F245" s="161"/>
      <c r="G245" s="161"/>
      <c r="H245" s="161"/>
      <c r="I245" s="161"/>
      <c r="J245" s="161"/>
      <c r="K245" s="161"/>
      <c r="L245" s="161"/>
      <c r="M245" s="161"/>
      <c r="N245" s="161"/>
      <c r="O245" s="161"/>
      <c r="P245" s="161"/>
      <c r="Q245" s="161"/>
      <c r="R245" s="161"/>
      <c r="S245" s="161"/>
      <c r="T245" s="161"/>
      <c r="U245" s="161"/>
      <c r="V245" s="161"/>
      <c r="W245" s="161"/>
      <c r="X245" s="161"/>
      <c r="Y245" s="161"/>
      <c r="Z245" s="161"/>
      <c r="AA245" s="161"/>
      <c r="AB245" s="161"/>
      <c r="AC245" s="161"/>
      <c r="AD245" s="161"/>
      <c r="AE245" s="161"/>
      <c r="AF245" s="161"/>
      <c r="AG245" s="161"/>
      <c r="AH245" s="161"/>
      <c r="AI245" s="161"/>
      <c r="AJ245" s="161"/>
      <c r="AK245" s="161"/>
      <c r="AL245" s="161"/>
      <c r="AM245" s="161"/>
      <c r="AN245" s="161"/>
      <c r="AO245" s="161"/>
      <c r="AP245" s="161"/>
      <c r="AQ245" s="161"/>
      <c r="AR245" s="161"/>
      <c r="AS245" s="161"/>
      <c r="AT245" s="161"/>
      <c r="AU245" s="161"/>
      <c r="AV245" s="161"/>
      <c r="AW245" s="161"/>
      <c r="AX245" s="161"/>
      <c r="AY245" s="161"/>
      <c r="AZ245" s="161"/>
      <c r="BA245" s="161"/>
      <c r="BB245" s="161"/>
      <c r="BC245" s="161"/>
      <c r="BD245" s="161"/>
      <c r="BE245" s="161"/>
      <c r="BF245" s="161"/>
      <c r="BG245" s="161"/>
      <c r="BH245" s="161"/>
      <c r="BI245" s="161"/>
      <c r="BJ245" s="161"/>
      <c r="BK245" s="161"/>
      <c r="BL245" s="161"/>
      <c r="BM245" s="161"/>
      <c r="BN245" s="161"/>
      <c r="BO245" s="985">
        <f>BS245/1.08</f>
        <v>4767.4361111111111</v>
      </c>
      <c r="BP245" s="161"/>
      <c r="BQ245" s="161"/>
      <c r="BR245" s="161"/>
      <c r="BS245" s="263">
        <f>BS244</f>
        <v>5148.8310000000001</v>
      </c>
      <c r="BT245" s="161"/>
      <c r="BU245" s="161"/>
      <c r="BV245" s="161"/>
      <c r="BW245" s="161"/>
      <c r="BX245" s="161"/>
      <c r="BY245" s="161"/>
      <c r="BZ245" s="161"/>
      <c r="CA245" s="161"/>
      <c r="CB245" s="161"/>
      <c r="CC245" s="161"/>
      <c r="CD245" s="161"/>
      <c r="CE245" s="161"/>
      <c r="CF245" s="161"/>
      <c r="CG245" s="161"/>
      <c r="CH245" s="161"/>
      <c r="CI245" s="161"/>
      <c r="CJ245" s="161"/>
      <c r="CK245" s="161"/>
      <c r="CL245" s="161"/>
      <c r="CM245" s="161"/>
      <c r="CN245" s="161"/>
      <c r="CO245" s="161"/>
      <c r="CP245" s="161"/>
      <c r="CQ245" s="161"/>
      <c r="CR245" s="161"/>
      <c r="CS245" s="161"/>
      <c r="CT245" s="161"/>
      <c r="CU245" s="161"/>
      <c r="CV245" s="161"/>
      <c r="CW245" s="161"/>
      <c r="CX245" s="161"/>
      <c r="CY245" s="161"/>
      <c r="CZ245" s="161"/>
      <c r="DA245" s="161"/>
      <c r="DB245" s="161"/>
      <c r="DC245" s="161"/>
      <c r="DD245" s="161"/>
      <c r="DE245" s="161"/>
      <c r="DF245" s="161"/>
      <c r="DG245" s="161"/>
      <c r="DH245" s="161"/>
      <c r="DI245" s="161"/>
      <c r="DJ245" s="161"/>
      <c r="DK245" s="177"/>
      <c r="DL245" s="177"/>
      <c r="DM245" s="177"/>
      <c r="DN245" s="177"/>
      <c r="DO245" s="177"/>
      <c r="DP245" s="177"/>
      <c r="DQ245" s="177"/>
      <c r="DR245" s="177"/>
      <c r="DS245" s="177"/>
      <c r="DT245" s="177"/>
      <c r="DU245" s="177"/>
      <c r="DV245" s="177"/>
      <c r="DW245" s="177"/>
      <c r="DX245" s="177"/>
      <c r="DY245" s="177"/>
      <c r="DZ245" s="467">
        <f t="shared" si="275"/>
        <v>8.0000000000000071E-2</v>
      </c>
      <c r="EA245" s="467" t="e">
        <f t="shared" si="275"/>
        <v>#DIV/0!</v>
      </c>
      <c r="EB245" s="467"/>
      <c r="EC245" s="467"/>
      <c r="ED245" s="467"/>
      <c r="EF245" s="161"/>
      <c r="EH245" s="161"/>
      <c r="EM245" s="161"/>
      <c r="EN245" s="161"/>
      <c r="EO245" s="161"/>
      <c r="EP245" s="161"/>
      <c r="FL245" s="161"/>
      <c r="FM245" s="161"/>
      <c r="FN245" s="161"/>
      <c r="FO245" s="161"/>
      <c r="FP245" s="161"/>
      <c r="FQ245" s="161"/>
      <c r="FR245" s="161"/>
      <c r="FS245" s="639"/>
      <c r="FT245" s="639"/>
      <c r="FU245" s="161"/>
      <c r="FV245" s="161"/>
      <c r="FW245" s="667"/>
      <c r="FX245" s="667"/>
      <c r="FY245" s="161"/>
      <c r="FZ245" s="161"/>
      <c r="GA245" s="161"/>
      <c r="GB245" s="161"/>
      <c r="GC245" s="177"/>
      <c r="GD245" s="161"/>
      <c r="GE245" s="177"/>
    </row>
    <row r="246" spans="1:187">
      <c r="A246" s="161"/>
      <c r="B246" s="161"/>
      <c r="C246" s="161"/>
      <c r="D246" s="161"/>
      <c r="E246" s="161"/>
      <c r="F246" s="161"/>
      <c r="G246" s="161"/>
      <c r="H246" s="161"/>
      <c r="I246" s="161"/>
      <c r="J246" s="161"/>
      <c r="K246" s="161"/>
      <c r="L246" s="161"/>
      <c r="M246" s="161"/>
      <c r="N246" s="161"/>
      <c r="O246" s="161"/>
      <c r="P246" s="161"/>
      <c r="Q246" s="161"/>
      <c r="R246" s="161"/>
      <c r="S246" s="161"/>
      <c r="T246" s="161"/>
      <c r="U246" s="161"/>
      <c r="V246" s="161"/>
      <c r="W246" s="161"/>
      <c r="X246" s="161"/>
      <c r="Y246" s="161"/>
      <c r="Z246" s="161"/>
      <c r="AA246" s="161"/>
      <c r="AB246" s="161"/>
      <c r="AC246" s="161"/>
      <c r="AD246" s="161"/>
      <c r="AE246" s="161"/>
      <c r="AF246" s="161"/>
      <c r="AG246" s="161"/>
      <c r="AH246" s="161"/>
      <c r="AI246" s="161"/>
      <c r="AJ246" s="161"/>
      <c r="AK246" s="161"/>
      <c r="AL246" s="161"/>
      <c r="AM246" s="161"/>
      <c r="AN246" s="161"/>
      <c r="AO246" s="161"/>
      <c r="AP246" s="161"/>
      <c r="AQ246" s="161"/>
      <c r="AR246" s="161"/>
      <c r="AS246" s="161"/>
      <c r="AT246" s="161"/>
      <c r="AU246" s="161"/>
      <c r="AV246" s="161"/>
      <c r="AW246" s="161"/>
      <c r="AX246" s="161"/>
      <c r="AY246" s="161"/>
      <c r="AZ246" s="161"/>
      <c r="BA246" s="161"/>
      <c r="BB246" s="161"/>
      <c r="BC246" s="161"/>
      <c r="BD246" s="161"/>
      <c r="BE246" s="161"/>
      <c r="BF246" s="161"/>
      <c r="BG246" s="161"/>
      <c r="BH246" s="161"/>
      <c r="BI246" s="161"/>
      <c r="BJ246" s="161"/>
      <c r="BK246" s="161"/>
      <c r="BL246" s="161"/>
      <c r="BM246" s="161"/>
      <c r="BN246" s="161"/>
      <c r="BO246" s="263">
        <f>BO217-BO245</f>
        <v>3737.2198888888897</v>
      </c>
      <c r="BP246" s="161"/>
      <c r="BQ246" s="161"/>
      <c r="BR246" s="161"/>
      <c r="BS246" s="263">
        <f>BS221</f>
        <v>4053.248</v>
      </c>
      <c r="BT246" s="161"/>
      <c r="BU246" s="161"/>
      <c r="BV246" s="161"/>
      <c r="BW246" s="161"/>
      <c r="BX246" s="161"/>
      <c r="BY246" s="161"/>
      <c r="BZ246" s="161"/>
      <c r="CA246" s="161"/>
      <c r="CB246" s="161"/>
      <c r="CC246" s="161"/>
      <c r="CD246" s="161"/>
      <c r="CE246" s="161"/>
      <c r="CF246" s="161"/>
      <c r="CG246" s="161"/>
      <c r="CH246" s="161"/>
      <c r="CI246" s="161"/>
      <c r="CJ246" s="161"/>
      <c r="CK246" s="161"/>
      <c r="CL246" s="161"/>
      <c r="CM246" s="161"/>
      <c r="CN246" s="161"/>
      <c r="CO246" s="161"/>
      <c r="CP246" s="161"/>
      <c r="CQ246" s="161"/>
      <c r="CR246" s="161"/>
      <c r="CS246" s="161"/>
      <c r="CT246" s="161"/>
      <c r="CU246" s="161"/>
      <c r="CV246" s="161"/>
      <c r="CW246" s="161"/>
      <c r="CX246" s="161"/>
      <c r="CY246" s="161"/>
      <c r="CZ246" s="161"/>
      <c r="DA246" s="161"/>
      <c r="DB246" s="161"/>
      <c r="DC246" s="161"/>
      <c r="DD246" s="161"/>
      <c r="DE246" s="161"/>
      <c r="DF246" s="161"/>
      <c r="DG246" s="161"/>
      <c r="DH246" s="161"/>
      <c r="DI246" s="161"/>
      <c r="DJ246" s="161"/>
      <c r="DK246" s="177"/>
      <c r="DL246" s="177"/>
      <c r="DM246" s="177"/>
      <c r="DN246" s="177"/>
      <c r="DO246" s="177"/>
      <c r="DP246" s="177"/>
      <c r="DQ246" s="177"/>
      <c r="DR246" s="177"/>
      <c r="DS246" s="177"/>
      <c r="DT246" s="177"/>
      <c r="DU246" s="177"/>
      <c r="DV246" s="177"/>
      <c r="DW246" s="177"/>
      <c r="DX246" s="177"/>
      <c r="DY246" s="177"/>
      <c r="DZ246" s="987">
        <f t="shared" si="275"/>
        <v>8.456235397084666E-2</v>
      </c>
      <c r="EA246" s="987" t="e">
        <f t="shared" si="275"/>
        <v>#DIV/0!</v>
      </c>
      <c r="EB246" s="1032"/>
      <c r="EC246" s="1032"/>
      <c r="ED246" s="1032"/>
      <c r="EF246" s="161"/>
      <c r="EH246" s="161"/>
      <c r="EM246" s="161"/>
      <c r="EN246" s="161"/>
      <c r="EO246" s="161"/>
      <c r="EP246" s="161"/>
      <c r="FL246" s="161"/>
      <c r="FM246" s="161"/>
      <c r="FN246" s="161"/>
      <c r="FO246" s="161"/>
      <c r="FP246" s="161"/>
      <c r="FQ246" s="161"/>
      <c r="FR246" s="161"/>
      <c r="FS246" s="639"/>
      <c r="FT246" s="639"/>
      <c r="FU246" s="161"/>
      <c r="FV246" s="161"/>
      <c r="FW246" s="667"/>
      <c r="FX246" s="667"/>
      <c r="FY246" s="161"/>
      <c r="FZ246" s="161"/>
      <c r="GA246" s="161"/>
      <c r="GB246" s="161"/>
      <c r="GC246" s="177"/>
      <c r="GD246" s="161"/>
      <c r="GE246" s="177"/>
    </row>
    <row r="247" spans="1:187">
      <c r="A247" s="161"/>
      <c r="B247" s="161"/>
      <c r="C247" s="161"/>
      <c r="D247" s="161"/>
      <c r="E247" s="161"/>
      <c r="F247" s="161"/>
      <c r="G247" s="161"/>
      <c r="H247" s="161"/>
      <c r="I247" s="161"/>
      <c r="J247" s="161"/>
      <c r="K247" s="161"/>
      <c r="L247" s="161"/>
      <c r="M247" s="161"/>
      <c r="N247" s="161"/>
      <c r="O247" s="161"/>
      <c r="P247" s="161"/>
      <c r="Q247" s="161"/>
      <c r="R247" s="161"/>
      <c r="S247" s="161"/>
      <c r="T247" s="161"/>
      <c r="U247" s="161"/>
      <c r="V247" s="161"/>
      <c r="W247" s="161"/>
      <c r="X247" s="161"/>
      <c r="Y247" s="161"/>
      <c r="Z247" s="161"/>
      <c r="AA247" s="161"/>
      <c r="AB247" s="161"/>
      <c r="AC247" s="161"/>
      <c r="AD247" s="161"/>
      <c r="AE247" s="161"/>
      <c r="AF247" s="161"/>
      <c r="AG247" s="161"/>
      <c r="AH247" s="161"/>
      <c r="AI247" s="161"/>
      <c r="AJ247" s="161"/>
      <c r="AK247" s="161"/>
      <c r="AL247" s="161"/>
      <c r="AM247" s="161"/>
      <c r="AN247" s="161"/>
      <c r="AO247" s="161"/>
      <c r="AP247" s="161"/>
      <c r="AQ247" s="161"/>
      <c r="AR247" s="161"/>
      <c r="AS247" s="161"/>
      <c r="AT247" s="161"/>
      <c r="AU247" s="161"/>
      <c r="AV247" s="161"/>
      <c r="AW247" s="161"/>
      <c r="AX247" s="161"/>
      <c r="AY247" s="161"/>
      <c r="AZ247" s="161"/>
      <c r="BA247" s="161"/>
      <c r="BB247" s="161"/>
      <c r="BC247" s="161"/>
      <c r="BD247" s="161"/>
      <c r="BE247" s="161"/>
      <c r="BF247" s="161"/>
      <c r="BG247" s="161"/>
      <c r="BH247" s="161"/>
      <c r="BI247" s="161"/>
      <c r="BJ247" s="161"/>
      <c r="BK247" s="161"/>
      <c r="BL247" s="161"/>
      <c r="BM247" s="161"/>
      <c r="BN247" s="161"/>
      <c r="BO247" s="161"/>
      <c r="BP247" s="161"/>
      <c r="BQ247" s="161"/>
      <c r="BR247" s="161"/>
      <c r="BS247" s="161"/>
      <c r="BT247" s="161"/>
      <c r="BU247" s="161"/>
      <c r="BV247" s="161"/>
      <c r="BW247" s="161"/>
      <c r="BX247" s="161"/>
      <c r="BY247" s="161"/>
      <c r="BZ247" s="161"/>
      <c r="CA247" s="161"/>
      <c r="CB247" s="161"/>
      <c r="CC247" s="161"/>
      <c r="CD247" s="161"/>
      <c r="CE247" s="161"/>
      <c r="CF247" s="161"/>
      <c r="CG247" s="161"/>
      <c r="CH247" s="161"/>
      <c r="CI247" s="161"/>
      <c r="CJ247" s="161"/>
      <c r="CK247" s="161"/>
      <c r="CL247" s="161"/>
      <c r="CM247" s="161"/>
      <c r="CN247" s="161"/>
      <c r="CO247" s="161"/>
      <c r="CP247" s="161"/>
      <c r="CQ247" s="161"/>
      <c r="CR247" s="161"/>
      <c r="CS247" s="161"/>
      <c r="CT247" s="161"/>
      <c r="CU247" s="161"/>
      <c r="CV247" s="161"/>
      <c r="CW247" s="161"/>
      <c r="CX247" s="161"/>
      <c r="CY247" s="161"/>
      <c r="CZ247" s="161"/>
      <c r="DA247" s="161"/>
      <c r="DB247" s="161"/>
      <c r="DC247" s="161"/>
      <c r="DD247" s="161"/>
      <c r="DE247" s="161"/>
      <c r="DF247" s="161"/>
      <c r="DG247" s="161"/>
      <c r="DH247" s="161"/>
      <c r="DI247" s="161"/>
      <c r="DJ247" s="161"/>
      <c r="DK247" s="177"/>
      <c r="DL247" s="177"/>
      <c r="DM247" s="177"/>
      <c r="DN247" s="177"/>
      <c r="DO247" s="177"/>
      <c r="DP247" s="177"/>
      <c r="DQ247" s="177"/>
      <c r="DR247" s="177"/>
      <c r="DS247" s="177"/>
      <c r="DT247" s="177"/>
      <c r="DU247" s="177"/>
      <c r="DV247" s="177"/>
      <c r="DW247" s="177"/>
      <c r="DX247" s="177"/>
      <c r="DY247" s="177"/>
      <c r="DZ247" s="177"/>
      <c r="EA247" s="177"/>
      <c r="EB247" s="177"/>
      <c r="EC247" s="177"/>
      <c r="ED247" s="177"/>
      <c r="EF247" s="161"/>
      <c r="EH247" s="161"/>
      <c r="EM247" s="161"/>
      <c r="EN247" s="161"/>
      <c r="EO247" s="161"/>
      <c r="EP247" s="161"/>
      <c r="FL247" s="161"/>
      <c r="FM247" s="161"/>
      <c r="FN247" s="161"/>
      <c r="FO247" s="161"/>
      <c r="FP247" s="161"/>
      <c r="FQ247" s="161"/>
      <c r="FR247" s="161"/>
      <c r="FS247" s="639"/>
      <c r="FT247" s="639"/>
      <c r="FU247" s="161"/>
      <c r="FV247" s="161"/>
      <c r="FW247" s="667"/>
      <c r="FX247" s="667"/>
      <c r="FY247" s="161"/>
      <c r="FZ247" s="161"/>
      <c r="GA247" s="161"/>
      <c r="GB247" s="161"/>
      <c r="GC247" s="177"/>
      <c r="GD247" s="161"/>
      <c r="GE247" s="177"/>
    </row>
    <row r="248" spans="1:187">
      <c r="A248" s="161"/>
      <c r="B248" s="161"/>
      <c r="C248" s="161"/>
      <c r="D248" s="161"/>
      <c r="E248" s="161"/>
      <c r="F248" s="161"/>
      <c r="G248" s="161"/>
      <c r="H248" s="161"/>
      <c r="I248" s="161"/>
      <c r="J248" s="161"/>
      <c r="K248" s="161"/>
      <c r="L248" s="161"/>
      <c r="M248" s="161"/>
      <c r="N248" s="161"/>
      <c r="O248" s="161"/>
      <c r="P248" s="161"/>
      <c r="Q248" s="161"/>
      <c r="R248" s="161"/>
      <c r="S248" s="161"/>
      <c r="T248" s="161"/>
      <c r="U248" s="161"/>
      <c r="V248" s="161"/>
      <c r="W248" s="161"/>
      <c r="X248" s="161"/>
      <c r="Y248" s="161"/>
      <c r="Z248" s="161"/>
      <c r="AA248" s="161"/>
      <c r="AB248" s="161"/>
      <c r="AC248" s="161"/>
      <c r="AD248" s="161"/>
      <c r="AE248" s="161"/>
      <c r="AF248" s="161"/>
      <c r="AG248" s="161"/>
      <c r="AH248" s="161"/>
      <c r="AI248" s="161"/>
      <c r="AJ248" s="161"/>
      <c r="AK248" s="161"/>
      <c r="AL248" s="161"/>
      <c r="AM248" s="161"/>
      <c r="AN248" s="161"/>
      <c r="AO248" s="161"/>
      <c r="AP248" s="161"/>
      <c r="AQ248" s="161"/>
      <c r="AR248" s="161"/>
      <c r="AS248" s="161"/>
      <c r="AT248" s="161"/>
      <c r="AU248" s="161"/>
      <c r="AV248" s="161"/>
      <c r="AW248" s="161"/>
      <c r="AX248" s="161"/>
      <c r="AY248" s="161"/>
      <c r="AZ248" s="161"/>
      <c r="BA248" s="161"/>
      <c r="BB248" s="161"/>
      <c r="BC248" s="161"/>
      <c r="BD248" s="161"/>
      <c r="BE248" s="161"/>
      <c r="BF248" s="161"/>
      <c r="BG248" s="161"/>
      <c r="BH248" s="161"/>
      <c r="BI248" s="161"/>
      <c r="BJ248" s="161"/>
      <c r="BK248" s="161"/>
      <c r="BL248" s="161"/>
      <c r="BM248" s="161"/>
      <c r="BN248" s="161"/>
      <c r="BO248" s="161"/>
      <c r="BP248" s="161"/>
      <c r="BQ248" s="161"/>
      <c r="BR248" s="161"/>
      <c r="BS248" s="161"/>
      <c r="BT248" s="161"/>
      <c r="BU248" s="161"/>
      <c r="BV248" s="161"/>
      <c r="BW248" s="161"/>
      <c r="BX248" s="161"/>
      <c r="BY248" s="161"/>
      <c r="BZ248" s="161"/>
      <c r="CA248" s="161"/>
      <c r="CB248" s="161"/>
      <c r="CC248" s="161"/>
      <c r="CD248" s="161"/>
      <c r="CE248" s="161"/>
      <c r="CF248" s="161"/>
      <c r="CG248" s="161"/>
      <c r="CH248" s="161"/>
      <c r="CI248" s="161"/>
      <c r="CJ248" s="161"/>
      <c r="CK248" s="161"/>
      <c r="CL248" s="161"/>
      <c r="CM248" s="161"/>
      <c r="CN248" s="161"/>
      <c r="CO248" s="161"/>
      <c r="CP248" s="161"/>
      <c r="CQ248" s="161"/>
      <c r="CR248" s="161"/>
      <c r="CS248" s="161"/>
      <c r="CT248" s="161"/>
      <c r="CU248" s="161"/>
      <c r="CV248" s="161"/>
      <c r="CW248" s="161"/>
      <c r="CX248" s="161"/>
      <c r="CY248" s="161"/>
      <c r="CZ248" s="161"/>
      <c r="DA248" s="161"/>
      <c r="DB248" s="161"/>
      <c r="DC248" s="161"/>
      <c r="DD248" s="161"/>
      <c r="DE248" s="161"/>
      <c r="DF248" s="161"/>
      <c r="DG248" s="161"/>
      <c r="DH248" s="161"/>
      <c r="DI248" s="161"/>
      <c r="DJ248" s="161"/>
      <c r="DK248" s="177"/>
      <c r="DL248" s="177"/>
      <c r="DM248" s="177"/>
      <c r="DN248" s="177"/>
      <c r="DO248" s="177"/>
      <c r="DP248" s="177"/>
      <c r="DQ248" s="177"/>
      <c r="DR248" s="177"/>
      <c r="DS248" s="177"/>
      <c r="DT248" s="177"/>
      <c r="DU248" s="177"/>
      <c r="DV248" s="177"/>
      <c r="DW248" s="177"/>
      <c r="DX248" s="177"/>
      <c r="DY248" s="177"/>
      <c r="DZ248" s="177"/>
      <c r="EA248" s="177"/>
      <c r="EB248" s="177"/>
      <c r="EC248" s="177"/>
      <c r="ED248" s="177"/>
      <c r="EF248" s="161"/>
      <c r="EH248" s="161"/>
      <c r="EM248" s="161"/>
      <c r="EN248" s="161"/>
      <c r="EO248" s="161"/>
      <c r="EP248" s="161"/>
      <c r="FL248" s="161"/>
      <c r="FM248" s="161"/>
      <c r="FN248" s="161"/>
      <c r="FO248" s="161"/>
      <c r="FP248" s="161"/>
      <c r="FQ248" s="161"/>
      <c r="FR248" s="161"/>
      <c r="FS248" s="639"/>
      <c r="FT248" s="639"/>
      <c r="FU248" s="161"/>
      <c r="FV248" s="161"/>
      <c r="FW248" s="667"/>
      <c r="FX248" s="667"/>
      <c r="FY248" s="161"/>
      <c r="FZ248" s="161"/>
      <c r="GA248" s="161"/>
      <c r="GB248" s="161"/>
      <c r="GC248" s="177"/>
      <c r="GD248" s="161"/>
      <c r="GE248" s="177"/>
    </row>
    <row r="249" spans="1:187">
      <c r="A249" s="161"/>
      <c r="B249" s="161"/>
      <c r="C249" s="161"/>
      <c r="D249" s="161"/>
      <c r="E249" s="161"/>
      <c r="F249" s="161"/>
      <c r="G249" s="161"/>
      <c r="H249" s="161"/>
      <c r="I249" s="161"/>
      <c r="J249" s="161"/>
      <c r="K249" s="161"/>
      <c r="L249" s="161"/>
      <c r="M249" s="161"/>
      <c r="N249" s="161"/>
      <c r="O249" s="161"/>
      <c r="P249" s="161"/>
      <c r="Q249" s="161"/>
      <c r="R249" s="161"/>
      <c r="S249" s="161"/>
      <c r="T249" s="161"/>
      <c r="U249" s="161"/>
      <c r="V249" s="161"/>
      <c r="W249" s="161"/>
      <c r="X249" s="161"/>
      <c r="Y249" s="161"/>
      <c r="Z249" s="161"/>
      <c r="AA249" s="161"/>
      <c r="AB249" s="161"/>
      <c r="AC249" s="161"/>
      <c r="AD249" s="161"/>
      <c r="AE249" s="161"/>
      <c r="AF249" s="161"/>
      <c r="AG249" s="161"/>
      <c r="AH249" s="161"/>
      <c r="AI249" s="161"/>
      <c r="AJ249" s="161"/>
      <c r="AK249" s="161"/>
      <c r="AL249" s="161"/>
      <c r="AM249" s="161"/>
      <c r="AN249" s="161"/>
      <c r="AO249" s="161"/>
      <c r="AP249" s="161"/>
      <c r="AQ249" s="161"/>
      <c r="AR249" s="161"/>
      <c r="AS249" s="161"/>
      <c r="AT249" s="161"/>
      <c r="AU249" s="161"/>
      <c r="AV249" s="161"/>
      <c r="AW249" s="161"/>
      <c r="AX249" s="161"/>
      <c r="AY249" s="161"/>
      <c r="AZ249" s="161"/>
      <c r="BA249" s="161"/>
      <c r="BB249" s="161"/>
      <c r="BC249" s="161"/>
      <c r="BD249" s="161"/>
      <c r="BE249" s="161"/>
      <c r="BF249" s="161"/>
      <c r="BG249" s="161"/>
      <c r="BH249" s="161"/>
      <c r="BI249" s="161"/>
      <c r="BJ249" s="161"/>
      <c r="BK249" s="161"/>
      <c r="BL249" s="161"/>
      <c r="BM249" s="161"/>
      <c r="BN249" s="161"/>
      <c r="BO249" s="161"/>
      <c r="BP249" s="161"/>
      <c r="BQ249" s="161"/>
      <c r="BR249" s="161"/>
      <c r="BS249" s="161"/>
      <c r="BT249" s="161"/>
      <c r="BU249" s="161"/>
      <c r="BV249" s="161"/>
      <c r="BW249" s="161"/>
      <c r="BX249" s="161"/>
      <c r="BY249" s="161"/>
      <c r="BZ249" s="161"/>
      <c r="CA249" s="161"/>
      <c r="CB249" s="161"/>
      <c r="CC249" s="161"/>
      <c r="CD249" s="161"/>
      <c r="CE249" s="161"/>
      <c r="CF249" s="161"/>
      <c r="CG249" s="161"/>
      <c r="CH249" s="161"/>
      <c r="CI249" s="161"/>
      <c r="CJ249" s="161"/>
      <c r="CK249" s="161"/>
      <c r="CL249" s="161"/>
      <c r="CM249" s="161"/>
      <c r="CN249" s="161"/>
      <c r="CO249" s="161"/>
      <c r="CP249" s="161"/>
      <c r="CQ249" s="161"/>
      <c r="CR249" s="161"/>
      <c r="CS249" s="161"/>
      <c r="CT249" s="161"/>
      <c r="CU249" s="161"/>
      <c r="CV249" s="161"/>
      <c r="CW249" s="161"/>
      <c r="CX249" s="161"/>
      <c r="CY249" s="161"/>
      <c r="CZ249" s="161"/>
      <c r="DA249" s="161"/>
      <c r="DB249" s="161"/>
      <c r="DC249" s="161"/>
      <c r="DD249" s="161"/>
      <c r="DE249" s="161"/>
      <c r="DF249" s="161"/>
      <c r="DG249" s="161"/>
      <c r="DH249" s="161"/>
      <c r="DI249" s="161"/>
      <c r="DJ249" s="161"/>
      <c r="DK249" s="177"/>
      <c r="DL249" s="177"/>
      <c r="DM249" s="177"/>
      <c r="DN249" s="177"/>
      <c r="DO249" s="177"/>
      <c r="DP249" s="177"/>
      <c r="DQ249" s="177"/>
      <c r="DR249" s="177"/>
      <c r="DS249" s="177"/>
      <c r="DT249" s="177"/>
      <c r="DU249" s="177"/>
      <c r="DV249" s="177"/>
      <c r="DW249" s="177"/>
      <c r="DX249" s="177"/>
      <c r="DY249" s="177"/>
      <c r="DZ249" s="177"/>
      <c r="EA249" s="177"/>
      <c r="EB249" s="177"/>
      <c r="EC249" s="177"/>
      <c r="ED249" s="177"/>
      <c r="EF249" s="161"/>
      <c r="EH249" s="161"/>
      <c r="EM249" s="161"/>
      <c r="EN249" s="161"/>
      <c r="EO249" s="161"/>
      <c r="EP249" s="161"/>
      <c r="FL249" s="161"/>
      <c r="FM249" s="161"/>
      <c r="FN249" s="161"/>
      <c r="FO249" s="161"/>
      <c r="FP249" s="161"/>
      <c r="FQ249" s="161"/>
      <c r="FR249" s="161"/>
      <c r="FS249" s="639"/>
      <c r="FT249" s="639"/>
      <c r="FU249" s="161"/>
      <c r="FV249" s="161"/>
      <c r="FW249" s="667"/>
      <c r="FX249" s="667"/>
      <c r="FY249" s="161"/>
      <c r="FZ249" s="161"/>
      <c r="GA249" s="161"/>
      <c r="GB249" s="161"/>
      <c r="GC249" s="177"/>
      <c r="GD249" s="161"/>
      <c r="GE249" s="177"/>
    </row>
    <row r="250" spans="1:187">
      <c r="A250" s="161"/>
      <c r="B250" s="161"/>
      <c r="C250" s="161"/>
      <c r="D250" s="161"/>
      <c r="E250" s="161"/>
      <c r="F250" s="161"/>
      <c r="G250" s="161"/>
      <c r="H250" s="161"/>
      <c r="I250" s="161"/>
      <c r="J250" s="161"/>
      <c r="K250" s="161"/>
      <c r="L250" s="161"/>
      <c r="M250" s="161"/>
      <c r="N250" s="161"/>
      <c r="O250" s="161"/>
      <c r="P250" s="161"/>
      <c r="Q250" s="161"/>
      <c r="R250" s="161"/>
      <c r="S250" s="161"/>
      <c r="T250" s="161"/>
      <c r="U250" s="161"/>
      <c r="V250" s="161"/>
      <c r="W250" s="161"/>
      <c r="X250" s="161"/>
      <c r="Y250" s="161"/>
      <c r="Z250" s="161"/>
      <c r="AA250" s="161"/>
      <c r="AB250" s="161"/>
      <c r="AC250" s="161"/>
      <c r="AD250" s="161"/>
      <c r="AE250" s="161"/>
      <c r="AF250" s="161"/>
      <c r="AG250" s="161"/>
      <c r="AH250" s="161"/>
      <c r="AI250" s="161"/>
      <c r="AJ250" s="161"/>
      <c r="AK250" s="161"/>
      <c r="AL250" s="161"/>
      <c r="AM250" s="161"/>
      <c r="AN250" s="161"/>
      <c r="AO250" s="161"/>
      <c r="AP250" s="161"/>
      <c r="AQ250" s="161"/>
      <c r="AR250" s="161"/>
      <c r="AS250" s="161"/>
      <c r="AT250" s="161"/>
      <c r="AU250" s="161"/>
      <c r="AV250" s="161"/>
      <c r="AW250" s="161"/>
      <c r="AX250" s="161"/>
      <c r="AY250" s="161"/>
      <c r="AZ250" s="161"/>
      <c r="BA250" s="161"/>
      <c r="BB250" s="161"/>
      <c r="BC250" s="161"/>
      <c r="BD250" s="161"/>
      <c r="BE250" s="161"/>
      <c r="BF250" s="161"/>
      <c r="BG250" s="161"/>
      <c r="BH250" s="161"/>
      <c r="BI250" s="161"/>
      <c r="BJ250" s="161"/>
      <c r="BK250" s="161"/>
      <c r="BL250" s="161"/>
      <c r="BM250" s="161"/>
      <c r="BN250" s="161"/>
      <c r="BO250" s="161"/>
      <c r="BP250" s="161"/>
      <c r="BQ250" s="161"/>
      <c r="BR250" s="161"/>
      <c r="BS250" s="161"/>
      <c r="BT250" s="161"/>
      <c r="BU250" s="161"/>
      <c r="BV250" s="161"/>
      <c r="BW250" s="161"/>
      <c r="BX250" s="161"/>
      <c r="BY250" s="161"/>
      <c r="BZ250" s="161"/>
      <c r="CA250" s="161"/>
      <c r="CB250" s="161"/>
      <c r="CC250" s="161"/>
      <c r="CD250" s="161"/>
      <c r="CE250" s="161"/>
      <c r="CF250" s="161"/>
      <c r="CG250" s="161"/>
      <c r="CH250" s="161"/>
      <c r="CI250" s="161"/>
      <c r="CJ250" s="161"/>
      <c r="CK250" s="161"/>
      <c r="CL250" s="161"/>
      <c r="CM250" s="161"/>
      <c r="CN250" s="161"/>
      <c r="CO250" s="161"/>
      <c r="CP250" s="161"/>
      <c r="CQ250" s="161"/>
      <c r="CR250" s="161"/>
      <c r="CS250" s="161"/>
      <c r="CT250" s="161"/>
      <c r="CU250" s="161"/>
      <c r="CV250" s="161"/>
      <c r="CW250" s="161"/>
      <c r="CX250" s="161"/>
      <c r="CY250" s="161"/>
      <c r="CZ250" s="161"/>
      <c r="DA250" s="161"/>
      <c r="DB250" s="161"/>
      <c r="DC250" s="161"/>
      <c r="DD250" s="161"/>
      <c r="DE250" s="161"/>
      <c r="DF250" s="161"/>
      <c r="DG250" s="161"/>
      <c r="DH250" s="161"/>
      <c r="DI250" s="161"/>
      <c r="DJ250" s="161"/>
      <c r="DK250" s="177"/>
      <c r="DL250" s="177"/>
      <c r="DM250" s="177"/>
      <c r="DN250" s="177"/>
      <c r="DO250" s="177"/>
      <c r="DP250" s="177"/>
      <c r="DQ250" s="177"/>
      <c r="DR250" s="177"/>
      <c r="DS250" s="177"/>
      <c r="DT250" s="177"/>
      <c r="DU250" s="177"/>
      <c r="DV250" s="177"/>
      <c r="DW250" s="177"/>
      <c r="DX250" s="177"/>
      <c r="DY250" s="177"/>
      <c r="DZ250" s="177"/>
      <c r="EA250" s="177"/>
      <c r="EB250" s="177"/>
      <c r="EC250" s="177"/>
      <c r="ED250" s="177"/>
      <c r="EF250" s="161"/>
      <c r="EH250" s="161"/>
      <c r="EM250" s="161"/>
      <c r="EN250" s="161"/>
      <c r="EO250" s="161"/>
      <c r="EP250" s="161"/>
      <c r="FL250" s="161"/>
      <c r="FM250" s="161"/>
      <c r="FN250" s="161"/>
      <c r="FO250" s="161"/>
      <c r="FP250" s="161"/>
      <c r="FQ250" s="161"/>
      <c r="FR250" s="161"/>
      <c r="FS250" s="639"/>
      <c r="FT250" s="639"/>
      <c r="FU250" s="161"/>
      <c r="FV250" s="161"/>
      <c r="FW250" s="667"/>
      <c r="FX250" s="667"/>
      <c r="FY250" s="161"/>
      <c r="FZ250" s="161"/>
      <c r="GA250" s="161"/>
      <c r="GB250" s="161"/>
      <c r="GC250" s="177"/>
      <c r="GD250" s="161"/>
      <c r="GE250" s="177"/>
    </row>
    <row r="251" spans="1:187">
      <c r="A251" s="161"/>
      <c r="B251" s="161"/>
      <c r="C251" s="161"/>
      <c r="D251" s="161"/>
      <c r="E251" s="161"/>
      <c r="F251" s="161"/>
      <c r="G251" s="161"/>
      <c r="H251" s="161"/>
      <c r="I251" s="161"/>
      <c r="J251" s="161"/>
      <c r="K251" s="161"/>
      <c r="L251" s="161"/>
      <c r="M251" s="161"/>
      <c r="N251" s="161"/>
      <c r="O251" s="161"/>
      <c r="P251" s="161"/>
      <c r="Q251" s="161"/>
      <c r="R251" s="161"/>
      <c r="S251" s="161"/>
      <c r="T251" s="161"/>
      <c r="U251" s="161"/>
      <c r="V251" s="161"/>
      <c r="W251" s="161"/>
      <c r="X251" s="161"/>
      <c r="Y251" s="161"/>
      <c r="Z251" s="161"/>
      <c r="AA251" s="161"/>
      <c r="AB251" s="161"/>
      <c r="AC251" s="161"/>
      <c r="AD251" s="161"/>
      <c r="AE251" s="161"/>
      <c r="AF251" s="161"/>
      <c r="AG251" s="161"/>
      <c r="AH251" s="161"/>
      <c r="AI251" s="161"/>
      <c r="AJ251" s="161"/>
      <c r="AK251" s="161"/>
      <c r="AL251" s="161"/>
      <c r="AM251" s="161"/>
      <c r="AN251" s="161"/>
      <c r="AO251" s="161"/>
      <c r="AP251" s="161"/>
      <c r="AQ251" s="161"/>
      <c r="AR251" s="161"/>
      <c r="AS251" s="161"/>
      <c r="AT251" s="161"/>
      <c r="AU251" s="161"/>
      <c r="AV251" s="161"/>
      <c r="AW251" s="161"/>
      <c r="AX251" s="161"/>
      <c r="AY251" s="161"/>
      <c r="AZ251" s="161"/>
      <c r="BA251" s="161"/>
      <c r="BB251" s="161"/>
      <c r="BC251" s="161"/>
      <c r="BD251" s="161"/>
      <c r="BE251" s="161"/>
      <c r="BF251" s="161"/>
      <c r="BG251" s="161"/>
      <c r="BH251" s="161"/>
      <c r="BI251" s="161"/>
      <c r="BJ251" s="161"/>
      <c r="BK251" s="161"/>
      <c r="BL251" s="161"/>
      <c r="BM251" s="161"/>
      <c r="BN251" s="161"/>
      <c r="BO251" s="161"/>
      <c r="BP251" s="161"/>
      <c r="BQ251" s="161"/>
      <c r="BR251" s="161"/>
      <c r="BS251" s="161"/>
      <c r="BT251" s="161"/>
      <c r="BU251" s="161"/>
      <c r="BV251" s="161"/>
      <c r="BW251" s="161"/>
      <c r="BX251" s="161"/>
      <c r="BY251" s="161"/>
      <c r="BZ251" s="161"/>
      <c r="CA251" s="161"/>
      <c r="CB251" s="161"/>
      <c r="CC251" s="161"/>
      <c r="CD251" s="161"/>
      <c r="CE251" s="161"/>
      <c r="CF251" s="161"/>
      <c r="CG251" s="161"/>
      <c r="CH251" s="161"/>
      <c r="CI251" s="161"/>
      <c r="CJ251" s="161"/>
      <c r="CK251" s="161"/>
      <c r="CL251" s="161"/>
      <c r="CM251" s="161"/>
      <c r="CN251" s="161"/>
      <c r="CO251" s="161"/>
      <c r="CP251" s="161"/>
      <c r="CQ251" s="161"/>
      <c r="CR251" s="161"/>
      <c r="CS251" s="161"/>
      <c r="CT251" s="161"/>
      <c r="CU251" s="161"/>
      <c r="CV251" s="161"/>
      <c r="CW251" s="161"/>
      <c r="CX251" s="161"/>
      <c r="CY251" s="161"/>
      <c r="CZ251" s="161"/>
      <c r="DA251" s="161"/>
      <c r="DB251" s="161"/>
      <c r="DC251" s="161"/>
      <c r="DD251" s="161"/>
      <c r="DE251" s="161"/>
      <c r="DF251" s="161"/>
      <c r="DG251" s="161"/>
      <c r="DH251" s="161"/>
      <c r="DI251" s="161"/>
      <c r="DJ251" s="161"/>
      <c r="DK251" s="177"/>
      <c r="DL251" s="177"/>
      <c r="DM251" s="177"/>
      <c r="DN251" s="177"/>
      <c r="DO251" s="177"/>
      <c r="DP251" s="177"/>
      <c r="DQ251" s="177"/>
      <c r="DR251" s="177"/>
      <c r="DS251" s="177"/>
      <c r="DT251" s="177"/>
      <c r="DU251" s="177"/>
      <c r="DV251" s="177"/>
      <c r="DW251" s="177"/>
      <c r="DX251" s="177"/>
      <c r="DY251" s="177"/>
      <c r="DZ251" s="177"/>
      <c r="EA251" s="177"/>
      <c r="EB251" s="177"/>
      <c r="EC251" s="177"/>
      <c r="ED251" s="177"/>
      <c r="EF251" s="161"/>
      <c r="EH251" s="161"/>
      <c r="EM251" s="161"/>
      <c r="EN251" s="161"/>
      <c r="EO251" s="161"/>
      <c r="EP251" s="161"/>
      <c r="FL251" s="161"/>
      <c r="FM251" s="161"/>
      <c r="FN251" s="161"/>
      <c r="FO251" s="161"/>
      <c r="FP251" s="161"/>
      <c r="FQ251" s="161"/>
      <c r="FR251" s="161"/>
      <c r="FS251" s="639"/>
      <c r="FT251" s="639"/>
      <c r="FU251" s="161"/>
      <c r="FV251" s="161"/>
      <c r="FW251" s="667"/>
      <c r="FX251" s="667"/>
      <c r="FY251" s="161"/>
      <c r="FZ251" s="161"/>
      <c r="GA251" s="161"/>
      <c r="GB251" s="161"/>
      <c r="GC251" s="177"/>
      <c r="GD251" s="161"/>
      <c r="GE251" s="177"/>
    </row>
    <row r="252" spans="1:187">
      <c r="A252" s="161"/>
      <c r="B252" s="161"/>
      <c r="C252" s="161"/>
      <c r="D252" s="161"/>
      <c r="E252" s="161"/>
      <c r="F252" s="161"/>
      <c r="G252" s="161"/>
      <c r="H252" s="161"/>
      <c r="I252" s="161"/>
      <c r="J252" s="161"/>
      <c r="K252" s="161"/>
      <c r="L252" s="161"/>
      <c r="M252" s="161"/>
      <c r="N252" s="161"/>
      <c r="O252" s="161"/>
      <c r="P252" s="161"/>
      <c r="Q252" s="161"/>
      <c r="R252" s="161"/>
      <c r="S252" s="161"/>
      <c r="T252" s="161"/>
      <c r="U252" s="161"/>
      <c r="V252" s="161"/>
      <c r="W252" s="161"/>
      <c r="X252" s="161"/>
      <c r="Y252" s="161"/>
      <c r="Z252" s="161"/>
      <c r="AA252" s="161"/>
      <c r="AB252" s="161"/>
      <c r="AC252" s="161"/>
      <c r="AD252" s="161"/>
      <c r="AE252" s="161"/>
      <c r="AF252" s="161"/>
      <c r="AG252" s="161"/>
      <c r="AH252" s="161"/>
      <c r="AI252" s="161"/>
      <c r="AJ252" s="161"/>
      <c r="AK252" s="161"/>
      <c r="AL252" s="161"/>
      <c r="AM252" s="161"/>
      <c r="AN252" s="161"/>
      <c r="AO252" s="161"/>
      <c r="AP252" s="161"/>
      <c r="AQ252" s="161"/>
      <c r="AR252" s="161"/>
      <c r="AS252" s="161"/>
      <c r="AT252" s="161"/>
      <c r="AU252" s="161"/>
      <c r="AV252" s="161"/>
      <c r="AW252" s="161"/>
      <c r="AX252" s="161"/>
      <c r="AY252" s="161"/>
      <c r="AZ252" s="161"/>
      <c r="BA252" s="161"/>
      <c r="BB252" s="161"/>
      <c r="BC252" s="161"/>
      <c r="BD252" s="161"/>
      <c r="BE252" s="161"/>
      <c r="BF252" s="161"/>
      <c r="BG252" s="161"/>
      <c r="BH252" s="161"/>
      <c r="BI252" s="161"/>
      <c r="BJ252" s="161"/>
      <c r="BK252" s="161"/>
      <c r="BL252" s="161"/>
      <c r="BM252" s="161"/>
      <c r="BN252" s="161"/>
      <c r="BO252" s="161"/>
      <c r="BP252" s="161"/>
      <c r="BQ252" s="161"/>
      <c r="BR252" s="161"/>
      <c r="BS252" s="161"/>
      <c r="BT252" s="161"/>
      <c r="BU252" s="161"/>
      <c r="BV252" s="161"/>
      <c r="BW252" s="161"/>
      <c r="BX252" s="161"/>
      <c r="BY252" s="161"/>
      <c r="BZ252" s="161"/>
      <c r="CA252" s="161"/>
      <c r="CB252" s="161"/>
      <c r="CC252" s="161"/>
      <c r="CD252" s="161"/>
      <c r="CE252" s="161"/>
      <c r="CF252" s="161"/>
      <c r="CG252" s="161"/>
      <c r="CH252" s="161"/>
      <c r="CI252" s="161"/>
      <c r="CJ252" s="161"/>
      <c r="CK252" s="161"/>
      <c r="CL252" s="161"/>
      <c r="CM252" s="161"/>
      <c r="CN252" s="161"/>
      <c r="CO252" s="161"/>
      <c r="CP252" s="161"/>
      <c r="CQ252" s="161"/>
      <c r="CR252" s="161"/>
      <c r="CS252" s="161"/>
      <c r="CT252" s="161"/>
      <c r="CU252" s="161"/>
      <c r="CV252" s="161"/>
      <c r="CW252" s="161"/>
      <c r="CX252" s="161"/>
      <c r="CY252" s="161"/>
      <c r="CZ252" s="161"/>
      <c r="DA252" s="161"/>
      <c r="DB252" s="161"/>
      <c r="DC252" s="161"/>
      <c r="DD252" s="161"/>
      <c r="DE252" s="161"/>
      <c r="DF252" s="161"/>
      <c r="DG252" s="161"/>
      <c r="DH252" s="161"/>
      <c r="DI252" s="161"/>
      <c r="DJ252" s="161"/>
      <c r="DK252" s="177"/>
      <c r="DL252" s="177"/>
      <c r="DM252" s="177"/>
      <c r="DN252" s="177"/>
      <c r="DO252" s="177"/>
      <c r="DP252" s="177"/>
      <c r="DQ252" s="177"/>
      <c r="DR252" s="177"/>
      <c r="DS252" s="177"/>
      <c r="DT252" s="177"/>
      <c r="DU252" s="177"/>
      <c r="DV252" s="177"/>
      <c r="DW252" s="177"/>
      <c r="DX252" s="177"/>
      <c r="DY252" s="177"/>
      <c r="DZ252" s="177"/>
      <c r="EA252" s="177"/>
      <c r="EB252" s="177"/>
      <c r="EC252" s="177"/>
      <c r="ED252" s="177"/>
      <c r="EF252" s="161"/>
      <c r="EH252" s="161"/>
      <c r="EM252" s="161"/>
      <c r="EN252" s="161"/>
      <c r="EO252" s="161"/>
      <c r="EP252" s="161"/>
      <c r="FL252" s="161"/>
      <c r="FM252" s="161"/>
      <c r="FN252" s="161"/>
      <c r="FO252" s="161"/>
      <c r="FP252" s="161"/>
      <c r="FQ252" s="161"/>
      <c r="FR252" s="161"/>
      <c r="FS252" s="639"/>
      <c r="FT252" s="639"/>
      <c r="FU252" s="161"/>
      <c r="FV252" s="161"/>
      <c r="FW252" s="667"/>
      <c r="FX252" s="667"/>
      <c r="FY252" s="161"/>
      <c r="FZ252" s="161"/>
      <c r="GA252" s="161"/>
      <c r="GB252" s="161"/>
      <c r="GC252" s="177"/>
      <c r="GD252" s="161"/>
      <c r="GE252" s="177"/>
    </row>
    <row r="253" spans="1:187">
      <c r="A253" s="161"/>
      <c r="B253" s="161"/>
      <c r="C253" s="161"/>
      <c r="D253" s="161"/>
      <c r="E253" s="161"/>
      <c r="F253" s="161"/>
      <c r="G253" s="161"/>
      <c r="H253" s="161"/>
      <c r="I253" s="161"/>
      <c r="J253" s="161"/>
      <c r="K253" s="161"/>
      <c r="L253" s="161"/>
      <c r="M253" s="161"/>
      <c r="N253" s="161"/>
      <c r="O253" s="161"/>
      <c r="P253" s="161"/>
      <c r="Q253" s="161"/>
      <c r="R253" s="161"/>
      <c r="S253" s="161"/>
      <c r="T253" s="161"/>
      <c r="U253" s="161"/>
      <c r="V253" s="161"/>
      <c r="W253" s="161"/>
      <c r="X253" s="161"/>
      <c r="Y253" s="161"/>
      <c r="Z253" s="161"/>
      <c r="AA253" s="161"/>
      <c r="AB253" s="161"/>
      <c r="AC253" s="161"/>
      <c r="AD253" s="161"/>
      <c r="AE253" s="161"/>
      <c r="AF253" s="161"/>
      <c r="AG253" s="161"/>
      <c r="AH253" s="161"/>
      <c r="AI253" s="161"/>
      <c r="AJ253" s="161"/>
      <c r="AK253" s="161"/>
      <c r="AL253" s="161"/>
      <c r="AM253" s="161"/>
      <c r="AN253" s="161"/>
      <c r="AO253" s="161"/>
      <c r="AP253" s="161"/>
      <c r="AQ253" s="161"/>
      <c r="AR253" s="161"/>
      <c r="AS253" s="161"/>
      <c r="AT253" s="161"/>
      <c r="AU253" s="161"/>
      <c r="AV253" s="161"/>
      <c r="AW253" s="161"/>
      <c r="AX253" s="161"/>
      <c r="AY253" s="161"/>
      <c r="AZ253" s="161"/>
      <c r="BA253" s="161"/>
      <c r="BB253" s="161"/>
      <c r="BC253" s="161"/>
      <c r="BD253" s="161"/>
      <c r="BE253" s="161"/>
      <c r="BF253" s="161"/>
      <c r="BG253" s="161"/>
      <c r="BH253" s="161"/>
      <c r="BI253" s="161"/>
      <c r="BJ253" s="161"/>
      <c r="BK253" s="161"/>
      <c r="BL253" s="161"/>
      <c r="BM253" s="161"/>
      <c r="BN253" s="161"/>
      <c r="BO253" s="161"/>
      <c r="BP253" s="161"/>
      <c r="BQ253" s="161"/>
      <c r="BR253" s="161"/>
      <c r="BS253" s="161"/>
      <c r="BT253" s="161"/>
      <c r="BU253" s="161"/>
      <c r="BV253" s="161"/>
      <c r="BW253" s="161"/>
      <c r="BX253" s="161"/>
      <c r="BY253" s="161"/>
      <c r="BZ253" s="161"/>
      <c r="CA253" s="161"/>
      <c r="CB253" s="161"/>
      <c r="CC253" s="161"/>
      <c r="CD253" s="161"/>
      <c r="CE253" s="161"/>
      <c r="CF253" s="161"/>
      <c r="CG253" s="161"/>
      <c r="CH253" s="161"/>
      <c r="CI253" s="161"/>
      <c r="CJ253" s="161"/>
      <c r="CK253" s="161"/>
      <c r="CL253" s="161"/>
      <c r="CM253" s="161"/>
      <c r="CN253" s="161"/>
      <c r="CO253" s="161"/>
      <c r="CP253" s="161"/>
      <c r="CQ253" s="161"/>
      <c r="CR253" s="161"/>
      <c r="CS253" s="161"/>
      <c r="CT253" s="161"/>
      <c r="CU253" s="161"/>
      <c r="CV253" s="161"/>
      <c r="CW253" s="161"/>
      <c r="CX253" s="161"/>
      <c r="CY253" s="161"/>
      <c r="CZ253" s="161"/>
      <c r="DA253" s="161"/>
      <c r="DB253" s="161"/>
      <c r="DC253" s="161"/>
      <c r="DD253" s="161"/>
      <c r="DE253" s="161"/>
      <c r="DF253" s="161"/>
      <c r="DG253" s="161"/>
      <c r="DH253" s="161"/>
      <c r="DI253" s="161"/>
      <c r="DJ253" s="161"/>
      <c r="DK253" s="177"/>
      <c r="DL253" s="177"/>
      <c r="DM253" s="177"/>
      <c r="DN253" s="177"/>
      <c r="DO253" s="177"/>
      <c r="DP253" s="177"/>
      <c r="DQ253" s="177"/>
      <c r="DR253" s="177"/>
      <c r="DS253" s="177"/>
      <c r="DT253" s="177"/>
      <c r="DU253" s="177"/>
      <c r="DV253" s="177"/>
      <c r="DW253" s="177"/>
      <c r="DX253" s="177"/>
      <c r="DY253" s="177"/>
      <c r="DZ253" s="177"/>
      <c r="EA253" s="177"/>
      <c r="EB253" s="177"/>
      <c r="EC253" s="177"/>
      <c r="ED253" s="177"/>
      <c r="EF253" s="161"/>
      <c r="EH253" s="161"/>
      <c r="EM253" s="161"/>
      <c r="EN253" s="161"/>
      <c r="EO253" s="161"/>
      <c r="EP253" s="161"/>
      <c r="FL253" s="161"/>
      <c r="FM253" s="161"/>
      <c r="FN253" s="161"/>
      <c r="FO253" s="161"/>
      <c r="FP253" s="161"/>
      <c r="FQ253" s="161"/>
      <c r="FR253" s="161"/>
      <c r="FS253" s="639"/>
      <c r="FT253" s="639"/>
      <c r="FU253" s="161"/>
      <c r="FV253" s="161"/>
      <c r="FW253" s="667"/>
      <c r="FX253" s="667"/>
      <c r="FY253" s="161"/>
      <c r="FZ253" s="161"/>
      <c r="GA253" s="161"/>
      <c r="GB253" s="161"/>
      <c r="GC253" s="177"/>
      <c r="GD253" s="161"/>
      <c r="GE253" s="177"/>
    </row>
    <row r="254" spans="1:187">
      <c r="A254" s="161"/>
      <c r="B254" s="161"/>
      <c r="C254" s="161"/>
      <c r="D254" s="161"/>
      <c r="E254" s="161"/>
      <c r="F254" s="161"/>
      <c r="G254" s="161"/>
      <c r="H254" s="161"/>
      <c r="I254" s="161"/>
      <c r="J254" s="161"/>
      <c r="K254" s="161"/>
      <c r="L254" s="161"/>
      <c r="M254" s="161"/>
      <c r="N254" s="161"/>
      <c r="O254" s="161"/>
      <c r="P254" s="161"/>
      <c r="Q254" s="161"/>
      <c r="R254" s="161"/>
      <c r="S254" s="161"/>
      <c r="T254" s="161"/>
      <c r="U254" s="161"/>
      <c r="V254" s="161"/>
      <c r="W254" s="161"/>
      <c r="X254" s="161"/>
      <c r="Y254" s="161"/>
      <c r="Z254" s="161"/>
      <c r="AA254" s="161"/>
      <c r="AB254" s="161"/>
      <c r="AC254" s="161"/>
      <c r="AD254" s="161"/>
      <c r="AE254" s="161"/>
      <c r="AF254" s="161"/>
      <c r="AG254" s="161"/>
      <c r="AH254" s="161"/>
      <c r="AI254" s="161"/>
      <c r="AJ254" s="161"/>
      <c r="AK254" s="161"/>
      <c r="AL254" s="161"/>
      <c r="AM254" s="161"/>
      <c r="AN254" s="161"/>
      <c r="AO254" s="161"/>
      <c r="AP254" s="161"/>
      <c r="AQ254" s="161"/>
      <c r="AR254" s="161"/>
      <c r="AS254" s="161"/>
      <c r="AT254" s="161"/>
      <c r="AU254" s="161"/>
      <c r="AV254" s="161"/>
      <c r="AW254" s="161"/>
      <c r="AX254" s="161"/>
      <c r="AY254" s="161"/>
      <c r="AZ254" s="161"/>
      <c r="BA254" s="161"/>
      <c r="BB254" s="161"/>
      <c r="BC254" s="161"/>
      <c r="BD254" s="161"/>
      <c r="BE254" s="161"/>
      <c r="BF254" s="161"/>
      <c r="BG254" s="161"/>
      <c r="BH254" s="161"/>
      <c r="BI254" s="161"/>
      <c r="BJ254" s="161"/>
      <c r="BK254" s="161"/>
      <c r="BL254" s="161"/>
      <c r="BM254" s="161"/>
      <c r="BN254" s="161"/>
      <c r="BO254" s="161"/>
      <c r="BP254" s="161"/>
      <c r="BQ254" s="161"/>
      <c r="BR254" s="161"/>
      <c r="BS254" s="161"/>
      <c r="BT254" s="161"/>
      <c r="BU254" s="161"/>
      <c r="BV254" s="161"/>
      <c r="BW254" s="161"/>
      <c r="BX254" s="161"/>
      <c r="BY254" s="161"/>
      <c r="BZ254" s="161"/>
      <c r="CA254" s="161"/>
      <c r="CB254" s="161"/>
      <c r="CC254" s="161"/>
      <c r="CD254" s="161"/>
      <c r="CE254" s="161"/>
      <c r="CF254" s="161"/>
      <c r="CG254" s="161"/>
      <c r="CH254" s="161"/>
      <c r="CI254" s="161"/>
      <c r="CJ254" s="161"/>
      <c r="CK254" s="161"/>
      <c r="CL254" s="161"/>
      <c r="CM254" s="161"/>
      <c r="CN254" s="161"/>
      <c r="CO254" s="161"/>
      <c r="CP254" s="161"/>
      <c r="CQ254" s="161"/>
      <c r="CR254" s="161"/>
      <c r="CS254" s="161"/>
      <c r="CT254" s="161"/>
      <c r="CU254" s="161"/>
      <c r="CV254" s="161"/>
      <c r="CW254" s="161"/>
      <c r="CX254" s="161"/>
      <c r="CY254" s="161"/>
      <c r="CZ254" s="161"/>
      <c r="DA254" s="161"/>
      <c r="DB254" s="161"/>
      <c r="DC254" s="161"/>
      <c r="DD254" s="161"/>
      <c r="DE254" s="161"/>
      <c r="DF254" s="161"/>
      <c r="DG254" s="161"/>
      <c r="DH254" s="161"/>
      <c r="DI254" s="161"/>
      <c r="DJ254" s="161"/>
      <c r="DK254" s="177"/>
      <c r="DL254" s="177"/>
      <c r="DM254" s="177"/>
      <c r="DN254" s="177"/>
      <c r="DO254" s="177"/>
      <c r="DP254" s="177"/>
      <c r="DQ254" s="177"/>
      <c r="DR254" s="177"/>
      <c r="DS254" s="177"/>
      <c r="DT254" s="177"/>
      <c r="DU254" s="177"/>
      <c r="DV254" s="177"/>
      <c r="DW254" s="177"/>
      <c r="DX254" s="177"/>
      <c r="DY254" s="177"/>
      <c r="DZ254" s="177"/>
      <c r="EA254" s="177"/>
      <c r="EB254" s="177"/>
      <c r="EC254" s="177"/>
      <c r="ED254" s="177"/>
      <c r="EF254" s="161"/>
      <c r="EH254" s="161"/>
      <c r="EM254" s="161"/>
      <c r="EN254" s="161"/>
      <c r="EO254" s="161"/>
      <c r="EP254" s="161"/>
      <c r="FL254" s="161"/>
      <c r="FM254" s="161"/>
      <c r="FN254" s="161"/>
      <c r="FO254" s="161"/>
      <c r="FP254" s="161"/>
      <c r="FQ254" s="161"/>
      <c r="FR254" s="161"/>
      <c r="FS254" s="161"/>
      <c r="FT254" s="639"/>
      <c r="FU254" s="161"/>
      <c r="FV254" s="161"/>
      <c r="FW254" s="667"/>
      <c r="FX254" s="667"/>
      <c r="FY254" s="161"/>
      <c r="FZ254" s="161"/>
      <c r="GA254" s="161"/>
      <c r="GB254" s="161"/>
      <c r="GC254" s="177"/>
      <c r="GD254" s="161"/>
      <c r="GE254" s="177"/>
    </row>
    <row r="255" spans="1:187">
      <c r="A255" s="161"/>
      <c r="B255" s="161"/>
      <c r="C255" s="161"/>
      <c r="D255" s="161"/>
      <c r="E255" s="161"/>
      <c r="F255" s="161"/>
      <c r="G255" s="161"/>
      <c r="H255" s="161"/>
      <c r="I255" s="161"/>
      <c r="J255" s="161"/>
      <c r="K255" s="161"/>
      <c r="L255" s="161"/>
      <c r="M255" s="161"/>
      <c r="N255" s="161"/>
      <c r="O255" s="161"/>
      <c r="P255" s="161"/>
      <c r="Q255" s="161"/>
      <c r="R255" s="161"/>
      <c r="S255" s="161"/>
      <c r="T255" s="161"/>
      <c r="U255" s="161"/>
      <c r="V255" s="161"/>
      <c r="W255" s="161"/>
      <c r="X255" s="161"/>
      <c r="Y255" s="161"/>
      <c r="Z255" s="161"/>
      <c r="AA255" s="161"/>
      <c r="AB255" s="161"/>
      <c r="AC255" s="161"/>
      <c r="AD255" s="161"/>
      <c r="AE255" s="161"/>
      <c r="AF255" s="161"/>
      <c r="AG255" s="161"/>
      <c r="AH255" s="161"/>
      <c r="AI255" s="161"/>
      <c r="AJ255" s="161"/>
      <c r="AK255" s="161"/>
      <c r="AL255" s="161"/>
      <c r="AM255" s="161"/>
      <c r="AN255" s="161"/>
      <c r="AO255" s="161"/>
      <c r="AP255" s="161"/>
      <c r="AQ255" s="161"/>
      <c r="AR255" s="161"/>
      <c r="AS255" s="161"/>
      <c r="AT255" s="161"/>
      <c r="AU255" s="161"/>
      <c r="AV255" s="161"/>
      <c r="AW255" s="161"/>
      <c r="AX255" s="161"/>
      <c r="AY255" s="161"/>
      <c r="AZ255" s="161"/>
      <c r="BA255" s="161"/>
      <c r="BB255" s="161"/>
      <c r="BC255" s="161"/>
      <c r="BD255" s="161"/>
      <c r="BE255" s="161"/>
      <c r="BF255" s="161"/>
      <c r="BG255" s="161"/>
      <c r="BH255" s="161"/>
      <c r="BI255" s="161"/>
      <c r="BJ255" s="161"/>
      <c r="BK255" s="161"/>
      <c r="BL255" s="161"/>
      <c r="BM255" s="161"/>
      <c r="BN255" s="161"/>
      <c r="BO255" s="161"/>
      <c r="BP255" s="161"/>
      <c r="BQ255" s="161"/>
      <c r="BR255" s="161"/>
      <c r="BS255" s="161"/>
      <c r="BT255" s="161"/>
      <c r="BU255" s="161"/>
      <c r="BV255" s="161"/>
      <c r="BW255" s="161"/>
      <c r="BX255" s="161"/>
      <c r="BY255" s="161"/>
      <c r="BZ255" s="161"/>
      <c r="CA255" s="161"/>
      <c r="CB255" s="161"/>
      <c r="CC255" s="161"/>
      <c r="CD255" s="161"/>
      <c r="CE255" s="161"/>
      <c r="CF255" s="161"/>
      <c r="CG255" s="161"/>
      <c r="CH255" s="161"/>
      <c r="CI255" s="161"/>
      <c r="CJ255" s="161"/>
      <c r="CK255" s="161"/>
      <c r="CL255" s="161"/>
      <c r="CM255" s="161"/>
      <c r="CN255" s="161"/>
      <c r="CO255" s="161"/>
      <c r="CP255" s="161"/>
      <c r="CQ255" s="161"/>
      <c r="CR255" s="161"/>
      <c r="CS255" s="161"/>
      <c r="CT255" s="161"/>
      <c r="CU255" s="161"/>
      <c r="CV255" s="161"/>
      <c r="CW255" s="161"/>
      <c r="CX255" s="161"/>
      <c r="CY255" s="161"/>
      <c r="CZ255" s="161"/>
      <c r="DA255" s="161"/>
      <c r="DB255" s="161"/>
      <c r="DC255" s="161"/>
      <c r="DD255" s="161"/>
      <c r="DE255" s="161"/>
      <c r="DF255" s="161"/>
      <c r="DG255" s="161"/>
      <c r="DH255" s="161"/>
      <c r="DI255" s="161"/>
      <c r="DJ255" s="161"/>
      <c r="DK255" s="177"/>
      <c r="DL255" s="177"/>
      <c r="DM255" s="177"/>
      <c r="DN255" s="177"/>
      <c r="DO255" s="177"/>
      <c r="DP255" s="177"/>
      <c r="DQ255" s="177"/>
      <c r="DR255" s="177"/>
      <c r="DS255" s="177"/>
      <c r="DT255" s="177"/>
      <c r="DU255" s="177"/>
      <c r="DV255" s="177"/>
      <c r="DW255" s="177"/>
      <c r="DX255" s="177"/>
      <c r="DY255" s="177"/>
      <c r="DZ255" s="177"/>
      <c r="EA255" s="177"/>
      <c r="EB255" s="177"/>
      <c r="EC255" s="177"/>
      <c r="ED255" s="177"/>
      <c r="EF255" s="161"/>
      <c r="EH255" s="161"/>
      <c r="EM255" s="161"/>
      <c r="EN255" s="161"/>
      <c r="EO255" s="161"/>
      <c r="EP255" s="161"/>
      <c r="FL255" s="161"/>
      <c r="FM255" s="161"/>
      <c r="FN255" s="161"/>
      <c r="FO255" s="161"/>
      <c r="FP255" s="161"/>
      <c r="FQ255" s="161"/>
      <c r="FR255" s="161"/>
      <c r="FS255" s="161"/>
      <c r="FT255" s="161"/>
      <c r="FU255" s="161"/>
      <c r="FV255" s="161"/>
      <c r="FW255" s="667"/>
      <c r="FX255" s="667"/>
      <c r="FY255" s="161"/>
      <c r="FZ255" s="161"/>
      <c r="GA255" s="161"/>
      <c r="GB255" s="161"/>
      <c r="GC255" s="177"/>
      <c r="GD255" s="161"/>
      <c r="GE255" s="177"/>
    </row>
    <row r="256" spans="1:187">
      <c r="A256" s="161"/>
      <c r="B256" s="161"/>
      <c r="C256" s="161"/>
      <c r="D256" s="161"/>
      <c r="E256" s="161"/>
      <c r="F256" s="161"/>
      <c r="G256" s="161"/>
      <c r="H256" s="161"/>
      <c r="I256" s="161"/>
      <c r="J256" s="161"/>
      <c r="K256" s="161"/>
      <c r="L256" s="161"/>
      <c r="M256" s="161"/>
      <c r="N256" s="161"/>
      <c r="O256" s="161"/>
      <c r="P256" s="161"/>
      <c r="Q256" s="161"/>
      <c r="R256" s="161"/>
      <c r="S256" s="161"/>
      <c r="T256" s="161"/>
      <c r="U256" s="161"/>
      <c r="V256" s="161"/>
      <c r="W256" s="161"/>
      <c r="X256" s="161"/>
      <c r="Y256" s="161"/>
      <c r="Z256" s="161"/>
      <c r="AA256" s="161"/>
      <c r="AB256" s="161"/>
      <c r="AC256" s="161"/>
      <c r="AD256" s="161"/>
      <c r="AE256" s="161"/>
      <c r="AF256" s="161"/>
      <c r="AG256" s="161"/>
      <c r="AH256" s="161"/>
      <c r="AI256" s="161"/>
      <c r="AJ256" s="161"/>
      <c r="AK256" s="161"/>
      <c r="AL256" s="161"/>
      <c r="AM256" s="161"/>
      <c r="AN256" s="161"/>
      <c r="AO256" s="161"/>
      <c r="AP256" s="161"/>
      <c r="AQ256" s="161"/>
      <c r="AR256" s="161"/>
      <c r="AS256" s="161"/>
      <c r="AT256" s="161"/>
      <c r="AU256" s="161"/>
      <c r="AV256" s="161"/>
      <c r="AW256" s="161"/>
      <c r="AX256" s="161"/>
      <c r="AY256" s="161"/>
      <c r="AZ256" s="161"/>
      <c r="BA256" s="161"/>
      <c r="BB256" s="161"/>
      <c r="BC256" s="161"/>
      <c r="BD256" s="161"/>
      <c r="BE256" s="161"/>
      <c r="BF256" s="161"/>
      <c r="BG256" s="161"/>
      <c r="BH256" s="161"/>
      <c r="BI256" s="161"/>
      <c r="BJ256" s="161"/>
      <c r="BK256" s="161"/>
      <c r="BL256" s="161"/>
      <c r="BM256" s="161"/>
      <c r="BN256" s="161"/>
      <c r="BO256" s="161"/>
      <c r="BP256" s="161"/>
      <c r="BQ256" s="161"/>
      <c r="BR256" s="161"/>
      <c r="BS256" s="161"/>
      <c r="BT256" s="161"/>
      <c r="BU256" s="161"/>
      <c r="BV256" s="161"/>
      <c r="BW256" s="161"/>
      <c r="BX256" s="161"/>
      <c r="BY256" s="161"/>
      <c r="BZ256" s="161"/>
      <c r="CA256" s="161"/>
      <c r="CB256" s="161"/>
      <c r="CC256" s="161"/>
      <c r="CD256" s="161"/>
      <c r="CE256" s="161"/>
      <c r="CF256" s="161"/>
      <c r="CG256" s="161"/>
      <c r="CH256" s="161"/>
      <c r="CI256" s="161"/>
      <c r="CJ256" s="161"/>
      <c r="CK256" s="161"/>
      <c r="CL256" s="161"/>
      <c r="CM256" s="161"/>
      <c r="CN256" s="161"/>
      <c r="CO256" s="161"/>
      <c r="CP256" s="161"/>
      <c r="CQ256" s="161"/>
      <c r="CR256" s="161"/>
      <c r="CS256" s="161"/>
      <c r="CT256" s="161"/>
      <c r="CU256" s="161"/>
      <c r="CV256" s="161"/>
      <c r="CW256" s="161"/>
      <c r="CX256" s="161"/>
      <c r="CY256" s="161"/>
      <c r="CZ256" s="161"/>
      <c r="DA256" s="161"/>
      <c r="DB256" s="161"/>
      <c r="DC256" s="161"/>
      <c r="DD256" s="161"/>
      <c r="DE256" s="161"/>
      <c r="DF256" s="161"/>
      <c r="DG256" s="161"/>
      <c r="DH256" s="161"/>
      <c r="DI256" s="161"/>
      <c r="DJ256" s="161"/>
      <c r="DK256" s="177"/>
      <c r="DL256" s="177"/>
      <c r="DM256" s="177"/>
      <c r="DN256" s="177"/>
      <c r="DO256" s="177"/>
      <c r="DP256" s="177"/>
      <c r="DQ256" s="177"/>
      <c r="DR256" s="177"/>
      <c r="DS256" s="177"/>
      <c r="DT256" s="177"/>
      <c r="DU256" s="177"/>
      <c r="DV256" s="177"/>
      <c r="DW256" s="177"/>
      <c r="DX256" s="177"/>
      <c r="DY256" s="177"/>
      <c r="DZ256" s="177"/>
      <c r="EA256" s="177"/>
      <c r="EB256" s="177"/>
      <c r="EC256" s="177"/>
      <c r="ED256" s="177"/>
      <c r="EF256" s="161"/>
      <c r="EH256" s="161"/>
      <c r="EM256" s="161"/>
      <c r="EN256" s="161"/>
      <c r="EO256" s="161"/>
      <c r="EP256" s="161"/>
      <c r="FL256" s="161"/>
      <c r="FM256" s="161"/>
      <c r="FN256" s="161"/>
      <c r="FO256" s="161"/>
      <c r="FP256" s="161"/>
      <c r="FQ256" s="161"/>
      <c r="FR256" s="161"/>
      <c r="FS256" s="161"/>
      <c r="FT256" s="161"/>
      <c r="FU256" s="161"/>
      <c r="FV256" s="161"/>
      <c r="FW256" s="667"/>
      <c r="FX256" s="667"/>
      <c r="FY256" s="161"/>
      <c r="FZ256" s="161"/>
      <c r="GA256" s="161"/>
      <c r="GB256" s="161"/>
      <c r="GC256" s="177"/>
      <c r="GD256" s="161"/>
      <c r="GE256" s="177"/>
    </row>
    <row r="257" spans="1:187">
      <c r="A257" s="161"/>
      <c r="B257" s="161"/>
      <c r="C257" s="161"/>
      <c r="D257" s="161"/>
      <c r="E257" s="161"/>
      <c r="F257" s="161"/>
      <c r="G257" s="161"/>
      <c r="H257" s="161"/>
      <c r="I257" s="161"/>
      <c r="J257" s="161"/>
      <c r="K257" s="161"/>
      <c r="L257" s="161"/>
      <c r="M257" s="161"/>
      <c r="N257" s="161"/>
      <c r="O257" s="161"/>
      <c r="P257" s="161"/>
      <c r="Q257" s="161"/>
      <c r="R257" s="161"/>
      <c r="S257" s="161"/>
      <c r="T257" s="161"/>
      <c r="U257" s="161"/>
      <c r="V257" s="161"/>
      <c r="W257" s="161"/>
      <c r="X257" s="161"/>
      <c r="Y257" s="161"/>
      <c r="Z257" s="161"/>
      <c r="AA257" s="161"/>
      <c r="AB257" s="161"/>
      <c r="AC257" s="161"/>
      <c r="AD257" s="161"/>
      <c r="AE257" s="161"/>
      <c r="AF257" s="161"/>
      <c r="AG257" s="161"/>
      <c r="AH257" s="161"/>
      <c r="AI257" s="161"/>
      <c r="AJ257" s="161"/>
      <c r="AK257" s="161"/>
      <c r="AL257" s="161"/>
      <c r="AM257" s="161"/>
      <c r="AN257" s="161"/>
      <c r="AO257" s="161"/>
      <c r="AP257" s="161"/>
      <c r="AQ257" s="161"/>
      <c r="AR257" s="161"/>
      <c r="AS257" s="161"/>
      <c r="AT257" s="161"/>
      <c r="AU257" s="161"/>
      <c r="AV257" s="161"/>
      <c r="AW257" s="161"/>
      <c r="AX257" s="161"/>
      <c r="AY257" s="161"/>
      <c r="AZ257" s="161"/>
      <c r="BA257" s="161"/>
      <c r="BB257" s="161"/>
      <c r="BC257" s="161"/>
      <c r="BD257" s="161"/>
      <c r="BE257" s="161"/>
      <c r="BF257" s="161"/>
      <c r="BG257" s="161"/>
      <c r="BH257" s="161"/>
      <c r="BI257" s="161"/>
      <c r="BJ257" s="161"/>
      <c r="BK257" s="161"/>
      <c r="BL257" s="161"/>
      <c r="BM257" s="161"/>
      <c r="BN257" s="161"/>
      <c r="BO257" s="161"/>
      <c r="BP257" s="161"/>
      <c r="BQ257" s="161"/>
      <c r="BR257" s="161"/>
      <c r="BS257" s="161"/>
      <c r="BT257" s="161"/>
      <c r="BU257" s="161"/>
      <c r="BV257" s="161"/>
      <c r="BW257" s="161"/>
      <c r="BX257" s="161"/>
      <c r="BY257" s="161"/>
      <c r="BZ257" s="161"/>
      <c r="CA257" s="161"/>
      <c r="CB257" s="161"/>
      <c r="CC257" s="161"/>
      <c r="CD257" s="161"/>
      <c r="CE257" s="161"/>
      <c r="CF257" s="161"/>
      <c r="CG257" s="161"/>
      <c r="CH257" s="161"/>
      <c r="CI257" s="161"/>
      <c r="CJ257" s="161"/>
      <c r="CK257" s="161"/>
      <c r="CL257" s="161"/>
      <c r="CM257" s="161"/>
      <c r="CN257" s="161"/>
      <c r="CO257" s="161"/>
      <c r="CP257" s="161"/>
      <c r="CQ257" s="161"/>
      <c r="CR257" s="161"/>
      <c r="CS257" s="161"/>
      <c r="CT257" s="161"/>
      <c r="CU257" s="161"/>
      <c r="CV257" s="161"/>
      <c r="CW257" s="161"/>
      <c r="CX257" s="161"/>
      <c r="CY257" s="161"/>
      <c r="CZ257" s="161"/>
      <c r="DA257" s="161"/>
      <c r="DB257" s="161"/>
      <c r="DC257" s="161"/>
      <c r="DD257" s="161"/>
      <c r="DE257" s="161"/>
      <c r="DF257" s="161"/>
      <c r="DG257" s="161"/>
      <c r="DH257" s="161"/>
      <c r="DI257" s="161"/>
      <c r="DJ257" s="161"/>
      <c r="DK257" s="177"/>
      <c r="DL257" s="177"/>
      <c r="DM257" s="177"/>
      <c r="DN257" s="177"/>
      <c r="DO257" s="177"/>
      <c r="DP257" s="177"/>
      <c r="DQ257" s="177"/>
      <c r="DR257" s="177"/>
      <c r="DS257" s="177"/>
      <c r="DT257" s="177"/>
      <c r="DU257" s="177"/>
      <c r="DV257" s="177"/>
      <c r="DW257" s="177"/>
      <c r="DX257" s="177"/>
      <c r="DY257" s="177"/>
      <c r="DZ257" s="177"/>
      <c r="EA257" s="177"/>
      <c r="EB257" s="177"/>
      <c r="EC257" s="177"/>
      <c r="ED257" s="177"/>
      <c r="EF257" s="161"/>
      <c r="EH257" s="161"/>
      <c r="EM257" s="161"/>
      <c r="EN257" s="161"/>
      <c r="EO257" s="161"/>
      <c r="EP257" s="161"/>
      <c r="FL257" s="161"/>
      <c r="FM257" s="161"/>
      <c r="FN257" s="161"/>
      <c r="FO257" s="161"/>
      <c r="FP257" s="161"/>
      <c r="FQ257" s="161"/>
      <c r="FR257" s="161"/>
      <c r="FS257" s="161"/>
      <c r="FT257" s="161"/>
      <c r="FU257" s="161"/>
      <c r="FV257" s="161"/>
      <c r="FW257" s="667"/>
      <c r="FX257" s="667"/>
      <c r="FY257" s="161"/>
      <c r="FZ257" s="161"/>
      <c r="GA257" s="161"/>
      <c r="GB257" s="161"/>
      <c r="GC257" s="177"/>
      <c r="GD257" s="161"/>
      <c r="GE257" s="177"/>
    </row>
    <row r="258" spans="1:187">
      <c r="A258" s="161"/>
      <c r="B258" s="161"/>
      <c r="C258" s="161"/>
      <c r="D258" s="161"/>
      <c r="E258" s="161"/>
      <c r="F258" s="161"/>
      <c r="G258" s="161"/>
      <c r="H258" s="161"/>
      <c r="I258" s="161"/>
      <c r="J258" s="161"/>
      <c r="K258" s="161"/>
      <c r="L258" s="161"/>
      <c r="M258" s="161"/>
      <c r="N258" s="161"/>
      <c r="O258" s="161"/>
      <c r="P258" s="161"/>
      <c r="Q258" s="161"/>
      <c r="R258" s="161"/>
      <c r="S258" s="161"/>
      <c r="T258" s="161"/>
      <c r="U258" s="161"/>
      <c r="V258" s="161"/>
      <c r="W258" s="161"/>
      <c r="X258" s="161"/>
      <c r="Y258" s="161"/>
      <c r="Z258" s="161"/>
      <c r="AA258" s="161"/>
      <c r="AB258" s="161"/>
      <c r="AC258" s="161"/>
      <c r="AD258" s="161"/>
      <c r="AE258" s="161"/>
      <c r="AF258" s="161"/>
      <c r="AG258" s="161"/>
      <c r="AH258" s="161"/>
      <c r="AI258" s="161"/>
      <c r="AJ258" s="161"/>
      <c r="AK258" s="161"/>
      <c r="AL258" s="161"/>
      <c r="AM258" s="161"/>
      <c r="AN258" s="161"/>
      <c r="AO258" s="161"/>
      <c r="AP258" s="161"/>
      <c r="AQ258" s="161"/>
      <c r="AR258" s="161"/>
      <c r="AS258" s="161"/>
      <c r="AT258" s="161"/>
      <c r="AU258" s="161"/>
      <c r="AV258" s="161"/>
      <c r="AW258" s="161"/>
      <c r="AX258" s="161"/>
      <c r="AY258" s="161"/>
      <c r="AZ258" s="161"/>
      <c r="BA258" s="161"/>
      <c r="BB258" s="161"/>
      <c r="BC258" s="161"/>
      <c r="BD258" s="161"/>
      <c r="BE258" s="161"/>
      <c r="BF258" s="161"/>
      <c r="BG258" s="161"/>
      <c r="BH258" s="161"/>
      <c r="BI258" s="161"/>
      <c r="BJ258" s="161"/>
      <c r="BK258" s="161"/>
      <c r="BL258" s="161"/>
      <c r="BM258" s="161"/>
      <c r="BN258" s="161"/>
      <c r="BO258" s="161"/>
      <c r="BP258" s="161"/>
      <c r="BQ258" s="161"/>
      <c r="BR258" s="161"/>
      <c r="BS258" s="161"/>
      <c r="BT258" s="161"/>
      <c r="BU258" s="161"/>
      <c r="BV258" s="161"/>
      <c r="BW258" s="161"/>
      <c r="BX258" s="161"/>
      <c r="BY258" s="161"/>
      <c r="BZ258" s="161"/>
      <c r="CA258" s="161"/>
      <c r="CB258" s="161"/>
      <c r="CC258" s="161"/>
      <c r="CD258" s="161"/>
      <c r="CE258" s="161"/>
      <c r="CF258" s="161"/>
      <c r="CG258" s="161"/>
      <c r="CH258" s="161"/>
      <c r="CI258" s="161"/>
      <c r="CJ258" s="161"/>
      <c r="CK258" s="161"/>
      <c r="CL258" s="161"/>
      <c r="CM258" s="161"/>
      <c r="CN258" s="161"/>
      <c r="CO258" s="161"/>
      <c r="CP258" s="161"/>
      <c r="CQ258" s="161"/>
      <c r="CR258" s="161"/>
      <c r="CS258" s="161"/>
      <c r="CT258" s="161"/>
      <c r="CU258" s="161"/>
      <c r="CV258" s="161"/>
      <c r="CW258" s="161"/>
      <c r="CX258" s="161"/>
      <c r="CY258" s="161"/>
      <c r="CZ258" s="161"/>
      <c r="DA258" s="161"/>
      <c r="DB258" s="161"/>
      <c r="DC258" s="161"/>
      <c r="DD258" s="161"/>
      <c r="DE258" s="161"/>
      <c r="DF258" s="161"/>
      <c r="DG258" s="161"/>
      <c r="DH258" s="161"/>
      <c r="DI258" s="161"/>
      <c r="DJ258" s="161"/>
      <c r="DK258" s="177"/>
      <c r="DL258" s="177"/>
      <c r="DM258" s="177"/>
      <c r="DN258" s="177"/>
      <c r="DO258" s="177"/>
      <c r="DP258" s="177"/>
      <c r="DQ258" s="177"/>
      <c r="DR258" s="177"/>
      <c r="DS258" s="177"/>
      <c r="DT258" s="177"/>
      <c r="DU258" s="177"/>
      <c r="DV258" s="177"/>
      <c r="DW258" s="177"/>
      <c r="DX258" s="177"/>
      <c r="DY258" s="177"/>
      <c r="DZ258" s="177"/>
      <c r="EA258" s="177"/>
      <c r="EB258" s="177"/>
      <c r="EC258" s="177"/>
      <c r="ED258" s="177"/>
      <c r="EF258" s="161"/>
      <c r="EH258" s="161"/>
      <c r="EM258" s="161"/>
      <c r="EN258" s="161"/>
      <c r="EO258" s="161"/>
      <c r="EP258" s="161"/>
      <c r="FL258" s="161"/>
      <c r="FM258" s="161"/>
      <c r="FN258" s="161"/>
      <c r="FO258" s="161"/>
      <c r="FP258" s="161"/>
      <c r="FQ258" s="161"/>
      <c r="FR258" s="161"/>
      <c r="FS258" s="161"/>
      <c r="FT258" s="161"/>
      <c r="FU258" s="161"/>
      <c r="FV258" s="161"/>
      <c r="FW258" s="667"/>
      <c r="FX258" s="667"/>
      <c r="FY258" s="161"/>
      <c r="FZ258" s="161"/>
      <c r="GA258" s="161"/>
      <c r="GB258" s="161"/>
      <c r="GC258" s="177"/>
      <c r="GD258" s="161"/>
      <c r="GE258" s="177"/>
    </row>
    <row r="259" spans="1:187">
      <c r="A259" s="161"/>
      <c r="B259" s="161"/>
      <c r="C259" s="161"/>
      <c r="D259" s="161"/>
      <c r="E259" s="161"/>
      <c r="F259" s="161"/>
      <c r="G259" s="161"/>
      <c r="H259" s="161"/>
      <c r="I259" s="161"/>
      <c r="J259" s="161"/>
      <c r="K259" s="161"/>
      <c r="L259" s="161"/>
      <c r="M259" s="161"/>
      <c r="N259" s="161"/>
      <c r="O259" s="161"/>
      <c r="P259" s="161"/>
      <c r="Q259" s="161"/>
      <c r="R259" s="161"/>
      <c r="S259" s="161"/>
      <c r="T259" s="161"/>
      <c r="U259" s="161"/>
      <c r="V259" s="161"/>
      <c r="W259" s="161"/>
      <c r="X259" s="161"/>
      <c r="Y259" s="161"/>
      <c r="Z259" s="161"/>
      <c r="AA259" s="161"/>
      <c r="AB259" s="161"/>
      <c r="AC259" s="161"/>
      <c r="AD259" s="161"/>
      <c r="AE259" s="161"/>
      <c r="AF259" s="161"/>
      <c r="AG259" s="161"/>
      <c r="AH259" s="161"/>
      <c r="AI259" s="161"/>
      <c r="AJ259" s="161"/>
      <c r="AK259" s="161"/>
      <c r="AL259" s="161"/>
      <c r="AM259" s="161"/>
      <c r="AN259" s="161"/>
      <c r="AO259" s="161"/>
      <c r="AP259" s="161"/>
      <c r="AQ259" s="161"/>
      <c r="AR259" s="161"/>
      <c r="AS259" s="161"/>
      <c r="AT259" s="161"/>
      <c r="AU259" s="161"/>
      <c r="AV259" s="161"/>
      <c r="AW259" s="161"/>
      <c r="AX259" s="161"/>
      <c r="AY259" s="161"/>
      <c r="AZ259" s="161"/>
      <c r="BA259" s="161"/>
      <c r="BB259" s="161"/>
      <c r="BC259" s="161"/>
      <c r="BD259" s="161"/>
      <c r="BE259" s="161"/>
      <c r="BF259" s="161"/>
      <c r="BG259" s="161"/>
      <c r="BH259" s="161"/>
      <c r="BI259" s="161"/>
      <c r="BJ259" s="161"/>
      <c r="BK259" s="161"/>
      <c r="BL259" s="161"/>
      <c r="BM259" s="161"/>
      <c r="BN259" s="161"/>
      <c r="BO259" s="161"/>
      <c r="BP259" s="161"/>
      <c r="BQ259" s="161"/>
      <c r="BR259" s="161"/>
      <c r="BS259" s="161"/>
      <c r="BT259" s="161"/>
      <c r="BU259" s="161"/>
      <c r="BV259" s="161"/>
      <c r="BW259" s="161"/>
      <c r="BX259" s="161"/>
      <c r="BY259" s="161"/>
      <c r="BZ259" s="161"/>
      <c r="CA259" s="161"/>
      <c r="CB259" s="161"/>
      <c r="CC259" s="161"/>
      <c r="CD259" s="161"/>
      <c r="CE259" s="161"/>
      <c r="CF259" s="161"/>
      <c r="CG259" s="161"/>
      <c r="CH259" s="161"/>
      <c r="CI259" s="161"/>
      <c r="CJ259" s="161"/>
      <c r="CK259" s="161"/>
      <c r="CL259" s="161"/>
      <c r="CM259" s="161"/>
      <c r="CN259" s="161"/>
      <c r="CO259" s="161"/>
      <c r="CP259" s="161"/>
      <c r="CQ259" s="161"/>
      <c r="CR259" s="161"/>
      <c r="CS259" s="161"/>
      <c r="CT259" s="161"/>
      <c r="CU259" s="161"/>
      <c r="CV259" s="161"/>
      <c r="CW259" s="161"/>
      <c r="CX259" s="161"/>
      <c r="CY259" s="161"/>
      <c r="CZ259" s="161"/>
      <c r="DA259" s="161"/>
      <c r="DB259" s="161"/>
      <c r="DC259" s="161"/>
      <c r="DD259" s="161"/>
      <c r="DE259" s="161"/>
      <c r="DF259" s="161"/>
      <c r="DG259" s="161"/>
      <c r="DH259" s="161"/>
      <c r="DI259" s="161"/>
      <c r="DJ259" s="161"/>
      <c r="DK259" s="177"/>
      <c r="DL259" s="177"/>
      <c r="DM259" s="177"/>
      <c r="DN259" s="177"/>
      <c r="DO259" s="177"/>
      <c r="DP259" s="177"/>
      <c r="DQ259" s="177"/>
      <c r="DR259" s="177"/>
      <c r="DS259" s="177"/>
      <c r="DT259" s="177"/>
      <c r="DU259" s="177"/>
      <c r="DV259" s="177"/>
      <c r="DW259" s="177"/>
      <c r="DX259" s="177"/>
      <c r="DY259" s="177"/>
      <c r="DZ259" s="177"/>
      <c r="EA259" s="177"/>
      <c r="EB259" s="177"/>
      <c r="EC259" s="177"/>
      <c r="ED259" s="177"/>
      <c r="EF259" s="161"/>
      <c r="EH259" s="161"/>
      <c r="EM259" s="161"/>
      <c r="EN259" s="161"/>
      <c r="EO259" s="161"/>
      <c r="EP259" s="161"/>
      <c r="FL259" s="161"/>
      <c r="FM259" s="161"/>
      <c r="FN259" s="161"/>
      <c r="FO259" s="161"/>
      <c r="FP259" s="161"/>
      <c r="FQ259" s="161"/>
      <c r="FR259" s="161"/>
      <c r="FS259" s="161"/>
      <c r="FT259" s="161"/>
      <c r="FU259" s="161"/>
      <c r="FV259" s="161"/>
      <c r="FW259" s="667"/>
      <c r="FX259" s="667"/>
      <c r="FY259" s="161"/>
      <c r="FZ259" s="161"/>
      <c r="GA259" s="161"/>
      <c r="GB259" s="161"/>
      <c r="GC259" s="177"/>
      <c r="GD259" s="161"/>
      <c r="GE259" s="177"/>
    </row>
    <row r="260" spans="1:187">
      <c r="A260" s="161"/>
      <c r="B260" s="161"/>
      <c r="C260" s="161"/>
      <c r="D260" s="161"/>
      <c r="E260" s="161"/>
      <c r="F260" s="161"/>
      <c r="G260" s="161"/>
      <c r="H260" s="161"/>
      <c r="I260" s="161"/>
      <c r="J260" s="161"/>
      <c r="K260" s="161"/>
      <c r="L260" s="161"/>
      <c r="M260" s="161"/>
      <c r="N260" s="161"/>
      <c r="O260" s="161"/>
      <c r="P260" s="161"/>
      <c r="Q260" s="161"/>
      <c r="R260" s="161"/>
      <c r="S260" s="161"/>
      <c r="T260" s="161"/>
      <c r="U260" s="161"/>
      <c r="V260" s="161"/>
      <c r="W260" s="161"/>
      <c r="X260" s="161"/>
      <c r="Y260" s="161"/>
      <c r="Z260" s="161"/>
      <c r="AA260" s="161"/>
      <c r="AB260" s="161"/>
      <c r="AC260" s="161"/>
      <c r="AD260" s="161"/>
      <c r="AE260" s="161"/>
      <c r="AF260" s="161"/>
      <c r="AG260" s="161"/>
      <c r="AH260" s="161"/>
      <c r="AI260" s="161"/>
      <c r="AJ260" s="161"/>
      <c r="AK260" s="161"/>
      <c r="AL260" s="161"/>
      <c r="AM260" s="161"/>
      <c r="AN260" s="161"/>
      <c r="AO260" s="161"/>
      <c r="AP260" s="161"/>
      <c r="AQ260" s="161"/>
      <c r="AR260" s="161"/>
      <c r="AS260" s="161"/>
      <c r="AT260" s="161"/>
      <c r="AU260" s="161"/>
      <c r="AV260" s="161"/>
      <c r="AW260" s="161"/>
      <c r="AX260" s="161"/>
      <c r="AY260" s="161"/>
      <c r="AZ260" s="161"/>
      <c r="BA260" s="161"/>
      <c r="BB260" s="161"/>
      <c r="BC260" s="161"/>
      <c r="BD260" s="161"/>
      <c r="BE260" s="161"/>
      <c r="BF260" s="161"/>
      <c r="BG260" s="161"/>
      <c r="BH260" s="161"/>
      <c r="BI260" s="161"/>
      <c r="BJ260" s="161"/>
      <c r="BK260" s="161"/>
      <c r="BL260" s="161"/>
      <c r="BM260" s="161"/>
      <c r="BN260" s="161"/>
      <c r="BO260" s="161"/>
      <c r="BP260" s="161"/>
      <c r="BQ260" s="161"/>
      <c r="BR260" s="161"/>
      <c r="BS260" s="161"/>
      <c r="BT260" s="161"/>
      <c r="BU260" s="161"/>
      <c r="BV260" s="161"/>
      <c r="BW260" s="161"/>
      <c r="BX260" s="161"/>
      <c r="BY260" s="161"/>
      <c r="BZ260" s="161"/>
      <c r="CA260" s="161"/>
      <c r="CB260" s="161"/>
      <c r="CC260" s="161"/>
      <c r="CD260" s="161"/>
      <c r="CE260" s="161"/>
      <c r="CF260" s="161"/>
      <c r="CG260" s="161"/>
      <c r="CH260" s="161"/>
      <c r="CI260" s="161"/>
      <c r="CJ260" s="161"/>
      <c r="CK260" s="161"/>
      <c r="CL260" s="161"/>
      <c r="CM260" s="161"/>
      <c r="CN260" s="161"/>
      <c r="CO260" s="161"/>
      <c r="CP260" s="161"/>
      <c r="CQ260" s="161"/>
      <c r="CR260" s="161"/>
      <c r="CS260" s="161"/>
      <c r="CT260" s="161"/>
      <c r="CU260" s="161"/>
      <c r="CV260" s="161"/>
      <c r="CW260" s="161"/>
      <c r="CX260" s="161"/>
      <c r="CY260" s="161"/>
      <c r="CZ260" s="161"/>
      <c r="DA260" s="161"/>
      <c r="DB260" s="161"/>
      <c r="DC260" s="161"/>
      <c r="DD260" s="161"/>
      <c r="DE260" s="161"/>
      <c r="DF260" s="161"/>
      <c r="DG260" s="161"/>
      <c r="DH260" s="161"/>
      <c r="DI260" s="161"/>
      <c r="DJ260" s="161"/>
      <c r="DK260" s="177"/>
      <c r="DL260" s="177"/>
      <c r="DM260" s="177"/>
      <c r="DN260" s="177"/>
      <c r="DO260" s="177"/>
      <c r="DP260" s="177"/>
      <c r="DQ260" s="177"/>
      <c r="DR260" s="177"/>
      <c r="DS260" s="177"/>
      <c r="DT260" s="177"/>
      <c r="DU260" s="177"/>
      <c r="DV260" s="177"/>
      <c r="DW260" s="177"/>
      <c r="DX260" s="177"/>
      <c r="DY260" s="177"/>
      <c r="DZ260" s="177"/>
      <c r="EA260" s="177"/>
      <c r="EB260" s="177"/>
      <c r="EC260" s="177"/>
      <c r="ED260" s="177"/>
      <c r="EF260" s="161"/>
      <c r="EH260" s="161"/>
      <c r="EM260" s="161"/>
      <c r="EN260" s="161"/>
      <c r="EO260" s="161"/>
      <c r="EP260" s="161"/>
      <c r="FL260" s="161"/>
      <c r="FM260" s="161"/>
      <c r="FN260" s="161"/>
      <c r="FO260" s="161"/>
      <c r="FP260" s="161"/>
      <c r="FQ260" s="161"/>
      <c r="FR260" s="161"/>
      <c r="FS260" s="161"/>
      <c r="FT260" s="161"/>
      <c r="FU260" s="161"/>
      <c r="FV260" s="161"/>
      <c r="FW260" s="667"/>
      <c r="FX260" s="667"/>
      <c r="FY260" s="161"/>
      <c r="FZ260" s="161"/>
      <c r="GA260" s="161"/>
      <c r="GB260" s="161"/>
      <c r="GC260" s="177"/>
      <c r="GD260" s="161"/>
      <c r="GE260" s="177"/>
    </row>
    <row r="261" spans="1:187">
      <c r="A261" s="161"/>
      <c r="B261" s="161"/>
      <c r="C261" s="161"/>
      <c r="D261" s="161"/>
      <c r="E261" s="161"/>
      <c r="F261" s="161"/>
      <c r="G261" s="161"/>
      <c r="H261" s="161"/>
      <c r="I261" s="161"/>
      <c r="J261" s="161"/>
      <c r="K261" s="161"/>
      <c r="L261" s="161"/>
      <c r="M261" s="161"/>
      <c r="N261" s="161"/>
      <c r="O261" s="161"/>
      <c r="P261" s="161"/>
      <c r="Q261" s="161"/>
      <c r="R261" s="161"/>
      <c r="S261" s="161"/>
      <c r="T261" s="161"/>
      <c r="U261" s="161"/>
      <c r="V261" s="161"/>
      <c r="W261" s="161"/>
      <c r="X261" s="161"/>
      <c r="Y261" s="161"/>
      <c r="Z261" s="161"/>
      <c r="AA261" s="161"/>
      <c r="AB261" s="161"/>
      <c r="AC261" s="161"/>
      <c r="AD261" s="161"/>
      <c r="AE261" s="161"/>
      <c r="AF261" s="161"/>
      <c r="AG261" s="161"/>
      <c r="AH261" s="161"/>
      <c r="AI261" s="161"/>
      <c r="AJ261" s="161"/>
      <c r="AK261" s="161"/>
      <c r="AL261" s="161"/>
      <c r="AM261" s="161"/>
      <c r="AN261" s="161"/>
      <c r="AO261" s="161"/>
      <c r="AP261" s="161"/>
      <c r="AQ261" s="161"/>
      <c r="AR261" s="161"/>
      <c r="AS261" s="161"/>
      <c r="AT261" s="161"/>
      <c r="AU261" s="161"/>
      <c r="AV261" s="161"/>
      <c r="AW261" s="161"/>
      <c r="AX261" s="161"/>
      <c r="AY261" s="161"/>
      <c r="AZ261" s="161"/>
      <c r="BA261" s="161"/>
      <c r="BB261" s="161"/>
      <c r="BC261" s="161"/>
      <c r="BD261" s="161"/>
      <c r="BE261" s="161"/>
      <c r="BF261" s="161"/>
      <c r="BG261" s="161"/>
      <c r="BH261" s="161"/>
      <c r="BI261" s="161"/>
      <c r="BJ261" s="161"/>
      <c r="BK261" s="161"/>
      <c r="BL261" s="161"/>
      <c r="BM261" s="161"/>
      <c r="BN261" s="161"/>
      <c r="BO261" s="161"/>
      <c r="BP261" s="161"/>
      <c r="BQ261" s="161"/>
      <c r="BR261" s="161"/>
      <c r="BS261" s="161"/>
      <c r="BT261" s="161"/>
      <c r="BU261" s="161"/>
      <c r="BV261" s="161"/>
      <c r="BW261" s="161"/>
      <c r="BX261" s="161"/>
      <c r="BY261" s="161"/>
      <c r="BZ261" s="161"/>
      <c r="CA261" s="161"/>
      <c r="CB261" s="161"/>
      <c r="CC261" s="161"/>
      <c r="CD261" s="161"/>
      <c r="CE261" s="161"/>
      <c r="CF261" s="161"/>
      <c r="CG261" s="161"/>
      <c r="CH261" s="161"/>
      <c r="CI261" s="161"/>
      <c r="CJ261" s="161"/>
      <c r="CK261" s="161"/>
      <c r="CL261" s="161"/>
      <c r="CM261" s="161"/>
      <c r="CN261" s="161"/>
      <c r="CO261" s="161"/>
      <c r="CP261" s="161"/>
      <c r="CQ261" s="161"/>
      <c r="CR261" s="161"/>
      <c r="CS261" s="161"/>
      <c r="CT261" s="161"/>
      <c r="CU261" s="161"/>
      <c r="CV261" s="161"/>
      <c r="CW261" s="161"/>
      <c r="CX261" s="161"/>
      <c r="CY261" s="161"/>
      <c r="CZ261" s="161"/>
      <c r="DA261" s="161"/>
      <c r="DB261" s="161"/>
      <c r="DC261" s="161"/>
      <c r="DD261" s="161"/>
      <c r="DE261" s="161"/>
      <c r="DF261" s="161"/>
      <c r="DG261" s="161"/>
      <c r="DH261" s="161"/>
      <c r="DI261" s="161"/>
      <c r="DJ261" s="161"/>
      <c r="DK261" s="177"/>
      <c r="DL261" s="177"/>
      <c r="DM261" s="177"/>
      <c r="DN261" s="177"/>
      <c r="DO261" s="177"/>
      <c r="DP261" s="177"/>
      <c r="DQ261" s="177"/>
      <c r="DR261" s="177"/>
      <c r="DS261" s="177"/>
      <c r="DT261" s="177"/>
      <c r="DU261" s="177"/>
      <c r="DV261" s="177"/>
      <c r="DW261" s="177"/>
      <c r="DX261" s="177"/>
      <c r="DY261" s="177"/>
      <c r="DZ261" s="177"/>
      <c r="EA261" s="177"/>
      <c r="EB261" s="177"/>
      <c r="EC261" s="177"/>
      <c r="ED261" s="177"/>
      <c r="EF261" s="161"/>
      <c r="EH261" s="161"/>
      <c r="EM261" s="161"/>
      <c r="EN261" s="161"/>
      <c r="EO261" s="161"/>
      <c r="EP261" s="161"/>
      <c r="FL261" s="161"/>
      <c r="FM261" s="161"/>
      <c r="FN261" s="161"/>
      <c r="FO261" s="161"/>
      <c r="FP261" s="161"/>
      <c r="FQ261" s="161"/>
      <c r="FR261" s="161"/>
      <c r="FS261" s="161"/>
      <c r="FT261" s="161"/>
      <c r="FU261" s="161"/>
      <c r="FV261" s="161"/>
      <c r="FW261" s="667"/>
      <c r="FX261" s="667"/>
      <c r="FY261" s="161"/>
      <c r="FZ261" s="161"/>
      <c r="GA261" s="161"/>
      <c r="GB261" s="161"/>
      <c r="GC261" s="177"/>
      <c r="GD261" s="161"/>
      <c r="GE261" s="177"/>
    </row>
    <row r="262" spans="1:187">
      <c r="A262" s="161"/>
      <c r="B262" s="161"/>
      <c r="C262" s="161"/>
      <c r="D262" s="161"/>
      <c r="E262" s="161"/>
      <c r="F262" s="161"/>
      <c r="G262" s="161"/>
      <c r="H262" s="161"/>
      <c r="I262" s="161"/>
      <c r="J262" s="161"/>
      <c r="K262" s="161"/>
      <c r="L262" s="161"/>
      <c r="M262" s="161"/>
      <c r="N262" s="161"/>
      <c r="O262" s="161"/>
      <c r="P262" s="161"/>
      <c r="Q262" s="161"/>
      <c r="R262" s="161"/>
      <c r="S262" s="161"/>
      <c r="T262" s="161"/>
      <c r="U262" s="161"/>
      <c r="V262" s="161"/>
      <c r="W262" s="161"/>
      <c r="X262" s="161"/>
      <c r="Y262" s="161"/>
      <c r="Z262" s="161"/>
      <c r="AA262" s="161"/>
      <c r="AB262" s="161"/>
      <c r="AC262" s="161"/>
      <c r="AD262" s="161"/>
      <c r="AE262" s="161"/>
      <c r="AF262" s="161"/>
      <c r="AG262" s="161"/>
      <c r="AH262" s="161"/>
      <c r="AI262" s="161"/>
      <c r="AJ262" s="161"/>
      <c r="AK262" s="161"/>
      <c r="AL262" s="161"/>
      <c r="AM262" s="161"/>
      <c r="AN262" s="161"/>
      <c r="AO262" s="161"/>
      <c r="AP262" s="161"/>
      <c r="AQ262" s="161"/>
      <c r="AR262" s="161"/>
      <c r="AS262" s="161"/>
      <c r="AT262" s="161"/>
      <c r="AU262" s="161"/>
      <c r="AV262" s="161"/>
      <c r="AW262" s="161"/>
      <c r="AX262" s="161"/>
      <c r="AY262" s="161"/>
      <c r="AZ262" s="161"/>
      <c r="BA262" s="161"/>
      <c r="BB262" s="161"/>
      <c r="BC262" s="161"/>
      <c r="BD262" s="161"/>
      <c r="BE262" s="161"/>
      <c r="BF262" s="161"/>
      <c r="BG262" s="161"/>
      <c r="BH262" s="161"/>
      <c r="BI262" s="161"/>
      <c r="BJ262" s="161"/>
      <c r="BK262" s="161"/>
      <c r="BL262" s="161"/>
      <c r="BM262" s="161"/>
      <c r="BN262" s="161"/>
      <c r="BO262" s="161"/>
      <c r="BP262" s="161"/>
      <c r="BQ262" s="161"/>
      <c r="BR262" s="161"/>
      <c r="BS262" s="161"/>
      <c r="BT262" s="161"/>
      <c r="BU262" s="161"/>
      <c r="BV262" s="161"/>
      <c r="BW262" s="161"/>
      <c r="BX262" s="161"/>
      <c r="BY262" s="161"/>
      <c r="BZ262" s="161"/>
      <c r="CA262" s="161"/>
      <c r="CB262" s="161"/>
      <c r="CC262" s="161"/>
      <c r="CD262" s="161"/>
      <c r="CE262" s="161"/>
      <c r="CF262" s="161"/>
      <c r="CG262" s="161"/>
      <c r="CH262" s="161"/>
      <c r="CI262" s="161"/>
      <c r="CJ262" s="161"/>
      <c r="CK262" s="161"/>
      <c r="CL262" s="161"/>
      <c r="CM262" s="161"/>
      <c r="CN262" s="161"/>
      <c r="CO262" s="161"/>
      <c r="CP262" s="161"/>
      <c r="CQ262" s="161"/>
      <c r="CR262" s="161"/>
      <c r="CS262" s="161"/>
      <c r="CT262" s="161"/>
      <c r="CU262" s="161"/>
      <c r="CV262" s="161"/>
      <c r="CW262" s="161"/>
      <c r="CX262" s="161"/>
      <c r="CY262" s="161"/>
      <c r="CZ262" s="161"/>
      <c r="DA262" s="161"/>
      <c r="DB262" s="161"/>
      <c r="DC262" s="161"/>
      <c r="DD262" s="161"/>
      <c r="DE262" s="161"/>
      <c r="DF262" s="161"/>
      <c r="DG262" s="161"/>
      <c r="DH262" s="161"/>
      <c r="DI262" s="161"/>
      <c r="DJ262" s="161"/>
      <c r="DK262" s="177"/>
      <c r="DL262" s="177"/>
      <c r="DM262" s="177"/>
      <c r="DN262" s="177"/>
      <c r="DO262" s="177"/>
      <c r="DP262" s="177"/>
      <c r="DQ262" s="177"/>
      <c r="DR262" s="177"/>
      <c r="DS262" s="177"/>
      <c r="DT262" s="177"/>
      <c r="DU262" s="177"/>
      <c r="DV262" s="177"/>
      <c r="DW262" s="177"/>
      <c r="DX262" s="177"/>
      <c r="DY262" s="177"/>
      <c r="DZ262" s="177"/>
      <c r="EA262" s="177"/>
      <c r="EB262" s="177"/>
      <c r="EC262" s="177"/>
      <c r="ED262" s="177"/>
      <c r="EF262" s="161"/>
      <c r="EH262" s="161"/>
      <c r="EM262" s="161"/>
      <c r="EN262" s="161"/>
      <c r="EO262" s="161"/>
      <c r="EP262" s="161"/>
      <c r="FL262" s="161"/>
      <c r="FM262" s="161"/>
      <c r="FN262" s="161"/>
      <c r="FO262" s="161"/>
      <c r="FP262" s="161"/>
      <c r="FQ262" s="161"/>
      <c r="FR262" s="161"/>
      <c r="FS262" s="161"/>
      <c r="FT262" s="161"/>
      <c r="FU262" s="161"/>
      <c r="FV262" s="161"/>
      <c r="FW262" s="667"/>
      <c r="FX262" s="667"/>
      <c r="FY262" s="161"/>
      <c r="FZ262" s="161"/>
      <c r="GA262" s="161"/>
      <c r="GB262" s="161"/>
      <c r="GC262" s="177"/>
      <c r="GD262" s="161"/>
      <c r="GE262" s="177"/>
    </row>
    <row r="263" spans="1:187">
      <c r="A263" s="161"/>
      <c r="B263" s="161"/>
      <c r="C263" s="161"/>
      <c r="D263" s="161"/>
      <c r="E263" s="161"/>
      <c r="F263" s="161"/>
      <c r="G263" s="161"/>
      <c r="H263" s="161"/>
      <c r="I263" s="161"/>
      <c r="J263" s="161"/>
      <c r="K263" s="161"/>
      <c r="L263" s="161"/>
      <c r="M263" s="161"/>
      <c r="N263" s="161"/>
      <c r="O263" s="161"/>
      <c r="P263" s="161"/>
      <c r="Q263" s="161"/>
      <c r="R263" s="161"/>
      <c r="S263" s="161"/>
      <c r="T263" s="161"/>
      <c r="U263" s="161"/>
      <c r="V263" s="161"/>
      <c r="W263" s="161"/>
      <c r="X263" s="161"/>
      <c r="Y263" s="161"/>
      <c r="Z263" s="161"/>
      <c r="AA263" s="161"/>
      <c r="AB263" s="161"/>
      <c r="AC263" s="161"/>
      <c r="AD263" s="161"/>
      <c r="AE263" s="161"/>
      <c r="AF263" s="161"/>
      <c r="AG263" s="161"/>
      <c r="AH263" s="161"/>
      <c r="AI263" s="161"/>
      <c r="AJ263" s="161"/>
      <c r="AK263" s="161"/>
      <c r="AL263" s="161"/>
      <c r="AM263" s="161"/>
      <c r="AN263" s="161"/>
      <c r="AO263" s="161"/>
      <c r="AP263" s="161"/>
      <c r="AQ263" s="161"/>
      <c r="AR263" s="161"/>
      <c r="AS263" s="161"/>
      <c r="AT263" s="161"/>
      <c r="AU263" s="161"/>
      <c r="AV263" s="161"/>
      <c r="AW263" s="161"/>
      <c r="AX263" s="161"/>
      <c r="AY263" s="161"/>
      <c r="AZ263" s="161"/>
      <c r="BA263" s="161"/>
      <c r="BB263" s="161"/>
      <c r="BC263" s="161"/>
      <c r="BD263" s="161"/>
      <c r="BE263" s="161"/>
      <c r="BF263" s="161"/>
      <c r="BG263" s="161"/>
      <c r="BH263" s="161"/>
      <c r="BI263" s="161"/>
      <c r="BJ263" s="161"/>
      <c r="BK263" s="161"/>
      <c r="BL263" s="161"/>
      <c r="BM263" s="161"/>
      <c r="BN263" s="161"/>
      <c r="BO263" s="161"/>
      <c r="BP263" s="161"/>
      <c r="BQ263" s="161"/>
      <c r="BR263" s="161"/>
      <c r="BS263" s="161"/>
      <c r="BT263" s="161"/>
      <c r="BU263" s="161"/>
      <c r="BV263" s="161"/>
      <c r="BW263" s="161"/>
      <c r="BX263" s="161"/>
      <c r="BY263" s="161"/>
      <c r="BZ263" s="161"/>
      <c r="CA263" s="161"/>
      <c r="CB263" s="161"/>
      <c r="CC263" s="161"/>
      <c r="CD263" s="161"/>
      <c r="CE263" s="161"/>
      <c r="CF263" s="161"/>
      <c r="CG263" s="161"/>
      <c r="CH263" s="161"/>
      <c r="CI263" s="161"/>
      <c r="CJ263" s="161"/>
      <c r="CK263" s="161"/>
      <c r="CL263" s="161"/>
      <c r="CM263" s="161"/>
      <c r="CN263" s="161"/>
      <c r="CO263" s="161"/>
      <c r="CP263" s="161"/>
      <c r="CQ263" s="161"/>
      <c r="CR263" s="161"/>
      <c r="CS263" s="161"/>
      <c r="CT263" s="161"/>
      <c r="CU263" s="161"/>
      <c r="CV263" s="161"/>
      <c r="CW263" s="161"/>
      <c r="CX263" s="161"/>
      <c r="CY263" s="161"/>
      <c r="CZ263" s="161"/>
      <c r="DA263" s="161"/>
      <c r="DB263" s="161"/>
      <c r="DC263" s="161"/>
      <c r="DD263" s="161"/>
      <c r="DE263" s="161"/>
      <c r="DF263" s="161"/>
      <c r="DG263" s="161"/>
      <c r="DH263" s="161"/>
      <c r="DI263" s="161"/>
      <c r="DJ263" s="161"/>
      <c r="DK263" s="177"/>
      <c r="DL263" s="177"/>
      <c r="DM263" s="177"/>
      <c r="DN263" s="177"/>
      <c r="DO263" s="177"/>
      <c r="DP263" s="177"/>
      <c r="DQ263" s="177"/>
      <c r="DR263" s="177"/>
      <c r="DS263" s="177"/>
      <c r="DT263" s="177"/>
      <c r="DU263" s="177"/>
      <c r="DV263" s="177"/>
      <c r="DW263" s="177"/>
      <c r="DX263" s="177"/>
      <c r="DY263" s="177"/>
      <c r="DZ263" s="177"/>
      <c r="EA263" s="177"/>
      <c r="EB263" s="177"/>
      <c r="EC263" s="177"/>
      <c r="ED263" s="177"/>
      <c r="EF263" s="161"/>
      <c r="EH263" s="161"/>
      <c r="EM263" s="161"/>
      <c r="EN263" s="161"/>
      <c r="EO263" s="161"/>
      <c r="EP263" s="161"/>
      <c r="FL263" s="161"/>
      <c r="FM263" s="161"/>
      <c r="FN263" s="161"/>
      <c r="FO263" s="161"/>
      <c r="FP263" s="161"/>
      <c r="FQ263" s="161"/>
      <c r="FR263" s="161"/>
      <c r="FS263" s="161"/>
      <c r="FT263" s="161"/>
      <c r="FU263" s="161"/>
      <c r="FV263" s="161"/>
      <c r="FW263" s="667"/>
      <c r="FX263" s="667"/>
      <c r="FY263" s="161"/>
      <c r="FZ263" s="161"/>
      <c r="GA263" s="161"/>
      <c r="GB263" s="161"/>
      <c r="GC263" s="177"/>
      <c r="GD263" s="161"/>
      <c r="GE263" s="177"/>
    </row>
    <row r="264" spans="1:187">
      <c r="A264" s="161"/>
      <c r="B264" s="161"/>
      <c r="C264" s="161"/>
      <c r="D264" s="161"/>
      <c r="E264" s="161"/>
      <c r="F264" s="161"/>
      <c r="G264" s="161"/>
      <c r="H264" s="161"/>
      <c r="I264" s="161"/>
      <c r="J264" s="161"/>
      <c r="K264" s="161"/>
      <c r="L264" s="161"/>
      <c r="M264" s="161"/>
      <c r="N264" s="161"/>
      <c r="O264" s="161"/>
      <c r="P264" s="161"/>
      <c r="Q264" s="161"/>
      <c r="R264" s="161"/>
      <c r="S264" s="161"/>
      <c r="T264" s="161"/>
      <c r="U264" s="161"/>
      <c r="V264" s="161"/>
      <c r="W264" s="161"/>
      <c r="X264" s="161"/>
      <c r="Y264" s="161"/>
      <c r="Z264" s="161"/>
      <c r="AA264" s="161"/>
      <c r="AB264" s="161"/>
      <c r="AC264" s="161"/>
      <c r="AD264" s="161"/>
      <c r="AE264" s="161"/>
      <c r="AF264" s="161"/>
      <c r="AG264" s="161"/>
      <c r="AH264" s="161"/>
      <c r="AI264" s="161"/>
      <c r="AJ264" s="161"/>
      <c r="AK264" s="161"/>
      <c r="AL264" s="161"/>
      <c r="AM264" s="161"/>
      <c r="AN264" s="161"/>
      <c r="AO264" s="161"/>
      <c r="AP264" s="161"/>
      <c r="AQ264" s="161"/>
      <c r="AR264" s="161"/>
      <c r="AS264" s="161"/>
      <c r="AT264" s="161"/>
      <c r="AU264" s="161"/>
      <c r="AV264" s="161"/>
      <c r="AW264" s="161"/>
      <c r="AX264" s="161"/>
      <c r="AY264" s="161"/>
      <c r="AZ264" s="161"/>
      <c r="BA264" s="161"/>
      <c r="BB264" s="161"/>
      <c r="BC264" s="161"/>
      <c r="BD264" s="161"/>
      <c r="BE264" s="161"/>
      <c r="BF264" s="161"/>
      <c r="BG264" s="161"/>
      <c r="BH264" s="161"/>
      <c r="BI264" s="161"/>
      <c r="BJ264" s="161"/>
      <c r="BK264" s="161"/>
      <c r="BL264" s="161"/>
      <c r="BM264" s="161"/>
      <c r="BN264" s="161"/>
      <c r="BO264" s="161"/>
      <c r="BP264" s="161"/>
      <c r="BQ264" s="161"/>
      <c r="BR264" s="161"/>
      <c r="BS264" s="161"/>
      <c r="BT264" s="161"/>
      <c r="BU264" s="161"/>
      <c r="BV264" s="161"/>
      <c r="BW264" s="161"/>
      <c r="BX264" s="161"/>
      <c r="BY264" s="161"/>
      <c r="BZ264" s="161"/>
      <c r="CA264" s="161"/>
      <c r="CB264" s="161"/>
      <c r="CC264" s="161"/>
      <c r="CD264" s="161"/>
      <c r="CE264" s="161"/>
      <c r="CF264" s="161"/>
      <c r="CG264" s="161"/>
      <c r="CH264" s="161"/>
      <c r="CI264" s="161"/>
      <c r="CJ264" s="161"/>
      <c r="CK264" s="161"/>
      <c r="CL264" s="161"/>
      <c r="CM264" s="161"/>
      <c r="CN264" s="161"/>
      <c r="CO264" s="161"/>
      <c r="CP264" s="161"/>
      <c r="CQ264" s="161"/>
      <c r="CR264" s="161"/>
      <c r="CS264" s="161"/>
      <c r="CT264" s="161"/>
      <c r="CU264" s="161"/>
      <c r="CV264" s="161"/>
      <c r="CW264" s="161"/>
      <c r="CX264" s="161"/>
      <c r="CY264" s="161"/>
      <c r="CZ264" s="161"/>
      <c r="DA264" s="161"/>
      <c r="DB264" s="161"/>
      <c r="DC264" s="161"/>
      <c r="DD264" s="161"/>
      <c r="DE264" s="161"/>
      <c r="DF264" s="161"/>
      <c r="DG264" s="161"/>
      <c r="DH264" s="161"/>
      <c r="DI264" s="161"/>
      <c r="DJ264" s="161"/>
      <c r="DK264" s="177"/>
      <c r="DL264" s="177"/>
      <c r="DM264" s="177"/>
      <c r="DN264" s="177"/>
      <c r="DO264" s="177"/>
      <c r="DP264" s="177"/>
      <c r="DQ264" s="177"/>
      <c r="DR264" s="177"/>
      <c r="DS264" s="177"/>
      <c r="DT264" s="177"/>
      <c r="DU264" s="177"/>
      <c r="DV264" s="177"/>
      <c r="DW264" s="177"/>
      <c r="DX264" s="177"/>
      <c r="DY264" s="177"/>
      <c r="DZ264" s="177"/>
      <c r="EA264" s="177"/>
      <c r="EB264" s="177"/>
      <c r="EC264" s="177"/>
      <c r="ED264" s="177"/>
      <c r="EF264" s="161"/>
      <c r="EH264" s="161"/>
      <c r="EM264" s="161"/>
      <c r="EN264" s="161"/>
      <c r="EO264" s="161"/>
      <c r="EP264" s="161"/>
      <c r="FL264" s="161"/>
      <c r="FM264" s="161"/>
      <c r="FN264" s="161"/>
      <c r="FO264" s="161"/>
      <c r="FP264" s="161"/>
      <c r="FQ264" s="161"/>
      <c r="FR264" s="161"/>
      <c r="FS264" s="161"/>
      <c r="FT264" s="161"/>
      <c r="FU264" s="161"/>
      <c r="FV264" s="161"/>
      <c r="FW264" s="667"/>
      <c r="FX264" s="667"/>
      <c r="FY264" s="161"/>
      <c r="FZ264" s="161"/>
      <c r="GA264" s="161"/>
      <c r="GB264" s="161"/>
      <c r="GC264" s="177"/>
      <c r="GD264" s="161"/>
      <c r="GE264" s="177"/>
    </row>
    <row r="265" spans="1:187">
      <c r="A265" s="161"/>
      <c r="B265" s="161"/>
      <c r="C265" s="161"/>
      <c r="D265" s="161"/>
      <c r="E265" s="161"/>
      <c r="F265" s="161"/>
      <c r="G265" s="161"/>
      <c r="H265" s="161"/>
      <c r="I265" s="161"/>
      <c r="J265" s="161"/>
      <c r="K265" s="161"/>
      <c r="L265" s="161"/>
      <c r="M265" s="161"/>
      <c r="N265" s="161"/>
      <c r="O265" s="161"/>
      <c r="P265" s="161"/>
      <c r="Q265" s="161"/>
      <c r="R265" s="161"/>
      <c r="S265" s="161"/>
      <c r="T265" s="161"/>
      <c r="U265" s="161"/>
      <c r="V265" s="161"/>
      <c r="W265" s="161"/>
      <c r="X265" s="161"/>
      <c r="Y265" s="161"/>
      <c r="Z265" s="161"/>
      <c r="AA265" s="161"/>
      <c r="AB265" s="161"/>
      <c r="AC265" s="161"/>
      <c r="AD265" s="161"/>
      <c r="AE265" s="161"/>
      <c r="AF265" s="161"/>
      <c r="AG265" s="161"/>
      <c r="AH265" s="161"/>
      <c r="AI265" s="161"/>
      <c r="AJ265" s="161"/>
      <c r="AK265" s="161"/>
      <c r="AL265" s="161"/>
      <c r="AM265" s="161"/>
      <c r="AN265" s="161"/>
      <c r="AO265" s="161"/>
      <c r="AP265" s="161"/>
      <c r="AQ265" s="161"/>
      <c r="AR265" s="161"/>
      <c r="AS265" s="161"/>
      <c r="AT265" s="161"/>
      <c r="AU265" s="161"/>
      <c r="AV265" s="161"/>
      <c r="AW265" s="161"/>
      <c r="AX265" s="161"/>
      <c r="AY265" s="161"/>
      <c r="AZ265" s="161"/>
      <c r="BA265" s="161"/>
      <c r="BB265" s="161"/>
      <c r="BC265" s="161"/>
      <c r="BD265" s="161"/>
      <c r="BE265" s="161"/>
      <c r="BF265" s="161"/>
      <c r="BG265" s="161"/>
      <c r="BH265" s="161"/>
      <c r="BI265" s="161"/>
      <c r="BJ265" s="161"/>
      <c r="BK265" s="161"/>
      <c r="BL265" s="161"/>
      <c r="BM265" s="161"/>
      <c r="BN265" s="161"/>
      <c r="BO265" s="161"/>
      <c r="BP265" s="161"/>
      <c r="BQ265" s="161"/>
      <c r="BR265" s="161"/>
      <c r="BS265" s="161"/>
      <c r="BT265" s="161"/>
      <c r="BU265" s="161"/>
      <c r="BV265" s="161"/>
      <c r="BW265" s="161"/>
      <c r="BX265" s="161"/>
      <c r="BY265" s="161"/>
      <c r="BZ265" s="161"/>
      <c r="CA265" s="161"/>
      <c r="CB265" s="161"/>
      <c r="CC265" s="161"/>
      <c r="CD265" s="161"/>
      <c r="CE265" s="161"/>
      <c r="CF265" s="161"/>
      <c r="CG265" s="161"/>
      <c r="CH265" s="161"/>
      <c r="CI265" s="161"/>
      <c r="CJ265" s="161"/>
      <c r="CK265" s="161"/>
      <c r="CL265" s="161"/>
      <c r="CM265" s="161"/>
      <c r="CN265" s="161"/>
      <c r="CO265" s="161"/>
      <c r="CP265" s="161"/>
      <c r="CQ265" s="161"/>
      <c r="CR265" s="161"/>
      <c r="CS265" s="161"/>
      <c r="CT265" s="161"/>
      <c r="CU265" s="161"/>
      <c r="CV265" s="161"/>
      <c r="CW265" s="161"/>
      <c r="CX265" s="161"/>
      <c r="CY265" s="161"/>
      <c r="CZ265" s="161"/>
      <c r="DA265" s="161"/>
      <c r="DB265" s="161"/>
      <c r="DC265" s="161"/>
      <c r="DD265" s="161"/>
      <c r="DE265" s="161"/>
      <c r="DF265" s="161"/>
      <c r="DG265" s="161"/>
      <c r="DH265" s="161"/>
      <c r="DI265" s="161"/>
      <c r="DJ265" s="161"/>
      <c r="DK265" s="177"/>
      <c r="DL265" s="177"/>
      <c r="DM265" s="177"/>
      <c r="DN265" s="177"/>
      <c r="DO265" s="177"/>
      <c r="DP265" s="177"/>
      <c r="DQ265" s="177"/>
      <c r="DR265" s="177"/>
      <c r="DS265" s="177"/>
      <c r="DT265" s="177"/>
      <c r="DU265" s="177"/>
      <c r="DV265" s="177"/>
      <c r="DW265" s="177"/>
      <c r="DX265" s="177"/>
      <c r="DY265" s="177"/>
      <c r="DZ265" s="177"/>
      <c r="EA265" s="177"/>
      <c r="EB265" s="177"/>
      <c r="EC265" s="177"/>
      <c r="ED265" s="177"/>
      <c r="EF265" s="161"/>
      <c r="EH265" s="161"/>
      <c r="EM265" s="161"/>
      <c r="EN265" s="161"/>
      <c r="EO265" s="161"/>
      <c r="EP265" s="161"/>
      <c r="FL265" s="161"/>
      <c r="FM265" s="161"/>
      <c r="FN265" s="161"/>
      <c r="FO265" s="161"/>
      <c r="FP265" s="161"/>
      <c r="FQ265" s="161"/>
      <c r="FR265" s="161"/>
      <c r="FS265" s="161"/>
      <c r="FT265" s="161"/>
      <c r="FU265" s="161"/>
      <c r="FV265" s="161"/>
      <c r="FW265" s="667"/>
      <c r="FX265" s="667"/>
      <c r="FY265" s="161"/>
      <c r="FZ265" s="161"/>
      <c r="GA265" s="161"/>
      <c r="GB265" s="161"/>
      <c r="GC265" s="177"/>
      <c r="GD265" s="161"/>
      <c r="GE265" s="177"/>
    </row>
    <row r="266" spans="1:187">
      <c r="A266" s="161"/>
      <c r="B266" s="161"/>
      <c r="C266" s="161"/>
      <c r="D266" s="161"/>
      <c r="E266" s="161"/>
      <c r="F266" s="161"/>
      <c r="G266" s="161"/>
      <c r="H266" s="161"/>
      <c r="I266" s="161"/>
      <c r="J266" s="161"/>
      <c r="K266" s="161"/>
      <c r="L266" s="161"/>
      <c r="M266" s="161"/>
      <c r="N266" s="161"/>
      <c r="O266" s="161"/>
      <c r="P266" s="161"/>
      <c r="Q266" s="161"/>
      <c r="R266" s="161"/>
      <c r="S266" s="161"/>
      <c r="T266" s="161"/>
      <c r="U266" s="161"/>
      <c r="V266" s="161"/>
      <c r="W266" s="161"/>
      <c r="X266" s="161"/>
      <c r="Y266" s="161"/>
      <c r="Z266" s="161"/>
      <c r="AA266" s="161"/>
      <c r="AB266" s="161"/>
      <c r="AC266" s="161"/>
      <c r="AD266" s="161"/>
      <c r="AE266" s="161"/>
      <c r="AF266" s="161"/>
      <c r="AG266" s="161"/>
      <c r="AH266" s="161"/>
      <c r="AI266" s="161"/>
      <c r="AJ266" s="161"/>
      <c r="AK266" s="161"/>
      <c r="AL266" s="161"/>
      <c r="AM266" s="161"/>
      <c r="AN266" s="161"/>
      <c r="AO266" s="161"/>
      <c r="AP266" s="161"/>
      <c r="AQ266" s="161"/>
      <c r="AR266" s="161"/>
      <c r="AS266" s="161"/>
      <c r="AT266" s="161"/>
      <c r="AU266" s="161"/>
      <c r="AV266" s="161"/>
      <c r="AW266" s="161"/>
      <c r="AX266" s="161"/>
      <c r="AY266" s="161"/>
      <c r="AZ266" s="161"/>
      <c r="BA266" s="161"/>
      <c r="BB266" s="161"/>
      <c r="BC266" s="161"/>
      <c r="BD266" s="161"/>
      <c r="BE266" s="161"/>
      <c r="BF266" s="161"/>
      <c r="BG266" s="161"/>
      <c r="BH266" s="161"/>
      <c r="BI266" s="161"/>
      <c r="BJ266" s="161"/>
      <c r="BK266" s="161"/>
      <c r="BL266" s="161"/>
      <c r="BM266" s="161"/>
      <c r="BN266" s="161"/>
      <c r="BO266" s="161"/>
      <c r="BP266" s="161"/>
      <c r="BQ266" s="161"/>
      <c r="BR266" s="161"/>
      <c r="BS266" s="161"/>
      <c r="BT266" s="161"/>
      <c r="BU266" s="161"/>
      <c r="BV266" s="161"/>
      <c r="BW266" s="161"/>
      <c r="BX266" s="161"/>
      <c r="BY266" s="161"/>
      <c r="BZ266" s="161"/>
      <c r="CA266" s="161"/>
      <c r="CB266" s="161"/>
      <c r="CC266" s="161"/>
      <c r="CD266" s="161"/>
      <c r="CE266" s="161"/>
      <c r="CF266" s="161"/>
      <c r="CG266" s="161"/>
      <c r="CH266" s="161"/>
      <c r="CI266" s="161"/>
      <c r="CJ266" s="161"/>
      <c r="CK266" s="161"/>
      <c r="CL266" s="161"/>
      <c r="CM266" s="161"/>
      <c r="CN266" s="161"/>
      <c r="CO266" s="161"/>
      <c r="CP266" s="161"/>
      <c r="CQ266" s="161"/>
      <c r="CR266" s="161"/>
      <c r="CS266" s="161"/>
      <c r="CT266" s="161"/>
      <c r="CU266" s="161"/>
      <c r="CV266" s="161"/>
      <c r="CW266" s="161"/>
      <c r="CX266" s="161"/>
      <c r="CY266" s="161"/>
      <c r="CZ266" s="161"/>
      <c r="DA266" s="161"/>
      <c r="DB266" s="161"/>
      <c r="DC266" s="161"/>
      <c r="DD266" s="161"/>
      <c r="DE266" s="161"/>
      <c r="DF266" s="161"/>
      <c r="DG266" s="161"/>
      <c r="DH266" s="161"/>
      <c r="DI266" s="161"/>
      <c r="DJ266" s="161"/>
      <c r="DK266" s="177"/>
      <c r="DL266" s="177"/>
      <c r="DM266" s="177"/>
      <c r="DN266" s="177"/>
      <c r="DO266" s="177"/>
      <c r="DP266" s="177"/>
      <c r="DQ266" s="177"/>
      <c r="DR266" s="177"/>
      <c r="DS266" s="177"/>
      <c r="DT266" s="177"/>
      <c r="DU266" s="177"/>
      <c r="DV266" s="177"/>
      <c r="DW266" s="177"/>
      <c r="DX266" s="177"/>
      <c r="DY266" s="177"/>
      <c r="DZ266" s="177"/>
      <c r="EA266" s="177"/>
      <c r="EB266" s="177"/>
      <c r="EC266" s="177"/>
      <c r="ED266" s="177"/>
      <c r="EF266" s="161"/>
      <c r="EH266" s="161"/>
      <c r="EM266" s="161"/>
      <c r="EN266" s="161"/>
      <c r="EO266" s="161"/>
      <c r="EP266" s="161"/>
      <c r="FL266" s="161"/>
      <c r="FM266" s="161"/>
      <c r="FN266" s="161"/>
      <c r="FO266" s="161"/>
      <c r="FP266" s="161"/>
      <c r="FQ266" s="161"/>
      <c r="FR266" s="161"/>
      <c r="FS266" s="161"/>
      <c r="FT266" s="161"/>
      <c r="FU266" s="161"/>
      <c r="FV266" s="161"/>
      <c r="FW266" s="667"/>
      <c r="FX266" s="667"/>
      <c r="FY266" s="161"/>
      <c r="FZ266" s="161"/>
      <c r="GA266" s="161"/>
      <c r="GB266" s="161"/>
      <c r="GC266" s="177"/>
      <c r="GD266" s="161"/>
      <c r="GE266" s="177"/>
    </row>
    <row r="267" spans="1:187">
      <c r="A267" s="161"/>
      <c r="B267" s="161"/>
      <c r="C267" s="161"/>
      <c r="D267" s="161"/>
      <c r="E267" s="161"/>
      <c r="F267" s="161"/>
      <c r="G267" s="161"/>
      <c r="H267" s="161"/>
      <c r="I267" s="161"/>
      <c r="J267" s="161"/>
      <c r="K267" s="161"/>
      <c r="L267" s="161"/>
      <c r="M267" s="161"/>
      <c r="N267" s="161"/>
      <c r="O267" s="161"/>
      <c r="P267" s="161"/>
      <c r="Q267" s="161"/>
      <c r="R267" s="161"/>
      <c r="S267" s="161"/>
      <c r="T267" s="161"/>
      <c r="U267" s="161"/>
      <c r="V267" s="161"/>
      <c r="W267" s="161"/>
      <c r="X267" s="161"/>
      <c r="Y267" s="161"/>
      <c r="Z267" s="161"/>
      <c r="AA267" s="161"/>
      <c r="AB267" s="161"/>
      <c r="AC267" s="161"/>
      <c r="AD267" s="161"/>
      <c r="AE267" s="161"/>
      <c r="AF267" s="161"/>
      <c r="AG267" s="161"/>
      <c r="AH267" s="161"/>
      <c r="AI267" s="161"/>
      <c r="AJ267" s="161"/>
      <c r="AK267" s="161"/>
      <c r="AL267" s="161"/>
      <c r="AM267" s="161"/>
      <c r="AN267" s="161"/>
      <c r="AO267" s="161"/>
      <c r="AP267" s="161"/>
      <c r="AQ267" s="161"/>
      <c r="AR267" s="161"/>
      <c r="AS267" s="161"/>
      <c r="AT267" s="161"/>
      <c r="AU267" s="161"/>
      <c r="AV267" s="161"/>
      <c r="AW267" s="161"/>
      <c r="AX267" s="161"/>
      <c r="AY267" s="161"/>
      <c r="AZ267" s="161"/>
      <c r="BA267" s="161"/>
      <c r="BB267" s="161"/>
      <c r="BC267" s="161"/>
      <c r="BD267" s="161"/>
      <c r="BE267" s="161"/>
      <c r="BF267" s="161"/>
      <c r="BG267" s="161"/>
      <c r="BH267" s="161"/>
      <c r="BI267" s="161"/>
      <c r="BJ267" s="161"/>
      <c r="BK267" s="161"/>
      <c r="BL267" s="161"/>
      <c r="BM267" s="161"/>
      <c r="BN267" s="161"/>
      <c r="BO267" s="161"/>
      <c r="BP267" s="161"/>
      <c r="BQ267" s="161"/>
      <c r="BR267" s="161"/>
      <c r="BS267" s="161"/>
      <c r="BT267" s="161"/>
      <c r="BU267" s="161"/>
      <c r="BV267" s="161"/>
      <c r="BW267" s="161"/>
      <c r="BX267" s="161"/>
      <c r="BY267" s="161"/>
      <c r="BZ267" s="161"/>
      <c r="CA267" s="161"/>
      <c r="CB267" s="161"/>
      <c r="CC267" s="161"/>
      <c r="CD267" s="161"/>
      <c r="CE267" s="161"/>
      <c r="CF267" s="161"/>
      <c r="CG267" s="161"/>
      <c r="CH267" s="161"/>
      <c r="CI267" s="161"/>
      <c r="CJ267" s="161"/>
      <c r="CK267" s="161"/>
      <c r="CL267" s="161"/>
      <c r="CM267" s="161"/>
      <c r="CN267" s="161"/>
      <c r="CO267" s="161"/>
      <c r="CP267" s="161"/>
      <c r="CQ267" s="161"/>
      <c r="CR267" s="161"/>
      <c r="CS267" s="161"/>
      <c r="CT267" s="161"/>
      <c r="CU267" s="161"/>
      <c r="CV267" s="161"/>
      <c r="CW267" s="161"/>
      <c r="CX267" s="161"/>
      <c r="CY267" s="161"/>
      <c r="CZ267" s="161"/>
      <c r="DA267" s="161"/>
      <c r="DB267" s="161"/>
      <c r="DC267" s="161"/>
      <c r="DD267" s="161"/>
      <c r="DE267" s="161"/>
      <c r="DF267" s="161"/>
      <c r="DG267" s="161"/>
      <c r="DH267" s="161"/>
      <c r="DI267" s="161"/>
      <c r="DJ267" s="161"/>
      <c r="DK267" s="177"/>
      <c r="DL267" s="177"/>
      <c r="DM267" s="177"/>
      <c r="DN267" s="177"/>
      <c r="DO267" s="177"/>
      <c r="DP267" s="177"/>
      <c r="DQ267" s="177"/>
      <c r="DR267" s="177"/>
      <c r="DS267" s="177"/>
      <c r="DT267" s="177"/>
      <c r="DU267" s="177"/>
      <c r="DV267" s="177"/>
      <c r="DW267" s="177"/>
      <c r="DX267" s="177"/>
      <c r="DY267" s="177"/>
      <c r="DZ267" s="177"/>
      <c r="EA267" s="177"/>
      <c r="EB267" s="177"/>
      <c r="EC267" s="177"/>
      <c r="ED267" s="177"/>
      <c r="EF267" s="161"/>
      <c r="EH267" s="161"/>
      <c r="EM267" s="161"/>
      <c r="EN267" s="161"/>
      <c r="EO267" s="161"/>
      <c r="EP267" s="161"/>
      <c r="FL267" s="161"/>
      <c r="FM267" s="161"/>
      <c r="FN267" s="161"/>
      <c r="FO267" s="161"/>
      <c r="FP267" s="161"/>
      <c r="FQ267" s="161"/>
      <c r="FR267" s="161"/>
      <c r="FS267" s="161"/>
      <c r="FT267" s="161"/>
      <c r="FU267" s="161"/>
      <c r="FV267" s="161"/>
      <c r="FW267" s="667"/>
      <c r="FX267" s="667"/>
      <c r="FY267" s="161"/>
      <c r="FZ267" s="161"/>
      <c r="GA267" s="161"/>
      <c r="GB267" s="161"/>
      <c r="GC267" s="177"/>
      <c r="GD267" s="161"/>
      <c r="GE267" s="177"/>
    </row>
    <row r="268" spans="1:187">
      <c r="A268" s="161"/>
      <c r="B268" s="161"/>
      <c r="C268" s="161"/>
      <c r="D268" s="161"/>
      <c r="E268" s="161"/>
      <c r="F268" s="161"/>
      <c r="G268" s="161"/>
      <c r="H268" s="161"/>
      <c r="I268" s="161"/>
      <c r="J268" s="161"/>
      <c r="K268" s="161"/>
      <c r="L268" s="161"/>
      <c r="M268" s="161"/>
      <c r="N268" s="161"/>
      <c r="O268" s="161"/>
      <c r="P268" s="161"/>
      <c r="Q268" s="161"/>
      <c r="R268" s="161"/>
      <c r="S268" s="161"/>
      <c r="T268" s="161"/>
      <c r="U268" s="161"/>
      <c r="V268" s="161"/>
      <c r="W268" s="161"/>
      <c r="X268" s="161"/>
      <c r="Y268" s="161"/>
      <c r="Z268" s="161"/>
      <c r="AA268" s="161"/>
      <c r="AB268" s="161"/>
      <c r="AC268" s="161"/>
      <c r="AD268" s="161"/>
      <c r="AE268" s="161"/>
      <c r="AF268" s="161"/>
      <c r="AG268" s="161"/>
      <c r="AH268" s="161"/>
      <c r="AI268" s="161"/>
      <c r="AJ268" s="161"/>
      <c r="AK268" s="161"/>
      <c r="AL268" s="161"/>
      <c r="AM268" s="161"/>
      <c r="AN268" s="161"/>
      <c r="AO268" s="161"/>
      <c r="AP268" s="161"/>
      <c r="AQ268" s="161"/>
      <c r="AR268" s="161"/>
      <c r="AS268" s="161"/>
      <c r="AT268" s="161"/>
      <c r="AU268" s="161"/>
      <c r="AV268" s="161"/>
      <c r="AW268" s="161"/>
      <c r="AX268" s="161"/>
      <c r="AY268" s="161"/>
      <c r="AZ268" s="161"/>
      <c r="BA268" s="161"/>
      <c r="BB268" s="161"/>
      <c r="BC268" s="161"/>
      <c r="BD268" s="161"/>
      <c r="BE268" s="161"/>
      <c r="BF268" s="161"/>
      <c r="BG268" s="161"/>
      <c r="BH268" s="161"/>
      <c r="BI268" s="161"/>
      <c r="BJ268" s="161"/>
      <c r="BK268" s="161"/>
      <c r="BL268" s="161"/>
      <c r="BM268" s="161"/>
      <c r="BN268" s="161"/>
      <c r="BO268" s="161"/>
      <c r="BP268" s="161"/>
      <c r="BQ268" s="161"/>
      <c r="BR268" s="161"/>
      <c r="BS268" s="161"/>
      <c r="BT268" s="161"/>
      <c r="BU268" s="161"/>
      <c r="BV268" s="161"/>
      <c r="BW268" s="161"/>
      <c r="BX268" s="161"/>
      <c r="BY268" s="161"/>
      <c r="BZ268" s="161"/>
      <c r="CA268" s="161"/>
      <c r="CB268" s="161"/>
      <c r="CC268" s="161"/>
      <c r="CD268" s="161"/>
      <c r="CE268" s="161"/>
      <c r="CF268" s="161"/>
      <c r="CG268" s="161"/>
      <c r="CH268" s="161"/>
      <c r="CI268" s="161"/>
      <c r="CJ268" s="161"/>
      <c r="CK268" s="161"/>
      <c r="CL268" s="161"/>
      <c r="CM268" s="161"/>
      <c r="CN268" s="161"/>
      <c r="CO268" s="161"/>
      <c r="CP268" s="161"/>
      <c r="CQ268" s="161"/>
      <c r="CR268" s="161"/>
      <c r="CS268" s="161"/>
      <c r="CT268" s="161"/>
      <c r="CU268" s="161"/>
      <c r="CV268" s="161"/>
      <c r="CW268" s="161"/>
      <c r="CX268" s="161"/>
      <c r="CY268" s="161"/>
      <c r="CZ268" s="161"/>
      <c r="DA268" s="161"/>
      <c r="DB268" s="161"/>
      <c r="DC268" s="161"/>
      <c r="DD268" s="161"/>
      <c r="DE268" s="161"/>
      <c r="DF268" s="161"/>
      <c r="DG268" s="161"/>
      <c r="DH268" s="161"/>
      <c r="DI268" s="161"/>
      <c r="DJ268" s="161"/>
      <c r="DK268" s="177"/>
      <c r="DL268" s="177"/>
      <c r="DM268" s="177"/>
      <c r="DN268" s="177"/>
      <c r="DO268" s="177"/>
      <c r="DP268" s="177"/>
      <c r="DQ268" s="177"/>
      <c r="DR268" s="177"/>
      <c r="DS268" s="177"/>
      <c r="DT268" s="177"/>
      <c r="DU268" s="177"/>
      <c r="DV268" s="177"/>
      <c r="DW268" s="177"/>
      <c r="DX268" s="177"/>
      <c r="DY268" s="177"/>
      <c r="DZ268" s="177"/>
      <c r="EA268" s="177"/>
      <c r="EB268" s="177"/>
      <c r="EC268" s="177"/>
      <c r="ED268" s="177"/>
      <c r="EF268" s="161"/>
      <c r="EH268" s="161"/>
      <c r="EM268" s="161"/>
      <c r="EN268" s="161"/>
      <c r="EO268" s="161"/>
      <c r="EP268" s="161"/>
      <c r="FL268" s="161"/>
      <c r="FM268" s="161"/>
      <c r="FN268" s="161"/>
      <c r="FO268" s="161"/>
      <c r="FP268" s="161"/>
      <c r="FQ268" s="161"/>
      <c r="FR268" s="161"/>
      <c r="FS268" s="161"/>
      <c r="FT268" s="161"/>
      <c r="FU268" s="161"/>
      <c r="FV268" s="161"/>
      <c r="FW268" s="667"/>
      <c r="FX268" s="667"/>
      <c r="FY268" s="161"/>
      <c r="FZ268" s="161"/>
      <c r="GA268" s="161"/>
      <c r="GB268" s="161"/>
      <c r="GC268" s="177"/>
      <c r="GD268" s="161"/>
      <c r="GE268" s="177"/>
    </row>
    <row r="269" spans="1:187">
      <c r="A269" s="161"/>
      <c r="B269" s="161"/>
      <c r="C269" s="161"/>
      <c r="D269" s="161"/>
      <c r="E269" s="161"/>
      <c r="F269" s="161"/>
      <c r="G269" s="161"/>
      <c r="H269" s="161"/>
      <c r="I269" s="161"/>
      <c r="J269" s="161"/>
      <c r="K269" s="161"/>
      <c r="L269" s="161"/>
      <c r="M269" s="161"/>
      <c r="N269" s="161"/>
      <c r="O269" s="161"/>
      <c r="P269" s="161"/>
      <c r="Q269" s="161"/>
      <c r="R269" s="161"/>
      <c r="S269" s="161"/>
      <c r="T269" s="161"/>
      <c r="U269" s="161"/>
      <c r="V269" s="161"/>
      <c r="W269" s="161"/>
      <c r="X269" s="161"/>
      <c r="Y269" s="161"/>
      <c r="Z269" s="161"/>
      <c r="AA269" s="161"/>
      <c r="AB269" s="161"/>
      <c r="AC269" s="161"/>
      <c r="AD269" s="161"/>
      <c r="AE269" s="161"/>
      <c r="AF269" s="161"/>
      <c r="AG269" s="161"/>
      <c r="AH269" s="161"/>
      <c r="AI269" s="161"/>
      <c r="AJ269" s="161"/>
      <c r="AK269" s="161"/>
      <c r="AL269" s="161"/>
      <c r="AM269" s="161"/>
      <c r="AN269" s="161"/>
      <c r="AO269" s="161"/>
      <c r="AP269" s="161"/>
      <c r="AQ269" s="161"/>
      <c r="AR269" s="161"/>
      <c r="AS269" s="161"/>
      <c r="AT269" s="161"/>
      <c r="AU269" s="161"/>
      <c r="AV269" s="161"/>
      <c r="AW269" s="161"/>
      <c r="AX269" s="161"/>
      <c r="AY269" s="161"/>
      <c r="AZ269" s="161"/>
      <c r="BA269" s="161"/>
      <c r="BB269" s="161"/>
      <c r="BC269" s="161"/>
      <c r="BD269" s="161"/>
      <c r="BE269" s="161"/>
      <c r="BF269" s="161"/>
      <c r="BG269" s="161"/>
      <c r="BH269" s="161"/>
      <c r="BI269" s="161"/>
      <c r="BJ269" s="161"/>
      <c r="BK269" s="161"/>
      <c r="BL269" s="161"/>
      <c r="BM269" s="161"/>
      <c r="BN269" s="161"/>
      <c r="BO269" s="161"/>
      <c r="BP269" s="161"/>
      <c r="BQ269" s="161"/>
      <c r="BR269" s="161"/>
      <c r="BS269" s="161"/>
      <c r="BT269" s="161"/>
      <c r="BU269" s="161"/>
      <c r="BV269" s="161"/>
      <c r="BW269" s="161"/>
      <c r="BX269" s="161"/>
      <c r="BY269" s="161"/>
      <c r="BZ269" s="161"/>
      <c r="CA269" s="161"/>
      <c r="CB269" s="161"/>
      <c r="CC269" s="161"/>
      <c r="CD269" s="161"/>
      <c r="CE269" s="161"/>
      <c r="CF269" s="161"/>
      <c r="CG269" s="161"/>
      <c r="CH269" s="161"/>
      <c r="CI269" s="161"/>
      <c r="CJ269" s="161"/>
      <c r="CK269" s="161"/>
      <c r="CL269" s="161"/>
      <c r="CM269" s="161"/>
      <c r="CN269" s="161"/>
      <c r="CO269" s="161"/>
      <c r="CP269" s="161"/>
      <c r="CQ269" s="161"/>
      <c r="CR269" s="161"/>
      <c r="CS269" s="161"/>
      <c r="CT269" s="161"/>
      <c r="CU269" s="161"/>
      <c r="CV269" s="161"/>
      <c r="CW269" s="161"/>
      <c r="CX269" s="161"/>
      <c r="CY269" s="161"/>
      <c r="CZ269" s="161"/>
      <c r="DA269" s="161"/>
      <c r="DB269" s="161"/>
      <c r="DC269" s="161"/>
      <c r="DD269" s="161"/>
      <c r="DE269" s="161"/>
      <c r="DF269" s="161"/>
      <c r="DG269" s="161"/>
      <c r="DH269" s="161"/>
      <c r="DI269" s="161"/>
      <c r="DJ269" s="161"/>
      <c r="DK269" s="177"/>
      <c r="DL269" s="177"/>
      <c r="DM269" s="177"/>
      <c r="DN269" s="177"/>
      <c r="DO269" s="177"/>
      <c r="DP269" s="177"/>
      <c r="DQ269" s="177"/>
      <c r="DR269" s="177"/>
      <c r="DS269" s="177"/>
      <c r="DT269" s="177"/>
      <c r="DU269" s="177"/>
      <c r="DV269" s="177"/>
      <c r="DW269" s="177"/>
      <c r="DX269" s="177"/>
      <c r="DY269" s="177"/>
      <c r="DZ269" s="177"/>
      <c r="EA269" s="177"/>
      <c r="EB269" s="177"/>
      <c r="EC269" s="177"/>
      <c r="ED269" s="177"/>
      <c r="EF269" s="161"/>
      <c r="EH269" s="161"/>
      <c r="EM269" s="161"/>
      <c r="EN269" s="161"/>
      <c r="EO269" s="161"/>
      <c r="EP269" s="161"/>
      <c r="FL269" s="161"/>
      <c r="FM269" s="161"/>
      <c r="FN269" s="161"/>
      <c r="FO269" s="161"/>
      <c r="FP269" s="161"/>
      <c r="FQ269" s="161"/>
      <c r="FR269" s="161"/>
      <c r="FS269" s="161"/>
      <c r="FT269" s="161"/>
      <c r="FU269" s="161"/>
      <c r="FV269" s="161"/>
      <c r="FW269" s="667"/>
      <c r="FX269" s="667"/>
      <c r="FY269" s="161"/>
      <c r="FZ269" s="161"/>
      <c r="GA269" s="161"/>
      <c r="GB269" s="161"/>
      <c r="GC269" s="177"/>
      <c r="GD269" s="161"/>
      <c r="GE269" s="177"/>
    </row>
    <row r="270" spans="1:187">
      <c r="A270" s="161"/>
      <c r="B270" s="161"/>
      <c r="C270" s="161"/>
      <c r="D270" s="161"/>
      <c r="E270" s="161"/>
      <c r="F270" s="161"/>
      <c r="G270" s="161"/>
      <c r="H270" s="161"/>
      <c r="I270" s="161"/>
      <c r="J270" s="161"/>
      <c r="K270" s="161"/>
      <c r="L270" s="161"/>
      <c r="M270" s="161"/>
      <c r="N270" s="161"/>
      <c r="O270" s="161"/>
      <c r="P270" s="161"/>
      <c r="Q270" s="161"/>
      <c r="R270" s="161"/>
      <c r="S270" s="161"/>
      <c r="T270" s="161"/>
      <c r="U270" s="161"/>
      <c r="V270" s="161"/>
      <c r="W270" s="161"/>
      <c r="X270" s="161"/>
      <c r="Y270" s="161"/>
      <c r="Z270" s="161"/>
      <c r="AA270" s="161"/>
      <c r="AB270" s="161"/>
      <c r="AC270" s="161"/>
      <c r="AD270" s="161"/>
      <c r="AE270" s="161"/>
      <c r="AF270" s="161"/>
      <c r="AG270" s="161"/>
      <c r="AH270" s="161"/>
      <c r="AI270" s="161"/>
      <c r="AJ270" s="161"/>
      <c r="AK270" s="161"/>
      <c r="AL270" s="161"/>
      <c r="AM270" s="161"/>
      <c r="AN270" s="161"/>
      <c r="AO270" s="161"/>
      <c r="AP270" s="161"/>
      <c r="AQ270" s="161"/>
      <c r="AR270" s="161"/>
      <c r="AS270" s="161"/>
      <c r="AT270" s="161"/>
      <c r="AU270" s="161"/>
      <c r="AV270" s="161"/>
      <c r="AW270" s="161"/>
      <c r="AX270" s="161"/>
      <c r="AY270" s="161"/>
      <c r="AZ270" s="161"/>
      <c r="BA270" s="161"/>
      <c r="BB270" s="161"/>
      <c r="BC270" s="161"/>
      <c r="BD270" s="161"/>
      <c r="BE270" s="161"/>
      <c r="BF270" s="161"/>
      <c r="BG270" s="161"/>
      <c r="BH270" s="161"/>
      <c r="BI270" s="161"/>
      <c r="BJ270" s="161"/>
      <c r="BK270" s="161"/>
      <c r="BL270" s="161"/>
      <c r="BM270" s="161"/>
      <c r="BN270" s="161"/>
      <c r="BO270" s="161"/>
      <c r="BP270" s="161"/>
      <c r="BQ270" s="161"/>
      <c r="BR270" s="161"/>
      <c r="BS270" s="161"/>
      <c r="BT270" s="161"/>
      <c r="BU270" s="161"/>
      <c r="BV270" s="161"/>
      <c r="BW270" s="161"/>
      <c r="BX270" s="161"/>
      <c r="BY270" s="161"/>
      <c r="BZ270" s="161"/>
      <c r="CA270" s="161"/>
      <c r="CB270" s="161"/>
      <c r="CC270" s="161"/>
      <c r="CD270" s="161"/>
      <c r="CE270" s="161"/>
      <c r="CF270" s="161"/>
      <c r="CG270" s="161"/>
      <c r="CH270" s="161"/>
      <c r="CI270" s="161"/>
      <c r="CJ270" s="161"/>
      <c r="CK270" s="161"/>
      <c r="CL270" s="161"/>
      <c r="CM270" s="161"/>
      <c r="CN270" s="161"/>
      <c r="CO270" s="161"/>
      <c r="CP270" s="161"/>
      <c r="CQ270" s="161"/>
      <c r="CR270" s="161"/>
      <c r="CS270" s="161"/>
      <c r="CT270" s="161"/>
      <c r="CU270" s="161"/>
      <c r="CV270" s="161"/>
      <c r="CW270" s="161"/>
      <c r="CX270" s="161"/>
      <c r="CY270" s="161"/>
      <c r="CZ270" s="161"/>
      <c r="DA270" s="161"/>
      <c r="DB270" s="161"/>
      <c r="DC270" s="161"/>
      <c r="DD270" s="161"/>
      <c r="DE270" s="161"/>
      <c r="DF270" s="161"/>
      <c r="DG270" s="161"/>
      <c r="DH270" s="161"/>
      <c r="DI270" s="161"/>
      <c r="DJ270" s="161"/>
      <c r="DK270" s="177"/>
      <c r="DL270" s="177"/>
      <c r="DM270" s="177"/>
      <c r="DN270" s="177"/>
      <c r="DO270" s="177"/>
      <c r="DP270" s="177"/>
      <c r="DQ270" s="177"/>
      <c r="DR270" s="177"/>
      <c r="DS270" s="177"/>
      <c r="DT270" s="177"/>
      <c r="DU270" s="177"/>
      <c r="DV270" s="177"/>
      <c r="DW270" s="177"/>
      <c r="DX270" s="177"/>
      <c r="DY270" s="177"/>
      <c r="DZ270" s="177"/>
      <c r="EA270" s="177"/>
      <c r="EB270" s="177"/>
      <c r="EC270" s="177"/>
      <c r="ED270" s="177"/>
      <c r="EF270" s="161"/>
      <c r="EH270" s="161"/>
      <c r="EM270" s="161"/>
      <c r="EN270" s="161"/>
      <c r="EO270" s="161"/>
      <c r="EP270" s="161"/>
      <c r="FL270" s="161"/>
      <c r="FM270" s="161"/>
      <c r="FN270" s="161"/>
      <c r="FO270" s="161"/>
      <c r="FP270" s="161"/>
      <c r="FQ270" s="161"/>
      <c r="FR270" s="161"/>
      <c r="FS270" s="161"/>
      <c r="FT270" s="161"/>
      <c r="FU270" s="161"/>
      <c r="FV270" s="161"/>
      <c r="FW270" s="667"/>
      <c r="FX270" s="667"/>
      <c r="FY270" s="161"/>
      <c r="FZ270" s="161"/>
      <c r="GA270" s="161"/>
      <c r="GB270" s="161"/>
      <c r="GC270" s="177"/>
      <c r="GD270" s="161"/>
      <c r="GE270" s="177"/>
    </row>
    <row r="271" spans="1:187">
      <c r="A271" s="161"/>
      <c r="B271" s="161"/>
      <c r="C271" s="161"/>
      <c r="D271" s="161"/>
      <c r="E271" s="161"/>
      <c r="F271" s="161"/>
      <c r="G271" s="161"/>
      <c r="H271" s="161"/>
      <c r="I271" s="161"/>
      <c r="J271" s="161"/>
      <c r="K271" s="161"/>
      <c r="L271" s="161"/>
      <c r="M271" s="161"/>
      <c r="N271" s="161"/>
      <c r="O271" s="161"/>
      <c r="P271" s="161"/>
      <c r="Q271" s="161"/>
      <c r="R271" s="161"/>
      <c r="S271" s="161"/>
      <c r="T271" s="161"/>
      <c r="U271" s="161"/>
      <c r="V271" s="161"/>
      <c r="W271" s="161"/>
      <c r="X271" s="161"/>
      <c r="Y271" s="161"/>
      <c r="Z271" s="161"/>
      <c r="AA271" s="161"/>
      <c r="AB271" s="161"/>
      <c r="AC271" s="161"/>
      <c r="AD271" s="161"/>
      <c r="AE271" s="161"/>
      <c r="AF271" s="161"/>
      <c r="AG271" s="161"/>
      <c r="AH271" s="161"/>
      <c r="AI271" s="161"/>
      <c r="AJ271" s="161"/>
      <c r="AK271" s="161"/>
      <c r="AL271" s="161"/>
      <c r="AM271" s="161"/>
      <c r="AN271" s="161"/>
      <c r="AO271" s="161"/>
      <c r="AP271" s="161"/>
      <c r="AQ271" s="161"/>
      <c r="AR271" s="161"/>
      <c r="AS271" s="161"/>
      <c r="AT271" s="161"/>
      <c r="AU271" s="161"/>
      <c r="AV271" s="161"/>
      <c r="AW271" s="161"/>
      <c r="AX271" s="161"/>
      <c r="AY271" s="161"/>
      <c r="AZ271" s="161"/>
      <c r="BA271" s="161"/>
      <c r="BB271" s="161"/>
      <c r="BC271" s="161"/>
      <c r="BD271" s="161"/>
      <c r="BE271" s="161"/>
      <c r="BF271" s="161"/>
      <c r="BG271" s="161"/>
      <c r="BH271" s="161"/>
      <c r="BI271" s="161"/>
      <c r="BJ271" s="161"/>
      <c r="BK271" s="161"/>
      <c r="BL271" s="161"/>
      <c r="BM271" s="161"/>
      <c r="BN271" s="161"/>
      <c r="BO271" s="161"/>
      <c r="BP271" s="161"/>
      <c r="BQ271" s="161"/>
      <c r="BR271" s="161"/>
      <c r="BS271" s="161"/>
      <c r="BT271" s="161"/>
      <c r="BU271" s="161"/>
      <c r="BV271" s="161"/>
      <c r="BW271" s="161"/>
      <c r="BX271" s="161"/>
      <c r="BY271" s="161"/>
      <c r="BZ271" s="161"/>
      <c r="CA271" s="161"/>
      <c r="CB271" s="161"/>
      <c r="CC271" s="161"/>
      <c r="CD271" s="161"/>
      <c r="CE271" s="161"/>
      <c r="CF271" s="161"/>
      <c r="CG271" s="161"/>
      <c r="CH271" s="161"/>
      <c r="CI271" s="161"/>
      <c r="CJ271" s="161"/>
      <c r="CK271" s="161"/>
      <c r="CL271" s="161"/>
      <c r="CM271" s="161"/>
      <c r="CN271" s="161"/>
      <c r="CO271" s="161"/>
      <c r="CP271" s="161"/>
      <c r="CQ271" s="161"/>
      <c r="CR271" s="161"/>
      <c r="CS271" s="161"/>
      <c r="CT271" s="161"/>
      <c r="CU271" s="161"/>
      <c r="CV271" s="161"/>
      <c r="CW271" s="161"/>
      <c r="CX271" s="161"/>
      <c r="CY271" s="161"/>
      <c r="CZ271" s="161"/>
      <c r="DA271" s="161"/>
      <c r="DB271" s="161"/>
      <c r="DC271" s="161"/>
      <c r="DD271" s="161"/>
      <c r="DE271" s="161"/>
      <c r="DF271" s="161"/>
      <c r="DG271" s="161"/>
      <c r="DH271" s="161"/>
      <c r="DI271" s="161"/>
      <c r="DJ271" s="161"/>
      <c r="DK271" s="177"/>
      <c r="DL271" s="177"/>
      <c r="DM271" s="177"/>
      <c r="DN271" s="177"/>
      <c r="DO271" s="177"/>
      <c r="DP271" s="177"/>
      <c r="DQ271" s="177"/>
      <c r="DR271" s="177"/>
      <c r="DS271" s="177"/>
      <c r="DT271" s="177"/>
      <c r="DU271" s="177"/>
      <c r="DV271" s="177"/>
      <c r="DW271" s="177"/>
      <c r="DX271" s="177"/>
      <c r="DY271" s="177"/>
      <c r="DZ271" s="177"/>
      <c r="EA271" s="177"/>
      <c r="EB271" s="177"/>
      <c r="EC271" s="177"/>
      <c r="ED271" s="177"/>
      <c r="EF271" s="161"/>
      <c r="EH271" s="161"/>
      <c r="EM271" s="161"/>
      <c r="EN271" s="161"/>
      <c r="EO271" s="161"/>
      <c r="EP271" s="161"/>
      <c r="FL271" s="161"/>
      <c r="FM271" s="161"/>
      <c r="FN271" s="161"/>
      <c r="FO271" s="161"/>
      <c r="FP271" s="161"/>
      <c r="FQ271" s="161"/>
      <c r="FR271" s="161"/>
      <c r="FS271" s="161"/>
      <c r="FT271" s="161"/>
      <c r="FU271" s="161"/>
      <c r="FV271" s="161"/>
      <c r="FW271" s="667"/>
      <c r="FX271" s="667"/>
      <c r="FY271" s="161"/>
      <c r="FZ271" s="161"/>
      <c r="GA271" s="161"/>
      <c r="GB271" s="161"/>
      <c r="GC271" s="177"/>
      <c r="GD271" s="161"/>
      <c r="GE271" s="177"/>
    </row>
    <row r="272" spans="1:187">
      <c r="A272" s="161"/>
      <c r="B272" s="161"/>
      <c r="C272" s="161"/>
      <c r="D272" s="161"/>
      <c r="E272" s="161"/>
      <c r="F272" s="161"/>
      <c r="G272" s="161"/>
      <c r="H272" s="161"/>
      <c r="I272" s="161"/>
      <c r="J272" s="161"/>
      <c r="K272" s="161"/>
      <c r="L272" s="161"/>
      <c r="M272" s="161"/>
      <c r="N272" s="161"/>
      <c r="O272" s="161"/>
      <c r="P272" s="161"/>
      <c r="Q272" s="161"/>
      <c r="R272" s="161"/>
      <c r="S272" s="161"/>
      <c r="T272" s="161"/>
      <c r="U272" s="161"/>
      <c r="V272" s="161"/>
      <c r="W272" s="161"/>
      <c r="X272" s="161"/>
      <c r="Y272" s="161"/>
      <c r="Z272" s="161"/>
      <c r="AA272" s="161"/>
      <c r="AB272" s="161"/>
      <c r="AC272" s="161"/>
      <c r="AD272" s="161"/>
      <c r="AE272" s="161"/>
      <c r="AF272" s="161"/>
      <c r="AG272" s="161"/>
      <c r="AH272" s="161"/>
      <c r="AI272" s="161"/>
      <c r="AJ272" s="161"/>
      <c r="AK272" s="161"/>
      <c r="AL272" s="161"/>
      <c r="AM272" s="161"/>
      <c r="AN272" s="161"/>
      <c r="AO272" s="161"/>
      <c r="AP272" s="161"/>
      <c r="AQ272" s="161"/>
      <c r="AR272" s="161"/>
      <c r="AS272" s="161"/>
      <c r="AT272" s="161"/>
      <c r="AU272" s="161"/>
      <c r="AV272" s="161"/>
      <c r="AW272" s="161"/>
      <c r="AX272" s="161"/>
      <c r="AY272" s="161"/>
      <c r="AZ272" s="161"/>
      <c r="BA272" s="161"/>
      <c r="BB272" s="161"/>
      <c r="BC272" s="161"/>
      <c r="BD272" s="161"/>
      <c r="BE272" s="161"/>
      <c r="BF272" s="161"/>
      <c r="BG272" s="161"/>
      <c r="BH272" s="161"/>
      <c r="BI272" s="161"/>
      <c r="BJ272" s="161"/>
      <c r="BK272" s="161"/>
      <c r="BL272" s="161"/>
      <c r="BM272" s="161"/>
      <c r="BN272" s="161"/>
      <c r="BO272" s="161"/>
      <c r="BP272" s="161"/>
      <c r="BQ272" s="161"/>
      <c r="BR272" s="161"/>
      <c r="BS272" s="161"/>
      <c r="BT272" s="161"/>
      <c r="BU272" s="161"/>
      <c r="BV272" s="161"/>
      <c r="BW272" s="161"/>
      <c r="BX272" s="161"/>
      <c r="BY272" s="161"/>
      <c r="BZ272" s="161"/>
      <c r="CA272" s="161"/>
      <c r="CB272" s="161"/>
      <c r="CC272" s="161"/>
      <c r="CD272" s="161"/>
      <c r="CE272" s="161"/>
      <c r="CF272" s="161"/>
      <c r="CG272" s="161"/>
      <c r="CH272" s="161"/>
      <c r="CI272" s="161"/>
      <c r="CJ272" s="161"/>
      <c r="CK272" s="161"/>
      <c r="CL272" s="161"/>
      <c r="CM272" s="161"/>
      <c r="CN272" s="161"/>
      <c r="CO272" s="161"/>
      <c r="CP272" s="161"/>
      <c r="CQ272" s="161"/>
      <c r="CR272" s="161"/>
      <c r="CS272" s="161"/>
      <c r="CT272" s="161"/>
      <c r="CU272" s="161"/>
      <c r="CV272" s="161"/>
      <c r="CW272" s="161"/>
      <c r="CX272" s="161"/>
      <c r="CY272" s="161"/>
      <c r="CZ272" s="161"/>
      <c r="DA272" s="161"/>
      <c r="DB272" s="161"/>
      <c r="DC272" s="161"/>
      <c r="DD272" s="161"/>
      <c r="DE272" s="161"/>
      <c r="DF272" s="161"/>
      <c r="DG272" s="161"/>
      <c r="DH272" s="161"/>
      <c r="DI272" s="161"/>
      <c r="DJ272" s="161"/>
      <c r="DK272" s="177"/>
      <c r="DL272" s="177"/>
      <c r="DM272" s="177"/>
      <c r="DN272" s="177"/>
      <c r="DO272" s="177"/>
      <c r="DP272" s="177"/>
      <c r="DQ272" s="177"/>
      <c r="DR272" s="177"/>
      <c r="DS272" s="177"/>
      <c r="DT272" s="177"/>
      <c r="DU272" s="177"/>
      <c r="DV272" s="177"/>
      <c r="DW272" s="177"/>
      <c r="DX272" s="177"/>
      <c r="DY272" s="177"/>
      <c r="DZ272" s="177"/>
      <c r="EA272" s="177"/>
      <c r="EB272" s="177"/>
      <c r="EC272" s="177"/>
      <c r="ED272" s="177"/>
      <c r="EF272" s="161"/>
      <c r="EH272" s="161"/>
      <c r="EM272" s="161"/>
      <c r="EN272" s="161"/>
      <c r="EO272" s="161"/>
      <c r="EP272" s="161"/>
      <c r="FL272" s="161"/>
      <c r="FM272" s="161"/>
      <c r="FN272" s="161"/>
      <c r="FO272" s="161"/>
      <c r="FP272" s="161"/>
      <c r="FQ272" s="161"/>
      <c r="FR272" s="161"/>
      <c r="FS272" s="161"/>
      <c r="FT272" s="161"/>
      <c r="FU272" s="161"/>
      <c r="FV272" s="161"/>
      <c r="FW272" s="667"/>
      <c r="FX272" s="667"/>
      <c r="FY272" s="161"/>
      <c r="FZ272" s="161"/>
      <c r="GA272" s="161"/>
      <c r="GB272" s="161"/>
      <c r="GC272" s="177"/>
      <c r="GD272" s="161"/>
      <c r="GE272" s="177"/>
    </row>
    <row r="273" spans="1:187">
      <c r="A273" s="161"/>
      <c r="B273" s="161"/>
      <c r="C273" s="161"/>
      <c r="D273" s="161"/>
      <c r="E273" s="161"/>
      <c r="F273" s="161"/>
      <c r="G273" s="161"/>
      <c r="H273" s="161"/>
      <c r="I273" s="161"/>
      <c r="J273" s="161"/>
      <c r="K273" s="161"/>
      <c r="L273" s="161"/>
      <c r="M273" s="161"/>
      <c r="N273" s="161"/>
      <c r="O273" s="161"/>
      <c r="P273" s="161"/>
      <c r="Q273" s="161"/>
      <c r="R273" s="161"/>
      <c r="S273" s="161"/>
      <c r="T273" s="161"/>
      <c r="U273" s="161"/>
      <c r="V273" s="161"/>
      <c r="W273" s="161"/>
      <c r="X273" s="161"/>
      <c r="Y273" s="161"/>
      <c r="Z273" s="161"/>
      <c r="AA273" s="161"/>
      <c r="AB273" s="161"/>
      <c r="AC273" s="161"/>
      <c r="AD273" s="161"/>
      <c r="AE273" s="161"/>
      <c r="AF273" s="161"/>
      <c r="AG273" s="161"/>
      <c r="AH273" s="161"/>
      <c r="AI273" s="161"/>
      <c r="AJ273" s="161"/>
      <c r="AK273" s="161"/>
      <c r="AL273" s="161"/>
      <c r="AM273" s="161"/>
      <c r="AN273" s="161"/>
      <c r="AO273" s="161"/>
      <c r="AP273" s="161"/>
      <c r="AQ273" s="161"/>
      <c r="AR273" s="161"/>
      <c r="AS273" s="161"/>
      <c r="AT273" s="161"/>
      <c r="AU273" s="161"/>
      <c r="AV273" s="161"/>
      <c r="AW273" s="161"/>
      <c r="AX273" s="161"/>
      <c r="AY273" s="161"/>
      <c r="AZ273" s="161"/>
      <c r="BA273" s="161"/>
      <c r="BB273" s="161"/>
      <c r="BC273" s="161"/>
      <c r="BD273" s="161"/>
      <c r="BE273" s="161"/>
      <c r="BF273" s="161"/>
      <c r="BG273" s="161"/>
      <c r="BH273" s="161"/>
      <c r="BI273" s="161"/>
      <c r="BJ273" s="161"/>
      <c r="BK273" s="161"/>
      <c r="BL273" s="161"/>
      <c r="BM273" s="161"/>
      <c r="BN273" s="161"/>
      <c r="BO273" s="161"/>
      <c r="BP273" s="161"/>
      <c r="BQ273" s="161"/>
      <c r="BR273" s="161"/>
      <c r="BS273" s="161"/>
      <c r="BT273" s="161"/>
      <c r="BU273" s="161"/>
      <c r="BV273" s="161"/>
      <c r="BW273" s="161"/>
      <c r="BX273" s="161"/>
      <c r="BY273" s="161"/>
      <c r="BZ273" s="161"/>
      <c r="CA273" s="161"/>
      <c r="CB273" s="161"/>
      <c r="CC273" s="161"/>
      <c r="CD273" s="161"/>
      <c r="CE273" s="161"/>
      <c r="CF273" s="161"/>
      <c r="CG273" s="161"/>
      <c r="CH273" s="161"/>
      <c r="CI273" s="161"/>
      <c r="CJ273" s="161"/>
      <c r="CK273" s="161"/>
      <c r="CL273" s="161"/>
      <c r="CM273" s="161"/>
      <c r="CN273" s="161"/>
      <c r="CO273" s="161"/>
      <c r="CP273" s="161"/>
      <c r="CQ273" s="161"/>
      <c r="CR273" s="161"/>
      <c r="CS273" s="161"/>
      <c r="CT273" s="161"/>
      <c r="CU273" s="161"/>
      <c r="CV273" s="161"/>
      <c r="CW273" s="161"/>
      <c r="CX273" s="161"/>
      <c r="CY273" s="161"/>
      <c r="CZ273" s="161"/>
      <c r="DA273" s="161"/>
      <c r="DB273" s="161"/>
      <c r="DC273" s="161"/>
      <c r="DD273" s="161"/>
      <c r="DE273" s="161"/>
      <c r="DF273" s="161"/>
      <c r="DG273" s="161"/>
      <c r="DH273" s="161"/>
      <c r="DI273" s="161"/>
      <c r="DJ273" s="161"/>
      <c r="DK273" s="177"/>
      <c r="DL273" s="177"/>
      <c r="DM273" s="177"/>
      <c r="DN273" s="177"/>
      <c r="DO273" s="177"/>
      <c r="DP273" s="177"/>
      <c r="DQ273" s="177"/>
      <c r="DR273" s="177"/>
      <c r="DS273" s="177"/>
      <c r="DT273" s="177"/>
      <c r="DU273" s="177"/>
      <c r="DV273" s="177"/>
      <c r="DW273" s="177"/>
      <c r="DX273" s="177"/>
      <c r="DY273" s="177"/>
      <c r="DZ273" s="177"/>
      <c r="EA273" s="177"/>
      <c r="EB273" s="177"/>
      <c r="EC273" s="177"/>
      <c r="ED273" s="177"/>
      <c r="EF273" s="161"/>
      <c r="EH273" s="161"/>
      <c r="EM273" s="161"/>
      <c r="EN273" s="161"/>
      <c r="EO273" s="161"/>
      <c r="EP273" s="161"/>
      <c r="FL273" s="161"/>
      <c r="FM273" s="161"/>
      <c r="FN273" s="161"/>
      <c r="FO273" s="161"/>
      <c r="FP273" s="161"/>
      <c r="FQ273" s="161"/>
      <c r="FR273" s="161"/>
      <c r="FS273" s="161"/>
      <c r="FT273" s="161"/>
      <c r="FU273" s="161"/>
      <c r="FV273" s="161"/>
      <c r="FW273" s="667"/>
      <c r="FX273" s="667"/>
      <c r="FY273" s="161"/>
      <c r="FZ273" s="161"/>
      <c r="GA273" s="161"/>
      <c r="GB273" s="161"/>
      <c r="GC273" s="177"/>
      <c r="GD273" s="161"/>
      <c r="GE273" s="177"/>
    </row>
    <row r="274" spans="1:187">
      <c r="A274" s="161"/>
      <c r="B274" s="161"/>
      <c r="C274" s="161"/>
      <c r="D274" s="161"/>
      <c r="E274" s="161"/>
      <c r="F274" s="161"/>
      <c r="G274" s="161"/>
      <c r="H274" s="161"/>
      <c r="I274" s="161"/>
      <c r="J274" s="161"/>
      <c r="K274" s="161"/>
      <c r="L274" s="161"/>
      <c r="M274" s="161"/>
      <c r="N274" s="161"/>
      <c r="O274" s="161"/>
      <c r="P274" s="161"/>
      <c r="Q274" s="161"/>
      <c r="R274" s="161"/>
      <c r="S274" s="161"/>
      <c r="T274" s="161"/>
      <c r="U274" s="161"/>
      <c r="V274" s="161"/>
      <c r="W274" s="161"/>
      <c r="X274" s="161"/>
      <c r="Y274" s="161"/>
      <c r="Z274" s="161"/>
      <c r="AA274" s="161"/>
      <c r="AB274" s="161"/>
      <c r="AC274" s="161"/>
      <c r="AD274" s="161"/>
      <c r="AE274" s="161"/>
      <c r="AF274" s="161"/>
      <c r="AG274" s="161"/>
      <c r="AH274" s="161"/>
      <c r="AI274" s="161"/>
      <c r="AJ274" s="161"/>
      <c r="AK274" s="161"/>
      <c r="AL274" s="161"/>
      <c r="AM274" s="161"/>
      <c r="AN274" s="161"/>
      <c r="AO274" s="161"/>
      <c r="AP274" s="161"/>
      <c r="AQ274" s="161"/>
      <c r="AR274" s="161"/>
      <c r="AS274" s="161"/>
      <c r="AT274" s="161"/>
      <c r="AU274" s="161"/>
      <c r="AV274" s="161"/>
      <c r="AW274" s="161"/>
      <c r="AX274" s="161"/>
      <c r="AY274" s="161"/>
      <c r="AZ274" s="161"/>
      <c r="BA274" s="161"/>
      <c r="BB274" s="161"/>
      <c r="BC274" s="161"/>
      <c r="BD274" s="161"/>
      <c r="BE274" s="161"/>
      <c r="BF274" s="161"/>
      <c r="BG274" s="161"/>
      <c r="BH274" s="161"/>
      <c r="BI274" s="161"/>
      <c r="BJ274" s="161"/>
      <c r="BK274" s="161"/>
      <c r="BL274" s="161"/>
      <c r="BM274" s="161"/>
      <c r="BN274" s="161"/>
      <c r="BO274" s="161"/>
      <c r="BP274" s="161"/>
      <c r="BQ274" s="161"/>
      <c r="BR274" s="161"/>
      <c r="BS274" s="161"/>
      <c r="BT274" s="161"/>
      <c r="BU274" s="161"/>
      <c r="BV274" s="161"/>
      <c r="BW274" s="161"/>
      <c r="BX274" s="161"/>
      <c r="BY274" s="161"/>
      <c r="BZ274" s="161"/>
      <c r="CA274" s="161"/>
      <c r="CB274" s="161"/>
      <c r="CC274" s="161"/>
      <c r="CD274" s="161"/>
      <c r="CE274" s="161"/>
      <c r="CF274" s="161"/>
      <c r="CG274" s="161"/>
      <c r="CH274" s="161"/>
      <c r="CI274" s="161"/>
      <c r="CJ274" s="161"/>
      <c r="CK274" s="161"/>
      <c r="CL274" s="161"/>
      <c r="CM274" s="161"/>
      <c r="CN274" s="161"/>
      <c r="CO274" s="161"/>
      <c r="CP274" s="161"/>
      <c r="CQ274" s="161"/>
      <c r="CR274" s="161"/>
      <c r="CS274" s="161"/>
      <c r="CT274" s="161"/>
      <c r="CU274" s="161"/>
      <c r="CV274" s="161"/>
      <c r="CW274" s="161"/>
      <c r="CX274" s="161"/>
      <c r="CY274" s="161"/>
      <c r="CZ274" s="161"/>
      <c r="DA274" s="161"/>
      <c r="DB274" s="161"/>
      <c r="DC274" s="161"/>
      <c r="DD274" s="161"/>
      <c r="DE274" s="161"/>
      <c r="DF274" s="161"/>
      <c r="DG274" s="161"/>
      <c r="DH274" s="161"/>
      <c r="DI274" s="161"/>
      <c r="DJ274" s="161"/>
      <c r="DK274" s="177"/>
      <c r="DL274" s="177"/>
      <c r="DM274" s="177"/>
      <c r="DN274" s="177"/>
      <c r="DO274" s="177"/>
      <c r="DP274" s="177"/>
      <c r="DQ274" s="177"/>
      <c r="DR274" s="177"/>
      <c r="DS274" s="177"/>
      <c r="DT274" s="177"/>
      <c r="DU274" s="177"/>
      <c r="DV274" s="177"/>
      <c r="DW274" s="177"/>
      <c r="DX274" s="177"/>
      <c r="DY274" s="177"/>
      <c r="DZ274" s="177"/>
      <c r="EA274" s="177"/>
      <c r="EB274" s="177"/>
      <c r="EC274" s="177"/>
      <c r="ED274" s="177"/>
      <c r="EF274" s="161"/>
      <c r="EH274" s="161"/>
      <c r="EM274" s="161"/>
      <c r="EN274" s="161"/>
      <c r="EO274" s="161"/>
      <c r="EP274" s="161"/>
      <c r="FL274" s="161"/>
      <c r="FM274" s="161"/>
      <c r="FN274" s="161"/>
      <c r="FO274" s="161"/>
      <c r="FP274" s="161"/>
      <c r="FQ274" s="161"/>
      <c r="FR274" s="161"/>
      <c r="FS274" s="161"/>
      <c r="FT274" s="161"/>
      <c r="FU274" s="161"/>
      <c r="FV274" s="161"/>
      <c r="FW274" s="667"/>
      <c r="FX274" s="667"/>
      <c r="FY274" s="161"/>
      <c r="FZ274" s="161"/>
      <c r="GA274" s="161"/>
      <c r="GB274" s="161"/>
      <c r="GC274" s="177"/>
      <c r="GD274" s="161"/>
      <c r="GE274" s="177"/>
    </row>
    <row r="275" spans="1:187">
      <c r="A275" s="161"/>
      <c r="B275" s="161"/>
      <c r="C275" s="161"/>
      <c r="D275" s="161"/>
      <c r="E275" s="161"/>
      <c r="F275" s="161"/>
      <c r="G275" s="161"/>
      <c r="H275" s="161"/>
      <c r="I275" s="161"/>
      <c r="J275" s="161"/>
      <c r="K275" s="161"/>
      <c r="L275" s="161"/>
      <c r="M275" s="161"/>
      <c r="N275" s="161"/>
      <c r="O275" s="161"/>
      <c r="P275" s="161"/>
      <c r="Q275" s="161"/>
      <c r="R275" s="161"/>
      <c r="S275" s="161"/>
      <c r="T275" s="161"/>
      <c r="U275" s="161"/>
      <c r="V275" s="161"/>
      <c r="W275" s="161"/>
      <c r="X275" s="161"/>
      <c r="Y275" s="161"/>
      <c r="Z275" s="161"/>
      <c r="AA275" s="161"/>
      <c r="AB275" s="161"/>
      <c r="AC275" s="161"/>
      <c r="AD275" s="161"/>
      <c r="AE275" s="161"/>
      <c r="AF275" s="161"/>
      <c r="AG275" s="161"/>
      <c r="AH275" s="161"/>
      <c r="AI275" s="161"/>
      <c r="AJ275" s="161"/>
      <c r="AK275" s="161"/>
      <c r="AL275" s="161"/>
      <c r="AM275" s="161"/>
      <c r="AN275" s="161"/>
      <c r="AO275" s="161"/>
      <c r="AP275" s="161"/>
      <c r="AQ275" s="161"/>
      <c r="AR275" s="161"/>
      <c r="AS275" s="161"/>
      <c r="AT275" s="161"/>
      <c r="AU275" s="161"/>
      <c r="AV275" s="161"/>
      <c r="AW275" s="161"/>
      <c r="AX275" s="161"/>
      <c r="AY275" s="161"/>
      <c r="AZ275" s="161"/>
      <c r="BA275" s="161"/>
      <c r="BB275" s="161"/>
      <c r="BC275" s="161"/>
      <c r="BD275" s="161"/>
      <c r="BE275" s="161"/>
      <c r="BF275" s="161"/>
      <c r="BG275" s="161"/>
      <c r="BH275" s="161"/>
      <c r="BI275" s="161"/>
      <c r="BJ275" s="161"/>
      <c r="BK275" s="161"/>
      <c r="BL275" s="161"/>
      <c r="BM275" s="161"/>
      <c r="BN275" s="161"/>
      <c r="BO275" s="161"/>
      <c r="BP275" s="161"/>
      <c r="BQ275" s="161"/>
      <c r="BR275" s="161"/>
      <c r="BS275" s="161"/>
      <c r="BT275" s="161"/>
      <c r="BU275" s="161"/>
      <c r="BV275" s="161"/>
      <c r="BW275" s="161"/>
      <c r="BX275" s="161"/>
      <c r="BY275" s="161"/>
      <c r="BZ275" s="161"/>
      <c r="CA275" s="161"/>
      <c r="CB275" s="161"/>
      <c r="CC275" s="161"/>
      <c r="CD275" s="161"/>
      <c r="CE275" s="161"/>
      <c r="CF275" s="161"/>
      <c r="CG275" s="161"/>
      <c r="CH275" s="161"/>
      <c r="CI275" s="161"/>
      <c r="CJ275" s="161"/>
      <c r="CK275" s="161"/>
      <c r="CL275" s="161"/>
      <c r="CM275" s="161"/>
      <c r="CN275" s="161"/>
      <c r="CO275" s="161"/>
      <c r="CP275" s="161"/>
      <c r="CQ275" s="161"/>
      <c r="CR275" s="161"/>
      <c r="CS275" s="161"/>
      <c r="CT275" s="161"/>
      <c r="CU275" s="161"/>
      <c r="CV275" s="161"/>
      <c r="CW275" s="161"/>
      <c r="CX275" s="161"/>
      <c r="CY275" s="161"/>
      <c r="CZ275" s="161"/>
      <c r="DA275" s="161"/>
      <c r="DB275" s="161"/>
      <c r="DC275" s="161"/>
      <c r="DD275" s="161"/>
      <c r="DE275" s="161"/>
      <c r="DF275" s="161"/>
      <c r="DG275" s="161"/>
      <c r="DH275" s="161"/>
      <c r="DI275" s="161"/>
      <c r="DJ275" s="161"/>
      <c r="DK275" s="177"/>
      <c r="DL275" s="177"/>
      <c r="DM275" s="177"/>
      <c r="DN275" s="177"/>
      <c r="DO275" s="177"/>
      <c r="DP275" s="177"/>
      <c r="DQ275" s="177"/>
      <c r="DR275" s="177"/>
      <c r="DS275" s="177"/>
      <c r="DT275" s="177"/>
      <c r="DU275" s="177"/>
      <c r="DV275" s="177"/>
      <c r="DW275" s="177"/>
      <c r="DX275" s="177"/>
      <c r="DY275" s="177"/>
      <c r="DZ275" s="177"/>
      <c r="EA275" s="177"/>
      <c r="EB275" s="177"/>
      <c r="EC275" s="177"/>
      <c r="ED275" s="177"/>
      <c r="EF275" s="161"/>
      <c r="EH275" s="161"/>
      <c r="EM275" s="161"/>
      <c r="EN275" s="161"/>
      <c r="EO275" s="161"/>
      <c r="EP275" s="161"/>
      <c r="FL275" s="161"/>
      <c r="FM275" s="161"/>
      <c r="FN275" s="161"/>
      <c r="FO275" s="161"/>
      <c r="FP275" s="161"/>
      <c r="FQ275" s="161"/>
      <c r="FR275" s="161"/>
      <c r="FS275" s="161"/>
      <c r="FT275" s="161"/>
      <c r="FU275" s="161"/>
      <c r="FV275" s="161"/>
      <c r="FW275" s="667"/>
      <c r="FX275" s="667"/>
      <c r="FY275" s="161"/>
      <c r="FZ275" s="161"/>
      <c r="GA275" s="161"/>
      <c r="GB275" s="161"/>
      <c r="GC275" s="177"/>
      <c r="GD275" s="161"/>
      <c r="GE275" s="177"/>
    </row>
    <row r="276" spans="1:187">
      <c r="A276" s="161"/>
      <c r="B276" s="161"/>
      <c r="C276" s="161"/>
      <c r="D276" s="161"/>
      <c r="E276" s="161"/>
      <c r="F276" s="161"/>
      <c r="G276" s="161"/>
      <c r="H276" s="161"/>
      <c r="I276" s="161"/>
      <c r="J276" s="161"/>
      <c r="K276" s="161"/>
      <c r="L276" s="161"/>
      <c r="M276" s="161"/>
      <c r="N276" s="161"/>
      <c r="O276" s="161"/>
      <c r="P276" s="161"/>
      <c r="Q276" s="161"/>
      <c r="R276" s="161"/>
      <c r="S276" s="161"/>
      <c r="T276" s="161"/>
      <c r="U276" s="161"/>
      <c r="V276" s="161"/>
      <c r="W276" s="161"/>
      <c r="X276" s="161"/>
      <c r="Y276" s="161"/>
      <c r="Z276" s="161"/>
      <c r="AA276" s="161"/>
      <c r="AB276" s="161"/>
      <c r="AC276" s="161"/>
      <c r="AD276" s="161"/>
      <c r="AE276" s="161"/>
      <c r="AF276" s="161"/>
      <c r="AG276" s="161"/>
      <c r="AH276" s="161"/>
      <c r="AI276" s="161"/>
      <c r="AJ276" s="161"/>
      <c r="AK276" s="161"/>
      <c r="AL276" s="161"/>
      <c r="AM276" s="161"/>
      <c r="AN276" s="161"/>
      <c r="AO276" s="161"/>
      <c r="AP276" s="161"/>
      <c r="AQ276" s="161"/>
      <c r="AR276" s="161"/>
      <c r="AS276" s="161"/>
      <c r="AT276" s="161"/>
      <c r="AU276" s="161"/>
      <c r="AV276" s="161"/>
      <c r="AW276" s="161"/>
      <c r="AX276" s="161"/>
      <c r="AY276" s="161"/>
      <c r="AZ276" s="161"/>
      <c r="BA276" s="161"/>
      <c r="BB276" s="161"/>
      <c r="BC276" s="161"/>
      <c r="BD276" s="161"/>
      <c r="BE276" s="161"/>
      <c r="BF276" s="161"/>
      <c r="BG276" s="161"/>
      <c r="BH276" s="161"/>
      <c r="BI276" s="161"/>
      <c r="BJ276" s="161"/>
      <c r="BK276" s="161"/>
      <c r="BL276" s="161"/>
      <c r="BM276" s="161"/>
      <c r="BN276" s="161"/>
      <c r="BO276" s="161"/>
      <c r="BP276" s="161"/>
      <c r="BQ276" s="161"/>
      <c r="BR276" s="161"/>
      <c r="BS276" s="161"/>
      <c r="BT276" s="161"/>
      <c r="BU276" s="161"/>
      <c r="BV276" s="161"/>
      <c r="BW276" s="161"/>
      <c r="BX276" s="161"/>
      <c r="BY276" s="161"/>
      <c r="BZ276" s="161"/>
      <c r="CA276" s="161"/>
      <c r="CB276" s="161"/>
      <c r="CC276" s="161"/>
      <c r="CD276" s="161"/>
      <c r="CE276" s="161"/>
      <c r="CF276" s="161"/>
      <c r="CG276" s="161"/>
      <c r="CH276" s="161"/>
      <c r="CI276" s="161"/>
      <c r="CJ276" s="161"/>
      <c r="CK276" s="161"/>
      <c r="CL276" s="161"/>
      <c r="CM276" s="161"/>
      <c r="CN276" s="161"/>
      <c r="CO276" s="161"/>
      <c r="CP276" s="161"/>
      <c r="CQ276" s="161"/>
      <c r="CR276" s="161"/>
      <c r="CS276" s="161"/>
      <c r="CT276" s="161"/>
      <c r="CU276" s="161"/>
      <c r="CV276" s="161"/>
      <c r="CW276" s="161"/>
      <c r="CX276" s="161"/>
      <c r="CY276" s="161"/>
      <c r="CZ276" s="161"/>
      <c r="DA276" s="161"/>
      <c r="DB276" s="161"/>
      <c r="DC276" s="161"/>
      <c r="DD276" s="161"/>
      <c r="DE276" s="161"/>
      <c r="DF276" s="161"/>
      <c r="DG276" s="161"/>
      <c r="DH276" s="161"/>
      <c r="DI276" s="161"/>
      <c r="DJ276" s="161"/>
      <c r="DK276" s="177"/>
      <c r="DL276" s="177"/>
      <c r="DM276" s="177"/>
      <c r="DN276" s="177"/>
      <c r="DO276" s="177"/>
      <c r="DP276" s="177"/>
      <c r="DQ276" s="177"/>
      <c r="DR276" s="177"/>
      <c r="DS276" s="177"/>
      <c r="DT276" s="177"/>
      <c r="DU276" s="177"/>
      <c r="DV276" s="177"/>
      <c r="DW276" s="177"/>
      <c r="DX276" s="177"/>
      <c r="DY276" s="177"/>
      <c r="DZ276" s="177"/>
      <c r="EA276" s="177"/>
      <c r="EB276" s="177"/>
      <c r="EC276" s="177"/>
      <c r="ED276" s="177"/>
      <c r="EF276" s="161"/>
      <c r="EH276" s="161"/>
      <c r="EM276" s="161"/>
      <c r="EN276" s="161"/>
      <c r="EO276" s="161"/>
      <c r="EP276" s="161"/>
      <c r="FL276" s="161"/>
      <c r="FM276" s="161"/>
      <c r="FN276" s="161"/>
      <c r="FO276" s="161"/>
      <c r="FP276" s="161"/>
      <c r="FQ276" s="161"/>
      <c r="FR276" s="161"/>
      <c r="FS276" s="161"/>
      <c r="FT276" s="161"/>
      <c r="FU276" s="161"/>
      <c r="FV276" s="161"/>
      <c r="FW276" s="667"/>
      <c r="FX276" s="667"/>
      <c r="FY276" s="161"/>
      <c r="FZ276" s="161"/>
      <c r="GA276" s="161"/>
      <c r="GB276" s="161"/>
      <c r="GC276" s="177"/>
      <c r="GD276" s="161"/>
      <c r="GE276" s="177"/>
    </row>
    <row r="277" spans="1:187">
      <c r="A277" s="161"/>
      <c r="B277" s="161"/>
      <c r="C277" s="161"/>
      <c r="D277" s="161"/>
      <c r="E277" s="161"/>
      <c r="F277" s="161"/>
      <c r="G277" s="161"/>
      <c r="H277" s="161"/>
      <c r="I277" s="161"/>
      <c r="J277" s="161"/>
      <c r="K277" s="161"/>
      <c r="L277" s="161"/>
      <c r="M277" s="161"/>
      <c r="N277" s="161"/>
      <c r="O277" s="161"/>
      <c r="P277" s="161"/>
      <c r="Q277" s="161"/>
      <c r="R277" s="161"/>
      <c r="S277" s="161"/>
      <c r="T277" s="161"/>
      <c r="U277" s="161"/>
      <c r="V277" s="161"/>
      <c r="W277" s="161"/>
      <c r="X277" s="161"/>
      <c r="Y277" s="161"/>
      <c r="Z277" s="161"/>
      <c r="AA277" s="161"/>
      <c r="AB277" s="161"/>
      <c r="AC277" s="161"/>
      <c r="AD277" s="161"/>
      <c r="AE277" s="161"/>
      <c r="AF277" s="161"/>
      <c r="AG277" s="161"/>
      <c r="AH277" s="161"/>
      <c r="AI277" s="161"/>
      <c r="AJ277" s="161"/>
      <c r="AK277" s="161"/>
      <c r="AL277" s="161"/>
      <c r="AM277" s="161"/>
      <c r="AN277" s="161"/>
      <c r="AO277" s="161"/>
      <c r="AP277" s="161"/>
      <c r="AQ277" s="161"/>
      <c r="AR277" s="161"/>
      <c r="AS277" s="161"/>
      <c r="AT277" s="161"/>
      <c r="AU277" s="161"/>
      <c r="AV277" s="161"/>
      <c r="AW277" s="161"/>
      <c r="AX277" s="161"/>
      <c r="AY277" s="161"/>
      <c r="AZ277" s="161"/>
      <c r="BA277" s="161"/>
      <c r="BB277" s="161"/>
      <c r="BC277" s="161"/>
      <c r="BD277" s="161"/>
      <c r="BE277" s="161"/>
      <c r="BF277" s="161"/>
      <c r="BG277" s="161"/>
      <c r="BH277" s="161"/>
      <c r="BI277" s="161"/>
      <c r="BJ277" s="161"/>
      <c r="BK277" s="161"/>
      <c r="BL277" s="161"/>
      <c r="BM277" s="161"/>
      <c r="BN277" s="161"/>
      <c r="BO277" s="161"/>
      <c r="BP277" s="161"/>
      <c r="BQ277" s="161"/>
      <c r="BR277" s="161"/>
      <c r="BS277" s="161"/>
      <c r="BT277" s="161"/>
      <c r="BU277" s="161"/>
      <c r="BV277" s="161"/>
      <c r="BW277" s="161"/>
      <c r="BX277" s="161"/>
      <c r="BY277" s="161"/>
      <c r="BZ277" s="161"/>
      <c r="CA277" s="161"/>
      <c r="CB277" s="161"/>
      <c r="CC277" s="161"/>
      <c r="CD277" s="161"/>
      <c r="CE277" s="161"/>
      <c r="CF277" s="161"/>
      <c r="CG277" s="161"/>
      <c r="CH277" s="161"/>
      <c r="CI277" s="161"/>
      <c r="CJ277" s="161"/>
      <c r="CK277" s="161"/>
      <c r="CL277" s="161"/>
      <c r="CM277" s="161"/>
      <c r="CN277" s="161"/>
      <c r="CO277" s="161"/>
      <c r="CP277" s="161"/>
      <c r="CQ277" s="161"/>
      <c r="CR277" s="161"/>
      <c r="CS277" s="161"/>
      <c r="CT277" s="161"/>
      <c r="CU277" s="161"/>
      <c r="CV277" s="161"/>
      <c r="CW277" s="161"/>
      <c r="CX277" s="161"/>
      <c r="CY277" s="161"/>
      <c r="CZ277" s="161"/>
      <c r="DA277" s="161"/>
      <c r="DB277" s="161"/>
      <c r="DC277" s="161"/>
      <c r="DD277" s="161"/>
      <c r="DE277" s="161"/>
      <c r="DF277" s="161"/>
      <c r="DG277" s="161"/>
      <c r="DH277" s="161"/>
      <c r="DI277" s="161"/>
      <c r="DJ277" s="161"/>
      <c r="DK277" s="177"/>
      <c r="DL277" s="177"/>
      <c r="DM277" s="177"/>
      <c r="DN277" s="177"/>
      <c r="DO277" s="177"/>
      <c r="DP277" s="177"/>
      <c r="DQ277" s="177"/>
      <c r="DR277" s="177"/>
      <c r="DS277" s="177"/>
      <c r="DT277" s="177"/>
      <c r="DU277" s="177"/>
      <c r="DV277" s="177"/>
      <c r="DW277" s="177"/>
      <c r="DX277" s="177"/>
      <c r="DY277" s="177"/>
      <c r="DZ277" s="177"/>
      <c r="EA277" s="177"/>
      <c r="EB277" s="177"/>
      <c r="EC277" s="177"/>
      <c r="ED277" s="177"/>
      <c r="EF277" s="161"/>
      <c r="EH277" s="161"/>
      <c r="EM277" s="161"/>
      <c r="EN277" s="161"/>
      <c r="EO277" s="161"/>
      <c r="EP277" s="161"/>
      <c r="FL277" s="161"/>
      <c r="FM277" s="161"/>
      <c r="FN277" s="161"/>
      <c r="FO277" s="161"/>
      <c r="FP277" s="161"/>
      <c r="FQ277" s="161"/>
      <c r="FR277" s="161"/>
      <c r="FS277" s="161"/>
      <c r="FT277" s="161"/>
      <c r="FU277" s="161"/>
      <c r="FV277" s="161"/>
      <c r="FW277" s="667"/>
      <c r="FX277" s="667"/>
      <c r="FY277" s="161"/>
      <c r="FZ277" s="161"/>
      <c r="GA277" s="161"/>
      <c r="GB277" s="161"/>
      <c r="GC277" s="177"/>
      <c r="GD277" s="161"/>
      <c r="GE277" s="177"/>
    </row>
    <row r="278" spans="1:187">
      <c r="A278" s="161"/>
      <c r="B278" s="161"/>
      <c r="C278" s="161"/>
      <c r="D278" s="161"/>
      <c r="E278" s="161"/>
      <c r="F278" s="161"/>
      <c r="G278" s="161"/>
      <c r="H278" s="161"/>
      <c r="I278" s="161"/>
      <c r="J278" s="161"/>
      <c r="K278" s="161"/>
      <c r="L278" s="161"/>
      <c r="M278" s="161"/>
      <c r="N278" s="161"/>
      <c r="O278" s="161"/>
      <c r="P278" s="161"/>
      <c r="Q278" s="161"/>
      <c r="R278" s="161"/>
      <c r="S278" s="161"/>
      <c r="T278" s="161"/>
      <c r="U278" s="161"/>
      <c r="V278" s="161"/>
      <c r="W278" s="161"/>
      <c r="X278" s="161"/>
      <c r="Y278" s="161"/>
      <c r="Z278" s="161"/>
      <c r="AA278" s="161"/>
      <c r="AB278" s="161"/>
      <c r="AC278" s="161"/>
      <c r="AD278" s="161"/>
      <c r="AE278" s="161"/>
      <c r="AF278" s="161"/>
      <c r="AG278" s="161"/>
      <c r="AH278" s="161"/>
      <c r="AI278" s="161"/>
      <c r="AJ278" s="161"/>
      <c r="AK278" s="161"/>
      <c r="AL278" s="161"/>
      <c r="AM278" s="161"/>
      <c r="AN278" s="161"/>
      <c r="AO278" s="161"/>
      <c r="AP278" s="161"/>
      <c r="AQ278" s="161"/>
      <c r="AR278" s="161"/>
      <c r="AS278" s="161"/>
      <c r="AT278" s="161"/>
      <c r="AU278" s="161"/>
      <c r="AV278" s="161"/>
      <c r="AW278" s="161"/>
      <c r="AX278" s="161"/>
      <c r="AY278" s="161"/>
      <c r="AZ278" s="161"/>
      <c r="BA278" s="161"/>
      <c r="BB278" s="161"/>
      <c r="BC278" s="161"/>
      <c r="BD278" s="161"/>
      <c r="BE278" s="161"/>
      <c r="BF278" s="161"/>
      <c r="BG278" s="161"/>
      <c r="BH278" s="161"/>
      <c r="BI278" s="161"/>
      <c r="BJ278" s="161"/>
      <c r="BK278" s="161"/>
      <c r="BL278" s="161"/>
      <c r="BM278" s="161"/>
      <c r="BN278" s="161"/>
      <c r="BO278" s="161"/>
      <c r="BP278" s="161"/>
      <c r="BQ278" s="161"/>
      <c r="BR278" s="161"/>
      <c r="BS278" s="161"/>
      <c r="BT278" s="161"/>
      <c r="BU278" s="161"/>
      <c r="BV278" s="161"/>
      <c r="BW278" s="161"/>
      <c r="BX278" s="161"/>
      <c r="BY278" s="161"/>
      <c r="BZ278" s="161"/>
      <c r="CA278" s="161"/>
      <c r="CB278" s="161"/>
      <c r="CC278" s="161"/>
      <c r="CD278" s="161"/>
      <c r="CE278" s="161"/>
      <c r="CF278" s="161"/>
      <c r="CG278" s="161"/>
      <c r="CH278" s="161"/>
      <c r="CI278" s="161"/>
      <c r="CJ278" s="161"/>
      <c r="CK278" s="161"/>
      <c r="CL278" s="161"/>
      <c r="CM278" s="161"/>
      <c r="CN278" s="161"/>
      <c r="CO278" s="161"/>
      <c r="CP278" s="161"/>
      <c r="CQ278" s="161"/>
      <c r="CR278" s="161"/>
      <c r="CS278" s="161"/>
      <c r="CT278" s="161"/>
      <c r="CU278" s="161"/>
      <c r="CV278" s="161"/>
      <c r="CW278" s="161"/>
      <c r="CX278" s="161"/>
      <c r="CY278" s="161"/>
      <c r="CZ278" s="161"/>
      <c r="DA278" s="161"/>
      <c r="DB278" s="161"/>
      <c r="DC278" s="161"/>
      <c r="DD278" s="161"/>
      <c r="DE278" s="161"/>
      <c r="DF278" s="161"/>
      <c r="DG278" s="161"/>
      <c r="DH278" s="161"/>
      <c r="DI278" s="161"/>
      <c r="DJ278" s="161"/>
      <c r="DK278" s="177"/>
      <c r="DL278" s="177"/>
      <c r="DM278" s="177"/>
      <c r="DN278" s="177"/>
      <c r="DO278" s="177"/>
      <c r="DP278" s="177"/>
      <c r="DQ278" s="177"/>
      <c r="DR278" s="177"/>
      <c r="DS278" s="177"/>
      <c r="DT278" s="177"/>
      <c r="DU278" s="177"/>
      <c r="DV278" s="177"/>
      <c r="DW278" s="177"/>
      <c r="DX278" s="177"/>
      <c r="DY278" s="177"/>
      <c r="DZ278" s="177"/>
      <c r="EA278" s="177"/>
      <c r="EB278" s="177"/>
      <c r="EC278" s="177"/>
      <c r="ED278" s="177"/>
      <c r="EF278" s="161"/>
      <c r="EH278" s="161"/>
      <c r="EM278" s="161"/>
      <c r="EN278" s="161"/>
      <c r="EO278" s="161"/>
      <c r="EP278" s="161"/>
      <c r="FL278" s="161"/>
      <c r="FM278" s="161"/>
      <c r="FN278" s="161"/>
      <c r="FO278" s="161"/>
      <c r="FP278" s="161"/>
      <c r="FQ278" s="161"/>
      <c r="FR278" s="161"/>
      <c r="FS278" s="161"/>
      <c r="FT278" s="161"/>
      <c r="FU278" s="161"/>
      <c r="FV278" s="161"/>
      <c r="FW278" s="667"/>
      <c r="FX278" s="667"/>
      <c r="FY278" s="161"/>
      <c r="FZ278" s="161"/>
      <c r="GA278" s="161"/>
      <c r="GB278" s="161"/>
      <c r="GC278" s="177"/>
      <c r="GD278" s="161"/>
      <c r="GE278" s="177"/>
    </row>
    <row r="279" spans="1:187">
      <c r="A279" s="161"/>
      <c r="B279" s="161"/>
      <c r="C279" s="161"/>
      <c r="D279" s="161"/>
      <c r="E279" s="161"/>
      <c r="F279" s="161"/>
      <c r="G279" s="161"/>
      <c r="H279" s="161"/>
      <c r="I279" s="161"/>
      <c r="J279" s="161"/>
      <c r="K279" s="161"/>
      <c r="L279" s="161"/>
      <c r="M279" s="161"/>
      <c r="N279" s="161"/>
      <c r="O279" s="161"/>
      <c r="P279" s="161"/>
      <c r="Q279" s="161"/>
      <c r="R279" s="161"/>
      <c r="S279" s="161"/>
      <c r="T279" s="161"/>
      <c r="U279" s="161"/>
      <c r="V279" s="161"/>
      <c r="W279" s="161"/>
      <c r="X279" s="161"/>
      <c r="Y279" s="161"/>
      <c r="Z279" s="161"/>
      <c r="AA279" s="161"/>
      <c r="AB279" s="161"/>
      <c r="AC279" s="161"/>
      <c r="AD279" s="161"/>
      <c r="AE279" s="161"/>
      <c r="AF279" s="161"/>
      <c r="AG279" s="161"/>
      <c r="AH279" s="161"/>
      <c r="AI279" s="161"/>
      <c r="AJ279" s="161"/>
      <c r="AK279" s="161"/>
      <c r="AL279" s="161"/>
      <c r="AM279" s="161"/>
      <c r="AN279" s="161"/>
      <c r="AO279" s="161"/>
      <c r="AP279" s="161"/>
      <c r="AQ279" s="161"/>
      <c r="AR279" s="161"/>
      <c r="AS279" s="161"/>
      <c r="AT279" s="161"/>
      <c r="AU279" s="161"/>
      <c r="AV279" s="161"/>
      <c r="AW279" s="161"/>
      <c r="AX279" s="161"/>
      <c r="AY279" s="161"/>
      <c r="AZ279" s="161"/>
      <c r="BA279" s="161"/>
      <c r="BB279" s="161"/>
      <c r="BC279" s="161"/>
      <c r="BD279" s="161"/>
      <c r="BE279" s="161"/>
      <c r="BF279" s="161"/>
      <c r="BG279" s="161"/>
      <c r="BH279" s="161"/>
      <c r="BI279" s="161"/>
      <c r="BJ279" s="161"/>
      <c r="BK279" s="161"/>
      <c r="BL279" s="161"/>
      <c r="BM279" s="161"/>
      <c r="BN279" s="161"/>
      <c r="BO279" s="161"/>
      <c r="BP279" s="161"/>
      <c r="BQ279" s="161"/>
      <c r="BR279" s="161"/>
      <c r="BS279" s="161"/>
      <c r="BT279" s="161"/>
      <c r="BU279" s="161"/>
      <c r="BV279" s="161"/>
      <c r="BW279" s="161"/>
      <c r="BX279" s="161"/>
      <c r="BY279" s="161"/>
      <c r="BZ279" s="161"/>
      <c r="CA279" s="161"/>
      <c r="CB279" s="161"/>
      <c r="CC279" s="161"/>
      <c r="CD279" s="161"/>
      <c r="CE279" s="161"/>
      <c r="CF279" s="161"/>
      <c r="CG279" s="161"/>
      <c r="CH279" s="161"/>
      <c r="CI279" s="161"/>
      <c r="CJ279" s="161"/>
      <c r="CK279" s="161"/>
      <c r="CL279" s="161"/>
      <c r="CM279" s="161"/>
      <c r="CN279" s="161"/>
      <c r="CO279" s="161"/>
      <c r="CP279" s="161"/>
      <c r="CQ279" s="161"/>
      <c r="CR279" s="161"/>
      <c r="CS279" s="161"/>
      <c r="CT279" s="161"/>
      <c r="CU279" s="161"/>
      <c r="CV279" s="161"/>
      <c r="CW279" s="161"/>
      <c r="CX279" s="161"/>
      <c r="CY279" s="161"/>
      <c r="CZ279" s="161"/>
      <c r="DA279" s="161"/>
      <c r="DB279" s="161"/>
      <c r="DC279" s="161"/>
      <c r="DD279" s="161"/>
      <c r="DE279" s="161"/>
      <c r="DF279" s="161"/>
      <c r="DG279" s="161"/>
      <c r="DH279" s="161"/>
      <c r="DI279" s="161"/>
      <c r="DJ279" s="161"/>
      <c r="DK279" s="177"/>
      <c r="DL279" s="177"/>
      <c r="DM279" s="177"/>
      <c r="DN279" s="177"/>
      <c r="DO279" s="177"/>
      <c r="DP279" s="177"/>
      <c r="DQ279" s="177"/>
      <c r="DR279" s="177"/>
      <c r="DS279" s="177"/>
      <c r="DT279" s="177"/>
      <c r="DU279" s="177"/>
      <c r="DV279" s="177"/>
      <c r="DW279" s="177"/>
      <c r="DX279" s="177"/>
      <c r="DY279" s="177"/>
      <c r="DZ279" s="177"/>
      <c r="EA279" s="177"/>
      <c r="EB279" s="177"/>
      <c r="EC279" s="177"/>
      <c r="ED279" s="177"/>
      <c r="EF279" s="161"/>
      <c r="EH279" s="161"/>
      <c r="EM279" s="161"/>
      <c r="EN279" s="161"/>
      <c r="EO279" s="161"/>
      <c r="EP279" s="161"/>
      <c r="FL279" s="161"/>
      <c r="FM279" s="161"/>
      <c r="FN279" s="161"/>
      <c r="FO279" s="161"/>
      <c r="FP279" s="161"/>
      <c r="FQ279" s="161"/>
      <c r="FR279" s="161"/>
      <c r="FS279" s="161"/>
      <c r="FT279" s="161"/>
      <c r="FU279" s="161"/>
      <c r="FV279" s="161"/>
      <c r="FW279" s="667"/>
      <c r="FX279" s="667"/>
      <c r="FY279" s="161"/>
      <c r="FZ279" s="161"/>
      <c r="GA279" s="161"/>
      <c r="GB279" s="161"/>
      <c r="GC279" s="177"/>
      <c r="GD279" s="161"/>
      <c r="GE279" s="177"/>
    </row>
    <row r="280" spans="1:187">
      <c r="A280" s="161"/>
      <c r="B280" s="161"/>
      <c r="C280" s="161"/>
      <c r="D280" s="161"/>
      <c r="E280" s="161"/>
      <c r="F280" s="161"/>
      <c r="G280" s="161"/>
      <c r="H280" s="161"/>
      <c r="I280" s="161"/>
      <c r="J280" s="161"/>
      <c r="K280" s="161"/>
      <c r="L280" s="161"/>
      <c r="M280" s="161"/>
      <c r="N280" s="161"/>
      <c r="O280" s="161"/>
      <c r="P280" s="161"/>
      <c r="Q280" s="161"/>
      <c r="R280" s="161"/>
      <c r="S280" s="161"/>
      <c r="T280" s="161"/>
      <c r="U280" s="161"/>
      <c r="V280" s="161"/>
      <c r="W280" s="161"/>
      <c r="X280" s="161"/>
      <c r="Y280" s="161"/>
      <c r="Z280" s="161"/>
      <c r="AA280" s="161"/>
      <c r="AB280" s="161"/>
      <c r="AC280" s="161"/>
      <c r="AD280" s="161"/>
      <c r="AE280" s="161"/>
      <c r="AF280" s="161"/>
      <c r="AG280" s="161"/>
      <c r="AH280" s="161"/>
      <c r="AI280" s="161"/>
      <c r="AJ280" s="161"/>
      <c r="AK280" s="161"/>
      <c r="AL280" s="161"/>
      <c r="AM280" s="161"/>
      <c r="AN280" s="161"/>
      <c r="AO280" s="161"/>
      <c r="AP280" s="161"/>
      <c r="AQ280" s="161"/>
      <c r="AR280" s="161"/>
      <c r="AS280" s="161"/>
      <c r="AT280" s="161"/>
      <c r="AU280" s="161"/>
      <c r="AV280" s="161"/>
      <c r="AW280" s="161"/>
      <c r="AX280" s="161"/>
      <c r="AY280" s="161"/>
      <c r="AZ280" s="161"/>
      <c r="BA280" s="161"/>
      <c r="BB280" s="161"/>
      <c r="BC280" s="161"/>
      <c r="BD280" s="161"/>
      <c r="BE280" s="161"/>
      <c r="BF280" s="161"/>
      <c r="BG280" s="161"/>
      <c r="BH280" s="161"/>
      <c r="BI280" s="161"/>
      <c r="BJ280" s="161"/>
      <c r="BK280" s="161"/>
      <c r="BL280" s="161"/>
      <c r="BM280" s="161"/>
      <c r="BN280" s="161"/>
      <c r="BO280" s="161"/>
      <c r="BP280" s="161"/>
      <c r="BQ280" s="161"/>
      <c r="BR280" s="161"/>
      <c r="BS280" s="161"/>
      <c r="BT280" s="161"/>
      <c r="BU280" s="161"/>
      <c r="BV280" s="161"/>
      <c r="BW280" s="161"/>
      <c r="BX280" s="161"/>
      <c r="BY280" s="161"/>
      <c r="BZ280" s="161"/>
      <c r="CA280" s="161"/>
      <c r="CB280" s="161"/>
      <c r="CC280" s="161"/>
      <c r="CD280" s="161"/>
      <c r="CE280" s="161"/>
      <c r="CF280" s="161"/>
      <c r="CG280" s="161"/>
      <c r="CH280" s="161"/>
      <c r="CI280" s="161"/>
      <c r="CJ280" s="161"/>
      <c r="CK280" s="161"/>
      <c r="CL280" s="161"/>
      <c r="CM280" s="161"/>
      <c r="CN280" s="161"/>
      <c r="CO280" s="161"/>
      <c r="CP280" s="161"/>
      <c r="CQ280" s="161"/>
      <c r="CR280" s="161"/>
      <c r="CS280" s="161"/>
      <c r="CT280" s="161"/>
      <c r="CU280" s="161"/>
      <c r="CV280" s="161"/>
      <c r="CW280" s="161"/>
      <c r="CX280" s="161"/>
      <c r="CY280" s="161"/>
      <c r="CZ280" s="161"/>
      <c r="DA280" s="161"/>
      <c r="DB280" s="161"/>
      <c r="DC280" s="161"/>
      <c r="DD280" s="161"/>
      <c r="DE280" s="161"/>
      <c r="DF280" s="161"/>
      <c r="DG280" s="161"/>
      <c r="DH280" s="161"/>
      <c r="DI280" s="161"/>
      <c r="DJ280" s="161"/>
      <c r="DK280" s="177"/>
      <c r="DL280" s="177"/>
      <c r="DM280" s="177"/>
      <c r="DN280" s="177"/>
      <c r="DO280" s="177"/>
      <c r="DP280" s="177"/>
      <c r="DQ280" s="177"/>
      <c r="DR280" s="177"/>
      <c r="DS280" s="177"/>
      <c r="DT280" s="177"/>
      <c r="DU280" s="177"/>
      <c r="DV280" s="177"/>
      <c r="DW280" s="177"/>
      <c r="DX280" s="177"/>
      <c r="DY280" s="177"/>
      <c r="DZ280" s="177"/>
      <c r="EA280" s="177"/>
      <c r="EB280" s="177"/>
      <c r="EC280" s="177"/>
      <c r="ED280" s="177"/>
      <c r="EF280" s="161"/>
      <c r="EH280" s="161"/>
      <c r="EM280" s="161"/>
      <c r="EN280" s="161"/>
      <c r="EO280" s="161"/>
      <c r="EP280" s="161"/>
      <c r="FL280" s="161"/>
      <c r="FM280" s="161"/>
      <c r="FN280" s="161"/>
      <c r="FO280" s="161"/>
      <c r="FP280" s="161"/>
      <c r="FQ280" s="161"/>
      <c r="FR280" s="161"/>
      <c r="FS280" s="161"/>
      <c r="FT280" s="161"/>
      <c r="FU280" s="161"/>
      <c r="FV280" s="161"/>
      <c r="FW280" s="667"/>
      <c r="FX280" s="667"/>
      <c r="FY280" s="161"/>
      <c r="FZ280" s="161"/>
      <c r="GA280" s="161"/>
      <c r="GB280" s="161"/>
      <c r="GC280" s="177"/>
      <c r="GD280" s="161"/>
      <c r="GE280" s="177"/>
    </row>
    <row r="281" spans="1:187">
      <c r="A281" s="161"/>
      <c r="B281" s="161"/>
      <c r="C281" s="161"/>
      <c r="D281" s="161"/>
      <c r="E281" s="161"/>
      <c r="F281" s="161"/>
      <c r="G281" s="161"/>
      <c r="H281" s="161"/>
      <c r="I281" s="161"/>
      <c r="J281" s="161"/>
      <c r="K281" s="161"/>
      <c r="L281" s="161"/>
      <c r="M281" s="161"/>
      <c r="N281" s="161"/>
      <c r="O281" s="161"/>
      <c r="P281" s="161"/>
      <c r="Q281" s="161"/>
      <c r="R281" s="161"/>
      <c r="S281" s="161"/>
      <c r="T281" s="161"/>
      <c r="U281" s="161"/>
      <c r="V281" s="161"/>
      <c r="W281" s="161"/>
      <c r="X281" s="161"/>
      <c r="Y281" s="161"/>
      <c r="Z281" s="161"/>
      <c r="AA281" s="161"/>
      <c r="AB281" s="161"/>
      <c r="AC281" s="161"/>
      <c r="AD281" s="161"/>
      <c r="AE281" s="161"/>
      <c r="AF281" s="161"/>
      <c r="AG281" s="161"/>
      <c r="AH281" s="161"/>
      <c r="AI281" s="161"/>
      <c r="AJ281" s="161"/>
      <c r="AK281" s="161"/>
      <c r="AL281" s="161"/>
      <c r="AM281" s="161"/>
      <c r="AN281" s="161"/>
      <c r="AO281" s="161"/>
      <c r="AP281" s="161"/>
      <c r="AQ281" s="161"/>
      <c r="AR281" s="161"/>
      <c r="AS281" s="161"/>
      <c r="AT281" s="161"/>
      <c r="AU281" s="161"/>
      <c r="AV281" s="161"/>
      <c r="AW281" s="161"/>
      <c r="AX281" s="161"/>
      <c r="AY281" s="161"/>
      <c r="AZ281" s="161"/>
      <c r="BA281" s="161"/>
      <c r="BB281" s="161"/>
      <c r="BC281" s="161"/>
      <c r="BD281" s="161"/>
      <c r="BE281" s="161"/>
      <c r="BF281" s="161"/>
      <c r="BG281" s="161"/>
      <c r="BH281" s="161"/>
      <c r="BI281" s="161"/>
      <c r="BJ281" s="161"/>
      <c r="BK281" s="161"/>
      <c r="BL281" s="161"/>
      <c r="BM281" s="161"/>
      <c r="BN281" s="161"/>
      <c r="BO281" s="161"/>
      <c r="BP281" s="161"/>
      <c r="BQ281" s="161"/>
      <c r="BR281" s="161"/>
      <c r="BS281" s="161"/>
      <c r="BT281" s="161"/>
      <c r="BU281" s="161"/>
      <c r="BV281" s="161"/>
      <c r="BW281" s="161"/>
      <c r="BX281" s="161"/>
      <c r="BY281" s="161"/>
      <c r="BZ281" s="161"/>
      <c r="CA281" s="161"/>
      <c r="CB281" s="161"/>
      <c r="CC281" s="161"/>
      <c r="CD281" s="161"/>
      <c r="CE281" s="161"/>
      <c r="CF281" s="161"/>
      <c r="CG281" s="161"/>
      <c r="CH281" s="161"/>
      <c r="CI281" s="161"/>
      <c r="CJ281" s="161"/>
      <c r="CK281" s="161"/>
      <c r="CL281" s="161"/>
      <c r="CM281" s="161"/>
      <c r="CN281" s="161"/>
      <c r="CO281" s="161"/>
      <c r="CP281" s="161"/>
      <c r="CQ281" s="161"/>
      <c r="CR281" s="161"/>
      <c r="CS281" s="161"/>
      <c r="CT281" s="161"/>
      <c r="CU281" s="161"/>
      <c r="CV281" s="161"/>
      <c r="CW281" s="161"/>
      <c r="CX281" s="161"/>
      <c r="CY281" s="161"/>
      <c r="CZ281" s="161"/>
      <c r="DA281" s="161"/>
      <c r="DB281" s="161"/>
      <c r="DC281" s="161"/>
      <c r="DD281" s="161"/>
      <c r="DE281" s="161"/>
      <c r="DF281" s="161"/>
      <c r="DG281" s="161"/>
      <c r="DH281" s="161"/>
      <c r="DI281" s="161"/>
      <c r="DJ281" s="161"/>
      <c r="DK281" s="177"/>
      <c r="DL281" s="177"/>
      <c r="DM281" s="177"/>
      <c r="DN281" s="177"/>
      <c r="DO281" s="177"/>
      <c r="DP281" s="177"/>
      <c r="DQ281" s="177"/>
      <c r="DR281" s="177"/>
      <c r="DS281" s="177"/>
      <c r="DT281" s="177"/>
      <c r="DU281" s="177"/>
      <c r="DV281" s="177"/>
      <c r="DW281" s="177"/>
      <c r="DX281" s="177"/>
      <c r="DY281" s="177"/>
      <c r="DZ281" s="177"/>
      <c r="EA281" s="177"/>
      <c r="EB281" s="177"/>
      <c r="EC281" s="177"/>
      <c r="ED281" s="177"/>
      <c r="EF281" s="161"/>
      <c r="EH281" s="161"/>
      <c r="EM281" s="161"/>
      <c r="EN281" s="161"/>
      <c r="EO281" s="161"/>
      <c r="EP281" s="161"/>
      <c r="FL281" s="161"/>
      <c r="FM281" s="161"/>
      <c r="FN281" s="161"/>
      <c r="FO281" s="161"/>
      <c r="FP281" s="161"/>
      <c r="FQ281" s="161"/>
      <c r="FR281" s="161"/>
      <c r="FS281" s="161"/>
      <c r="FT281" s="161"/>
      <c r="FU281" s="161"/>
      <c r="FV281" s="161"/>
      <c r="FW281" s="667"/>
      <c r="FX281" s="667"/>
      <c r="FY281" s="161"/>
      <c r="FZ281" s="161"/>
      <c r="GA281" s="161"/>
      <c r="GB281" s="161"/>
      <c r="GC281" s="177"/>
      <c r="GD281" s="161"/>
      <c r="GE281" s="177"/>
    </row>
    <row r="282" spans="1:187">
      <c r="A282" s="161"/>
      <c r="B282" s="161"/>
      <c r="C282" s="161"/>
      <c r="D282" s="161"/>
      <c r="E282" s="161"/>
      <c r="F282" s="161"/>
      <c r="G282" s="161"/>
      <c r="H282" s="161"/>
      <c r="I282" s="161"/>
      <c r="J282" s="161"/>
      <c r="K282" s="161"/>
      <c r="L282" s="161"/>
      <c r="M282" s="161"/>
      <c r="N282" s="161"/>
      <c r="O282" s="161"/>
      <c r="P282" s="161"/>
      <c r="Q282" s="161"/>
      <c r="R282" s="161"/>
      <c r="S282" s="161"/>
      <c r="T282" s="161"/>
      <c r="U282" s="161"/>
      <c r="V282" s="161"/>
      <c r="W282" s="161"/>
      <c r="X282" s="161"/>
      <c r="Y282" s="161"/>
      <c r="Z282" s="161"/>
      <c r="AA282" s="161"/>
      <c r="AB282" s="161"/>
      <c r="AC282" s="161"/>
      <c r="AD282" s="161"/>
      <c r="AE282" s="161"/>
      <c r="AF282" s="161"/>
      <c r="AG282" s="161"/>
      <c r="AH282" s="161"/>
      <c r="AI282" s="161"/>
      <c r="AJ282" s="161"/>
      <c r="AK282" s="161"/>
      <c r="AL282" s="161"/>
      <c r="AM282" s="161"/>
      <c r="AN282" s="161"/>
      <c r="AO282" s="161"/>
      <c r="AP282" s="161"/>
      <c r="AQ282" s="161"/>
      <c r="AR282" s="161"/>
      <c r="AS282" s="161"/>
      <c r="AT282" s="161"/>
      <c r="AU282" s="161"/>
      <c r="AV282" s="161"/>
      <c r="AW282" s="161"/>
      <c r="AX282" s="161"/>
      <c r="AY282" s="161"/>
      <c r="AZ282" s="161"/>
      <c r="BA282" s="161"/>
      <c r="BB282" s="161"/>
      <c r="BC282" s="161"/>
      <c r="BD282" s="161"/>
      <c r="BE282" s="161"/>
      <c r="BF282" s="161"/>
      <c r="BG282" s="161"/>
      <c r="BH282" s="161"/>
      <c r="BI282" s="161"/>
      <c r="BJ282" s="161"/>
      <c r="BK282" s="161"/>
      <c r="BL282" s="161"/>
      <c r="BM282" s="161"/>
      <c r="BN282" s="161"/>
      <c r="BO282" s="161"/>
      <c r="BP282" s="161"/>
      <c r="BQ282" s="161"/>
      <c r="BR282" s="161"/>
      <c r="BS282" s="161"/>
      <c r="BT282" s="161"/>
      <c r="BU282" s="161"/>
      <c r="BV282" s="161"/>
      <c r="BW282" s="161"/>
      <c r="BX282" s="161"/>
      <c r="BY282" s="161"/>
      <c r="BZ282" s="161"/>
      <c r="CA282" s="161"/>
      <c r="CB282" s="161"/>
      <c r="CC282" s="161"/>
      <c r="CD282" s="161"/>
      <c r="CE282" s="161"/>
      <c r="CF282" s="161"/>
      <c r="CG282" s="161"/>
      <c r="CH282" s="161"/>
      <c r="CI282" s="161"/>
      <c r="CJ282" s="161"/>
      <c r="CK282" s="161"/>
      <c r="CL282" s="161"/>
      <c r="CM282" s="161"/>
      <c r="CN282" s="161"/>
      <c r="CO282" s="161"/>
      <c r="CP282" s="161"/>
      <c r="CQ282" s="161"/>
      <c r="CR282" s="161"/>
      <c r="CS282" s="161"/>
      <c r="CT282" s="161"/>
      <c r="CU282" s="161"/>
      <c r="CV282" s="161"/>
      <c r="CW282" s="161"/>
      <c r="CX282" s="161"/>
      <c r="CY282" s="161"/>
      <c r="CZ282" s="161"/>
      <c r="DA282" s="161"/>
      <c r="DB282" s="161"/>
      <c r="DC282" s="161"/>
      <c r="DD282" s="161"/>
      <c r="DE282" s="161"/>
      <c r="DF282" s="161"/>
      <c r="DG282" s="161"/>
      <c r="DH282" s="161"/>
      <c r="DI282" s="161"/>
      <c r="DJ282" s="161"/>
      <c r="DK282" s="177"/>
      <c r="DL282" s="177"/>
      <c r="DM282" s="177"/>
      <c r="DN282" s="177"/>
      <c r="DO282" s="177"/>
      <c r="DP282" s="177"/>
      <c r="DQ282" s="177"/>
      <c r="DR282" s="177"/>
      <c r="DS282" s="177"/>
      <c r="DT282" s="177"/>
      <c r="DU282" s="177"/>
      <c r="DV282" s="177"/>
      <c r="DW282" s="177"/>
      <c r="DX282" s="177"/>
      <c r="DY282" s="177"/>
      <c r="DZ282" s="177"/>
      <c r="EA282" s="177"/>
      <c r="EB282" s="177"/>
      <c r="EC282" s="177"/>
      <c r="ED282" s="177"/>
      <c r="EF282" s="161"/>
      <c r="EH282" s="161"/>
      <c r="EM282" s="161"/>
      <c r="EN282" s="161"/>
      <c r="EO282" s="161"/>
      <c r="EP282" s="161"/>
      <c r="FL282" s="161"/>
      <c r="FM282" s="161"/>
      <c r="FN282" s="161"/>
      <c r="FO282" s="161"/>
      <c r="FP282" s="161"/>
      <c r="FQ282" s="161"/>
      <c r="FR282" s="161"/>
      <c r="FS282" s="161"/>
      <c r="FT282" s="161"/>
      <c r="FU282" s="161"/>
      <c r="FV282" s="161"/>
      <c r="FW282" s="667"/>
      <c r="FX282" s="667"/>
      <c r="FY282" s="161"/>
      <c r="FZ282" s="161"/>
      <c r="GA282" s="161"/>
      <c r="GB282" s="161"/>
      <c r="GC282" s="177"/>
      <c r="GD282" s="161"/>
      <c r="GE282" s="177"/>
    </row>
    <row r="283" spans="1:187">
      <c r="A283" s="161"/>
      <c r="B283" s="161"/>
      <c r="C283" s="161"/>
      <c r="D283" s="161"/>
      <c r="E283" s="161"/>
      <c r="F283" s="161"/>
      <c r="G283" s="161"/>
      <c r="H283" s="161"/>
      <c r="I283" s="161"/>
      <c r="J283" s="161"/>
      <c r="K283" s="161"/>
      <c r="L283" s="161"/>
      <c r="M283" s="161"/>
      <c r="N283" s="161"/>
      <c r="O283" s="161"/>
      <c r="P283" s="161"/>
      <c r="Q283" s="161"/>
      <c r="R283" s="161"/>
      <c r="S283" s="161"/>
      <c r="T283" s="161"/>
      <c r="U283" s="161"/>
      <c r="V283" s="161"/>
      <c r="W283" s="161"/>
      <c r="X283" s="161"/>
      <c r="Y283" s="161"/>
      <c r="Z283" s="161"/>
      <c r="AA283" s="161"/>
      <c r="AB283" s="161"/>
      <c r="AC283" s="161"/>
      <c r="AD283" s="161"/>
      <c r="AE283" s="161"/>
      <c r="AF283" s="161"/>
      <c r="AG283" s="161"/>
      <c r="AH283" s="161"/>
      <c r="AI283" s="161"/>
      <c r="AJ283" s="161"/>
      <c r="AK283" s="161"/>
      <c r="AL283" s="161"/>
      <c r="AM283" s="161"/>
      <c r="AN283" s="161"/>
      <c r="AO283" s="161"/>
      <c r="AP283" s="161"/>
      <c r="AQ283" s="161"/>
      <c r="AR283" s="161"/>
      <c r="AS283" s="161"/>
      <c r="AT283" s="161"/>
      <c r="AU283" s="161"/>
      <c r="AV283" s="161"/>
      <c r="AW283" s="161"/>
      <c r="AX283" s="161"/>
      <c r="AY283" s="161"/>
      <c r="AZ283" s="161"/>
      <c r="BA283" s="161"/>
      <c r="BB283" s="161"/>
      <c r="BC283" s="161"/>
      <c r="BD283" s="161"/>
      <c r="BE283" s="161"/>
      <c r="BF283" s="161"/>
      <c r="BG283" s="161"/>
      <c r="BH283" s="161"/>
      <c r="BI283" s="161"/>
      <c r="BJ283" s="161"/>
      <c r="BK283" s="161"/>
      <c r="BL283" s="161"/>
      <c r="BM283" s="161"/>
      <c r="BN283" s="161"/>
      <c r="BO283" s="161"/>
      <c r="BP283" s="161"/>
      <c r="BQ283" s="161"/>
      <c r="BR283" s="161"/>
      <c r="BS283" s="161"/>
      <c r="BT283" s="161"/>
      <c r="BU283" s="161"/>
      <c r="BV283" s="161"/>
      <c r="BW283" s="161"/>
      <c r="BX283" s="161"/>
      <c r="BY283" s="161"/>
      <c r="BZ283" s="161"/>
      <c r="CA283" s="161"/>
      <c r="CB283" s="161"/>
      <c r="CC283" s="161"/>
      <c r="CD283" s="161"/>
      <c r="CE283" s="161"/>
      <c r="CF283" s="161"/>
      <c r="CG283" s="161"/>
      <c r="CH283" s="161"/>
      <c r="CI283" s="161"/>
      <c r="CJ283" s="161"/>
      <c r="CK283" s="161"/>
      <c r="CL283" s="161"/>
      <c r="CM283" s="161"/>
      <c r="CN283" s="161"/>
      <c r="CO283" s="161"/>
      <c r="CP283" s="161"/>
      <c r="CQ283" s="161"/>
      <c r="CR283" s="161"/>
      <c r="CS283" s="161"/>
      <c r="CT283" s="161"/>
      <c r="CU283" s="161"/>
      <c r="CV283" s="161"/>
      <c r="CW283" s="161"/>
      <c r="CX283" s="161"/>
      <c r="CY283" s="161"/>
      <c r="CZ283" s="161"/>
      <c r="DA283" s="161"/>
      <c r="DB283" s="161"/>
      <c r="DC283" s="161"/>
      <c r="DD283" s="161"/>
      <c r="DE283" s="161"/>
      <c r="DF283" s="161"/>
      <c r="DG283" s="161"/>
      <c r="DH283" s="161"/>
      <c r="DI283" s="161"/>
      <c r="DJ283" s="161"/>
      <c r="DK283" s="177"/>
      <c r="DL283" s="177"/>
      <c r="DM283" s="177"/>
      <c r="DN283" s="177"/>
      <c r="DO283" s="177"/>
      <c r="DP283" s="177"/>
      <c r="DQ283" s="177"/>
      <c r="DR283" s="177"/>
      <c r="DS283" s="177"/>
      <c r="DT283" s="177"/>
      <c r="DU283" s="177"/>
      <c r="DV283" s="177"/>
      <c r="DW283" s="177"/>
      <c r="DX283" s="177"/>
      <c r="DY283" s="177"/>
      <c r="DZ283" s="177"/>
      <c r="EA283" s="177"/>
      <c r="EB283" s="177"/>
      <c r="EC283" s="177"/>
      <c r="ED283" s="177"/>
      <c r="EF283" s="161"/>
      <c r="EH283" s="161"/>
      <c r="EM283" s="161"/>
      <c r="EN283" s="161"/>
      <c r="EO283" s="161"/>
      <c r="EP283" s="161"/>
      <c r="FL283" s="161"/>
      <c r="FM283" s="161"/>
      <c r="FN283" s="161"/>
      <c r="FO283" s="161"/>
      <c r="FP283" s="161"/>
      <c r="FQ283" s="161"/>
      <c r="FR283" s="161"/>
      <c r="FS283" s="161"/>
      <c r="FT283" s="161"/>
      <c r="FU283" s="161"/>
      <c r="FV283" s="161"/>
      <c r="FW283" s="667"/>
      <c r="FX283" s="667"/>
      <c r="FY283" s="161"/>
      <c r="FZ283" s="161"/>
      <c r="GA283" s="161"/>
      <c r="GB283" s="161"/>
      <c r="GC283" s="177"/>
      <c r="GD283" s="161"/>
      <c r="GE283" s="177"/>
    </row>
    <row r="284" spans="1:187">
      <c r="A284" s="161"/>
      <c r="B284" s="161"/>
      <c r="C284" s="161"/>
      <c r="D284" s="161"/>
      <c r="E284" s="161"/>
      <c r="F284" s="161"/>
      <c r="G284" s="161"/>
      <c r="H284" s="161"/>
      <c r="I284" s="161"/>
      <c r="J284" s="161"/>
      <c r="K284" s="161"/>
      <c r="L284" s="161"/>
      <c r="M284" s="161"/>
      <c r="N284" s="161"/>
      <c r="O284" s="161"/>
      <c r="P284" s="161"/>
      <c r="Q284" s="161"/>
      <c r="R284" s="161"/>
      <c r="S284" s="161"/>
      <c r="T284" s="161"/>
      <c r="U284" s="161"/>
      <c r="V284" s="161"/>
      <c r="W284" s="161"/>
      <c r="X284" s="161"/>
      <c r="Y284" s="161"/>
      <c r="Z284" s="161"/>
      <c r="AA284" s="161"/>
      <c r="AB284" s="161"/>
      <c r="AC284" s="161"/>
      <c r="AD284" s="161"/>
      <c r="AE284" s="161"/>
      <c r="AF284" s="161"/>
      <c r="AG284" s="161"/>
      <c r="AH284" s="161"/>
      <c r="AI284" s="161"/>
      <c r="AJ284" s="161"/>
      <c r="AK284" s="161"/>
      <c r="AL284" s="161"/>
      <c r="AM284" s="161"/>
      <c r="AN284" s="161"/>
      <c r="AO284" s="161"/>
      <c r="AP284" s="161"/>
      <c r="AQ284" s="161"/>
      <c r="AR284" s="161"/>
      <c r="AS284" s="161"/>
      <c r="AT284" s="161"/>
      <c r="AU284" s="161"/>
      <c r="AV284" s="161"/>
      <c r="AW284" s="161"/>
      <c r="AX284" s="161"/>
      <c r="AY284" s="161"/>
      <c r="AZ284" s="161"/>
      <c r="BA284" s="161"/>
      <c r="BB284" s="161"/>
      <c r="BC284" s="161"/>
      <c r="BD284" s="161"/>
      <c r="BE284" s="161"/>
      <c r="BF284" s="161"/>
      <c r="BG284" s="161"/>
      <c r="BH284" s="161"/>
      <c r="BI284" s="161"/>
      <c r="BJ284" s="161"/>
      <c r="BK284" s="161"/>
      <c r="BL284" s="161"/>
      <c r="BM284" s="161"/>
      <c r="BN284" s="161"/>
      <c r="BO284" s="161"/>
      <c r="BP284" s="161"/>
      <c r="BQ284" s="161"/>
      <c r="BR284" s="161"/>
      <c r="BS284" s="161"/>
      <c r="BT284" s="161"/>
      <c r="BU284" s="161"/>
      <c r="BV284" s="161"/>
      <c r="BW284" s="161"/>
      <c r="BX284" s="161"/>
      <c r="BY284" s="161"/>
      <c r="BZ284" s="161"/>
      <c r="CA284" s="161"/>
      <c r="CB284" s="161"/>
      <c r="CC284" s="161"/>
      <c r="CD284" s="161"/>
      <c r="CE284" s="161"/>
      <c r="CF284" s="161"/>
      <c r="CG284" s="161"/>
      <c r="CH284" s="161"/>
      <c r="CI284" s="161"/>
      <c r="CJ284" s="161"/>
      <c r="CK284" s="161"/>
      <c r="CL284" s="161"/>
      <c r="CM284" s="161"/>
      <c r="CN284" s="161"/>
      <c r="CO284" s="161"/>
      <c r="CP284" s="161"/>
      <c r="CQ284" s="161"/>
      <c r="CR284" s="161"/>
      <c r="CS284" s="161"/>
      <c r="CT284" s="161"/>
      <c r="CU284" s="161"/>
      <c r="CV284" s="161"/>
      <c r="CW284" s="161"/>
      <c r="CX284" s="161"/>
      <c r="CY284" s="161"/>
      <c r="CZ284" s="161"/>
      <c r="DA284" s="161"/>
      <c r="DB284" s="161"/>
      <c r="DC284" s="161"/>
      <c r="DD284" s="161"/>
      <c r="DE284" s="161"/>
      <c r="DF284" s="161"/>
      <c r="DG284" s="161"/>
      <c r="DH284" s="161"/>
      <c r="DI284" s="161"/>
      <c r="DJ284" s="161"/>
      <c r="DK284" s="177"/>
      <c r="DL284" s="177"/>
      <c r="DM284" s="177"/>
      <c r="DN284" s="177"/>
      <c r="DO284" s="177"/>
      <c r="DP284" s="177"/>
      <c r="DQ284" s="177"/>
      <c r="DR284" s="177"/>
      <c r="DS284" s="177"/>
      <c r="DT284" s="177"/>
      <c r="DU284" s="177"/>
      <c r="DV284" s="177"/>
      <c r="DW284" s="177"/>
      <c r="DX284" s="177"/>
      <c r="DY284" s="177"/>
      <c r="DZ284" s="177"/>
      <c r="EA284" s="177"/>
      <c r="EB284" s="177"/>
      <c r="EC284" s="177"/>
      <c r="ED284" s="177"/>
      <c r="EF284" s="161"/>
      <c r="EH284" s="161"/>
      <c r="EM284" s="161"/>
      <c r="EN284" s="161"/>
      <c r="EO284" s="161"/>
      <c r="EP284" s="161"/>
      <c r="FL284" s="161"/>
      <c r="FM284" s="161"/>
      <c r="FN284" s="161"/>
      <c r="FO284" s="161"/>
      <c r="FP284" s="161"/>
      <c r="FQ284" s="161"/>
      <c r="FR284" s="161"/>
      <c r="FS284" s="161"/>
      <c r="FT284" s="161"/>
      <c r="FU284" s="161"/>
      <c r="FV284" s="161"/>
      <c r="FW284" s="667"/>
      <c r="FX284" s="667"/>
      <c r="FY284" s="161"/>
      <c r="FZ284" s="161"/>
      <c r="GA284" s="161"/>
      <c r="GB284" s="161"/>
      <c r="GC284" s="177"/>
      <c r="GD284" s="161"/>
      <c r="GE284" s="177"/>
    </row>
    <row r="285" spans="1:187">
      <c r="A285" s="161"/>
      <c r="B285" s="161"/>
      <c r="C285" s="161"/>
      <c r="D285" s="161"/>
      <c r="E285" s="161"/>
      <c r="F285" s="161"/>
      <c r="G285" s="161"/>
      <c r="H285" s="161"/>
      <c r="I285" s="161"/>
      <c r="J285" s="161"/>
      <c r="K285" s="161"/>
      <c r="L285" s="161"/>
      <c r="M285" s="161"/>
      <c r="N285" s="161"/>
      <c r="O285" s="161"/>
      <c r="P285" s="161"/>
      <c r="Q285" s="161"/>
      <c r="R285" s="161"/>
      <c r="S285" s="161"/>
      <c r="T285" s="161"/>
      <c r="U285" s="161"/>
      <c r="V285" s="161"/>
      <c r="W285" s="161"/>
      <c r="X285" s="161"/>
      <c r="Y285" s="161"/>
      <c r="Z285" s="161"/>
      <c r="AA285" s="161"/>
      <c r="AB285" s="161"/>
      <c r="AC285" s="161"/>
      <c r="AD285" s="161"/>
      <c r="AE285" s="161"/>
      <c r="AF285" s="161"/>
      <c r="AG285" s="161"/>
      <c r="AH285" s="161"/>
      <c r="AI285" s="161"/>
      <c r="AJ285" s="161"/>
      <c r="AK285" s="161"/>
      <c r="AL285" s="161"/>
      <c r="AM285" s="161"/>
      <c r="AN285" s="161"/>
      <c r="AO285" s="161"/>
      <c r="AP285" s="161"/>
      <c r="AQ285" s="161"/>
      <c r="AR285" s="161"/>
      <c r="AS285" s="161"/>
      <c r="AT285" s="161"/>
      <c r="AU285" s="161"/>
      <c r="AV285" s="161"/>
      <c r="AW285" s="161"/>
      <c r="AX285" s="161"/>
      <c r="AY285" s="161"/>
      <c r="AZ285" s="161"/>
      <c r="BA285" s="161"/>
      <c r="BB285" s="161"/>
      <c r="BC285" s="161"/>
      <c r="BD285" s="161"/>
      <c r="BE285" s="161"/>
      <c r="BF285" s="161"/>
      <c r="BG285" s="161"/>
      <c r="BH285" s="161"/>
      <c r="BI285" s="161"/>
      <c r="BJ285" s="161"/>
      <c r="BK285" s="161"/>
      <c r="BL285" s="161"/>
      <c r="BM285" s="161"/>
      <c r="BN285" s="161"/>
      <c r="BO285" s="161"/>
      <c r="BP285" s="161"/>
      <c r="BQ285" s="161"/>
      <c r="BR285" s="161"/>
      <c r="BS285" s="161"/>
      <c r="BT285" s="161"/>
      <c r="BU285" s="161"/>
      <c r="BV285" s="161"/>
      <c r="BW285" s="161"/>
      <c r="BX285" s="161"/>
      <c r="BY285" s="161"/>
      <c r="BZ285" s="161"/>
      <c r="CA285" s="161"/>
      <c r="CB285" s="161"/>
      <c r="CC285" s="161"/>
      <c r="CD285" s="161"/>
      <c r="CE285" s="161"/>
      <c r="CF285" s="161"/>
      <c r="CG285" s="161"/>
      <c r="CH285" s="161"/>
      <c r="CI285" s="161"/>
      <c r="CJ285" s="161"/>
      <c r="CK285" s="161"/>
      <c r="CL285" s="161"/>
      <c r="CM285" s="161"/>
      <c r="CN285" s="161"/>
      <c r="CO285" s="161"/>
      <c r="CP285" s="161"/>
      <c r="CQ285" s="161"/>
      <c r="CR285" s="161"/>
      <c r="CS285" s="161"/>
      <c r="CT285" s="161"/>
      <c r="CU285" s="161"/>
      <c r="CV285" s="161"/>
      <c r="CW285" s="161"/>
      <c r="CX285" s="161"/>
      <c r="CY285" s="161"/>
      <c r="CZ285" s="161"/>
      <c r="DA285" s="161"/>
      <c r="DB285" s="161"/>
      <c r="DC285" s="161"/>
      <c r="DD285" s="161"/>
      <c r="DE285" s="161"/>
      <c r="DF285" s="161"/>
      <c r="DG285" s="161"/>
      <c r="DH285" s="161"/>
      <c r="DI285" s="161"/>
      <c r="DJ285" s="161"/>
      <c r="DK285" s="177"/>
      <c r="DL285" s="177"/>
      <c r="DM285" s="177"/>
      <c r="DN285" s="177"/>
      <c r="DO285" s="177"/>
      <c r="DP285" s="177"/>
      <c r="DQ285" s="177"/>
      <c r="DR285" s="177"/>
      <c r="DS285" s="177"/>
      <c r="DT285" s="177"/>
      <c r="DU285" s="177"/>
      <c r="DV285" s="177"/>
      <c r="DW285" s="177"/>
      <c r="DX285" s="177"/>
      <c r="DY285" s="177"/>
      <c r="DZ285" s="177"/>
      <c r="EA285" s="177"/>
      <c r="EB285" s="177"/>
      <c r="EC285" s="177"/>
      <c r="ED285" s="177"/>
      <c r="EF285" s="161"/>
      <c r="EH285" s="161"/>
      <c r="EM285" s="161"/>
      <c r="EN285" s="161"/>
      <c r="EO285" s="161"/>
      <c r="EP285" s="161"/>
      <c r="FL285" s="161"/>
      <c r="FM285" s="161"/>
      <c r="FN285" s="161"/>
      <c r="FO285" s="161"/>
      <c r="FP285" s="161"/>
      <c r="FQ285" s="161"/>
      <c r="FR285" s="161"/>
      <c r="FS285" s="161"/>
      <c r="FT285" s="161"/>
      <c r="FU285" s="161"/>
      <c r="FV285" s="161"/>
      <c r="FW285" s="161"/>
      <c r="FX285" s="161"/>
      <c r="FY285" s="161"/>
      <c r="FZ285" s="161"/>
      <c r="GA285" s="161"/>
      <c r="GB285" s="161"/>
      <c r="GC285" s="177"/>
      <c r="GD285" s="161"/>
      <c r="GE285" s="177"/>
    </row>
    <row r="286" spans="1:187">
      <c r="A286" s="161"/>
      <c r="B286" s="161"/>
      <c r="C286" s="161"/>
      <c r="D286" s="161"/>
      <c r="E286" s="161"/>
      <c r="F286" s="161"/>
      <c r="G286" s="161"/>
      <c r="H286" s="161"/>
      <c r="I286" s="161"/>
      <c r="J286" s="161"/>
      <c r="K286" s="161"/>
      <c r="L286" s="161"/>
      <c r="M286" s="161"/>
      <c r="N286" s="161"/>
      <c r="O286" s="161"/>
      <c r="P286" s="161"/>
      <c r="Q286" s="161"/>
      <c r="R286" s="161"/>
      <c r="S286" s="161"/>
      <c r="T286" s="161"/>
      <c r="U286" s="161"/>
      <c r="V286" s="161"/>
      <c r="W286" s="161"/>
      <c r="X286" s="161"/>
      <c r="Y286" s="161"/>
      <c r="Z286" s="161"/>
      <c r="AA286" s="161"/>
      <c r="AB286" s="161"/>
      <c r="AC286" s="161"/>
      <c r="AD286" s="161"/>
      <c r="AE286" s="161"/>
      <c r="AF286" s="161"/>
      <c r="AG286" s="161"/>
      <c r="AH286" s="161"/>
      <c r="AI286" s="161"/>
      <c r="AJ286" s="161"/>
      <c r="AK286" s="161"/>
      <c r="AL286" s="161"/>
      <c r="AM286" s="161"/>
      <c r="AN286" s="161"/>
      <c r="AO286" s="161"/>
      <c r="AP286" s="161"/>
      <c r="AQ286" s="161"/>
      <c r="AR286" s="161"/>
      <c r="AS286" s="161"/>
      <c r="AT286" s="161"/>
      <c r="AU286" s="161"/>
      <c r="AV286" s="161"/>
      <c r="AW286" s="161"/>
      <c r="AX286" s="161"/>
      <c r="AY286" s="161"/>
      <c r="AZ286" s="161"/>
      <c r="BA286" s="161"/>
      <c r="BB286" s="161"/>
      <c r="BC286" s="161"/>
      <c r="BD286" s="161"/>
      <c r="BE286" s="161"/>
      <c r="BF286" s="161"/>
      <c r="BG286" s="161"/>
      <c r="BH286" s="161"/>
      <c r="BI286" s="161"/>
      <c r="BJ286" s="161"/>
      <c r="BK286" s="161"/>
      <c r="BL286" s="161"/>
      <c r="BM286" s="161"/>
      <c r="BN286" s="161"/>
      <c r="BO286" s="161"/>
      <c r="BP286" s="161"/>
      <c r="BQ286" s="161"/>
      <c r="BR286" s="161"/>
      <c r="BS286" s="161"/>
      <c r="BT286" s="161"/>
      <c r="BU286" s="161"/>
      <c r="BV286" s="161"/>
      <c r="BW286" s="161"/>
      <c r="BX286" s="161"/>
      <c r="BY286" s="161"/>
      <c r="BZ286" s="161"/>
      <c r="CA286" s="161"/>
      <c r="CB286" s="161"/>
      <c r="CC286" s="161"/>
      <c r="CD286" s="161"/>
      <c r="CE286" s="161"/>
      <c r="CF286" s="161"/>
      <c r="CG286" s="161"/>
      <c r="CH286" s="161"/>
      <c r="CI286" s="161"/>
      <c r="CJ286" s="161"/>
      <c r="CK286" s="161"/>
      <c r="CL286" s="161"/>
      <c r="CM286" s="161"/>
      <c r="CN286" s="161"/>
      <c r="CO286" s="161"/>
      <c r="CP286" s="161"/>
      <c r="CQ286" s="161"/>
      <c r="CR286" s="161"/>
      <c r="CS286" s="161"/>
      <c r="CT286" s="161"/>
      <c r="CU286" s="161"/>
      <c r="CV286" s="161"/>
      <c r="CW286" s="161"/>
      <c r="CX286" s="161"/>
      <c r="CY286" s="161"/>
      <c r="CZ286" s="161"/>
      <c r="DA286" s="161"/>
      <c r="DB286" s="161"/>
      <c r="DC286" s="161"/>
      <c r="DD286" s="161"/>
      <c r="DE286" s="161"/>
      <c r="DF286" s="161"/>
      <c r="DG286" s="161"/>
      <c r="DH286" s="161"/>
      <c r="DI286" s="161"/>
      <c r="DJ286" s="161"/>
      <c r="DK286" s="177"/>
      <c r="DL286" s="177"/>
      <c r="DM286" s="177"/>
      <c r="DN286" s="177"/>
      <c r="DO286" s="177"/>
      <c r="DP286" s="177"/>
      <c r="DQ286" s="177"/>
      <c r="DR286" s="177"/>
      <c r="DS286" s="177"/>
      <c r="DT286" s="177"/>
      <c r="DU286" s="177"/>
      <c r="DV286" s="177"/>
      <c r="DW286" s="177"/>
      <c r="DX286" s="177"/>
      <c r="DY286" s="177"/>
      <c r="DZ286" s="177"/>
      <c r="EA286" s="177"/>
      <c r="EB286" s="177"/>
      <c r="EC286" s="177"/>
      <c r="ED286" s="177"/>
      <c r="EF286" s="161"/>
      <c r="EH286" s="161"/>
      <c r="EM286" s="161"/>
      <c r="EN286" s="161"/>
      <c r="EO286" s="161"/>
      <c r="EP286" s="161"/>
      <c r="FL286" s="161"/>
      <c r="FM286" s="161"/>
      <c r="FN286" s="161"/>
      <c r="FO286" s="161"/>
      <c r="FP286" s="161"/>
      <c r="FQ286" s="161"/>
      <c r="FR286" s="161"/>
      <c r="FS286" s="161"/>
      <c r="FT286" s="161"/>
      <c r="FU286" s="161"/>
      <c r="FV286" s="161"/>
      <c r="FW286" s="161"/>
      <c r="FX286" s="161"/>
      <c r="FY286" s="161"/>
      <c r="FZ286" s="161"/>
      <c r="GA286" s="161"/>
      <c r="GB286" s="161"/>
      <c r="GC286" s="177"/>
      <c r="GD286" s="161"/>
      <c r="GE286" s="177"/>
    </row>
    <row r="287" spans="1:187">
      <c r="A287" s="161"/>
      <c r="B287" s="161"/>
      <c r="C287" s="161"/>
      <c r="D287" s="161"/>
      <c r="E287" s="161"/>
      <c r="F287" s="161"/>
      <c r="G287" s="161"/>
      <c r="H287" s="161"/>
      <c r="I287" s="161"/>
      <c r="J287" s="161"/>
      <c r="K287" s="161"/>
      <c r="L287" s="161"/>
      <c r="M287" s="161"/>
      <c r="N287" s="161"/>
      <c r="O287" s="161"/>
      <c r="P287" s="161"/>
      <c r="Q287" s="161"/>
      <c r="R287" s="161"/>
      <c r="S287" s="161"/>
      <c r="T287" s="161"/>
      <c r="U287" s="161"/>
      <c r="V287" s="161"/>
      <c r="W287" s="161"/>
      <c r="X287" s="161"/>
      <c r="Y287" s="161"/>
      <c r="Z287" s="161"/>
      <c r="AA287" s="161"/>
      <c r="AB287" s="161"/>
      <c r="AC287" s="161"/>
      <c r="AD287" s="161"/>
      <c r="AE287" s="161"/>
      <c r="AF287" s="161"/>
      <c r="AG287" s="161"/>
      <c r="AH287" s="161"/>
      <c r="AI287" s="161"/>
      <c r="AJ287" s="161"/>
      <c r="AK287" s="161"/>
      <c r="AL287" s="161"/>
      <c r="AM287" s="161"/>
      <c r="AN287" s="161"/>
      <c r="AO287" s="161"/>
      <c r="AP287" s="161"/>
      <c r="AQ287" s="161"/>
      <c r="AR287" s="161"/>
      <c r="AS287" s="161"/>
      <c r="AT287" s="161"/>
      <c r="AU287" s="161"/>
      <c r="AV287" s="161"/>
      <c r="AW287" s="161"/>
      <c r="AX287" s="161"/>
      <c r="AY287" s="161"/>
      <c r="AZ287" s="161"/>
      <c r="BA287" s="161"/>
      <c r="BB287" s="161"/>
      <c r="BC287" s="161"/>
      <c r="BD287" s="161"/>
      <c r="BE287" s="161"/>
      <c r="BF287" s="161"/>
      <c r="BG287" s="161"/>
      <c r="BH287" s="161"/>
      <c r="BI287" s="161"/>
      <c r="BJ287" s="161"/>
      <c r="BK287" s="161"/>
      <c r="BL287" s="161"/>
      <c r="BM287" s="161"/>
      <c r="BN287" s="161"/>
      <c r="BO287" s="161"/>
      <c r="BP287" s="161"/>
      <c r="BQ287" s="161"/>
      <c r="BR287" s="161"/>
      <c r="BS287" s="161"/>
      <c r="BT287" s="161"/>
      <c r="BU287" s="161"/>
      <c r="BV287" s="161"/>
      <c r="BW287" s="161"/>
      <c r="BX287" s="161"/>
      <c r="BY287" s="161"/>
      <c r="BZ287" s="161"/>
      <c r="CA287" s="161"/>
      <c r="CB287" s="161"/>
      <c r="CC287" s="161"/>
      <c r="CD287" s="161"/>
      <c r="CE287" s="161"/>
      <c r="CF287" s="161"/>
      <c r="CG287" s="161"/>
      <c r="CH287" s="161"/>
      <c r="CI287" s="161"/>
      <c r="CJ287" s="161"/>
      <c r="CK287" s="161"/>
      <c r="CL287" s="161"/>
      <c r="CM287" s="161"/>
      <c r="CN287" s="161"/>
      <c r="CO287" s="161"/>
      <c r="CP287" s="161"/>
      <c r="CQ287" s="161"/>
      <c r="CR287" s="161"/>
      <c r="CS287" s="161"/>
      <c r="CT287" s="161"/>
      <c r="CU287" s="161"/>
      <c r="CV287" s="161"/>
      <c r="CW287" s="161"/>
      <c r="CX287" s="161"/>
      <c r="CY287" s="161"/>
      <c r="CZ287" s="161"/>
      <c r="DA287" s="161"/>
      <c r="DB287" s="161"/>
      <c r="DC287" s="161"/>
      <c r="DD287" s="161"/>
      <c r="DE287" s="161"/>
      <c r="DF287" s="161"/>
      <c r="DG287" s="161"/>
      <c r="DH287" s="161"/>
      <c r="DI287" s="161"/>
      <c r="DJ287" s="161"/>
      <c r="DK287" s="177"/>
      <c r="DL287" s="177"/>
      <c r="DM287" s="177"/>
      <c r="DN287" s="177"/>
      <c r="DO287" s="177"/>
      <c r="DP287" s="177"/>
      <c r="DQ287" s="177"/>
      <c r="DR287" s="177"/>
      <c r="DS287" s="177"/>
      <c r="DT287" s="177"/>
      <c r="DU287" s="177"/>
      <c r="DV287" s="177"/>
      <c r="DW287" s="177"/>
      <c r="DX287" s="177"/>
      <c r="DY287" s="177"/>
      <c r="DZ287" s="177"/>
      <c r="EA287" s="177"/>
      <c r="EB287" s="177"/>
      <c r="EC287" s="177"/>
      <c r="ED287" s="177"/>
      <c r="EF287" s="161"/>
      <c r="EH287" s="161"/>
      <c r="EM287" s="161"/>
      <c r="EN287" s="161"/>
      <c r="EO287" s="161"/>
      <c r="EP287" s="161"/>
      <c r="FL287" s="161"/>
      <c r="FM287" s="161"/>
      <c r="FN287" s="161"/>
      <c r="FO287" s="161"/>
      <c r="FP287" s="161"/>
      <c r="FQ287" s="161"/>
      <c r="FR287" s="161"/>
      <c r="FS287" s="161"/>
      <c r="FT287" s="161"/>
      <c r="FU287" s="161"/>
      <c r="FV287" s="161"/>
      <c r="FW287" s="161"/>
      <c r="FX287" s="161"/>
      <c r="FY287" s="161"/>
      <c r="FZ287" s="161"/>
      <c r="GA287" s="161"/>
      <c r="GB287" s="161"/>
      <c r="GC287" s="177"/>
      <c r="GD287" s="161"/>
      <c r="GE287" s="177"/>
    </row>
    <row r="288" spans="1:187">
      <c r="A288" s="161"/>
      <c r="B288" s="161"/>
      <c r="C288" s="161"/>
      <c r="D288" s="161"/>
      <c r="E288" s="161"/>
      <c r="F288" s="161"/>
      <c r="G288" s="161"/>
      <c r="H288" s="161"/>
      <c r="I288" s="161"/>
      <c r="J288" s="161"/>
      <c r="K288" s="161"/>
      <c r="L288" s="161"/>
      <c r="M288" s="161"/>
      <c r="N288" s="161"/>
      <c r="O288" s="161"/>
      <c r="P288" s="161"/>
      <c r="Q288" s="161"/>
      <c r="R288" s="161"/>
      <c r="S288" s="161"/>
      <c r="T288" s="161"/>
      <c r="U288" s="161"/>
      <c r="V288" s="161"/>
      <c r="W288" s="161"/>
      <c r="X288" s="161"/>
      <c r="Y288" s="161"/>
      <c r="Z288" s="161"/>
      <c r="AA288" s="161"/>
      <c r="AB288" s="161"/>
      <c r="AC288" s="161"/>
      <c r="AD288" s="161"/>
      <c r="AE288" s="161"/>
      <c r="AF288" s="161"/>
      <c r="AG288" s="161"/>
      <c r="AH288" s="161"/>
      <c r="AI288" s="161"/>
      <c r="AJ288" s="161"/>
      <c r="AK288" s="161"/>
      <c r="AL288" s="161"/>
      <c r="AM288" s="161"/>
      <c r="AN288" s="161"/>
      <c r="AO288" s="161"/>
      <c r="AP288" s="161"/>
      <c r="AQ288" s="161"/>
      <c r="AR288" s="161"/>
      <c r="AS288" s="161"/>
      <c r="AT288" s="161"/>
      <c r="AU288" s="161"/>
      <c r="AV288" s="161"/>
      <c r="AW288" s="161"/>
      <c r="AX288" s="161"/>
      <c r="AY288" s="161"/>
      <c r="AZ288" s="161"/>
      <c r="BA288" s="161"/>
      <c r="BB288" s="161"/>
      <c r="BC288" s="161"/>
      <c r="BD288" s="161"/>
      <c r="BE288" s="161"/>
      <c r="BF288" s="161"/>
      <c r="BG288" s="161"/>
      <c r="BH288" s="161"/>
      <c r="BI288" s="161"/>
      <c r="BJ288" s="161"/>
      <c r="BK288" s="161"/>
      <c r="BL288" s="161"/>
      <c r="BM288" s="161"/>
      <c r="BN288" s="161"/>
      <c r="BO288" s="161"/>
      <c r="BP288" s="161"/>
      <c r="BQ288" s="161"/>
      <c r="BR288" s="161"/>
      <c r="BS288" s="161"/>
      <c r="BT288" s="161"/>
      <c r="BU288" s="161"/>
      <c r="BV288" s="161"/>
      <c r="BW288" s="161"/>
      <c r="BX288" s="161"/>
      <c r="BY288" s="161"/>
      <c r="BZ288" s="161"/>
      <c r="CA288" s="161"/>
      <c r="CB288" s="161"/>
      <c r="CC288" s="161"/>
      <c r="CD288" s="161"/>
      <c r="CE288" s="161"/>
      <c r="CF288" s="161"/>
      <c r="CG288" s="161"/>
      <c r="CH288" s="161"/>
      <c r="CI288" s="161"/>
      <c r="CJ288" s="161"/>
      <c r="CK288" s="161"/>
      <c r="CL288" s="161"/>
      <c r="CM288" s="161"/>
      <c r="CN288" s="161"/>
      <c r="CO288" s="161"/>
      <c r="CP288" s="161"/>
      <c r="CQ288" s="161"/>
      <c r="CR288" s="161"/>
      <c r="CS288" s="161"/>
      <c r="CT288" s="161"/>
      <c r="CU288" s="161"/>
      <c r="CV288" s="161"/>
      <c r="CW288" s="161"/>
      <c r="CX288" s="161"/>
      <c r="CY288" s="161"/>
      <c r="CZ288" s="161"/>
      <c r="DA288" s="161"/>
      <c r="DB288" s="161"/>
      <c r="DC288" s="161"/>
      <c r="DD288" s="161"/>
      <c r="DE288" s="161"/>
      <c r="DF288" s="161"/>
      <c r="DG288" s="161"/>
      <c r="DH288" s="161"/>
      <c r="DI288" s="161"/>
      <c r="DJ288" s="161"/>
      <c r="DK288" s="177"/>
      <c r="DL288" s="177"/>
      <c r="DM288" s="177"/>
      <c r="DN288" s="177"/>
      <c r="DO288" s="177"/>
      <c r="DP288" s="177"/>
      <c r="DQ288" s="177"/>
      <c r="DR288" s="177"/>
      <c r="DS288" s="177"/>
      <c r="DT288" s="177"/>
      <c r="DU288" s="177"/>
      <c r="DV288" s="177"/>
      <c r="DW288" s="177"/>
      <c r="DX288" s="177"/>
      <c r="DY288" s="177"/>
      <c r="DZ288" s="177"/>
      <c r="EA288" s="177"/>
      <c r="EB288" s="177"/>
      <c r="EC288" s="177"/>
      <c r="ED288" s="177"/>
      <c r="EF288" s="161"/>
      <c r="EH288" s="161"/>
      <c r="EM288" s="161"/>
      <c r="EN288" s="161"/>
      <c r="EO288" s="161"/>
      <c r="EP288" s="161"/>
      <c r="FL288" s="161"/>
      <c r="FM288" s="161"/>
      <c r="FN288" s="161"/>
      <c r="FO288" s="161"/>
      <c r="FP288" s="161"/>
      <c r="FQ288" s="161"/>
      <c r="FR288" s="161"/>
      <c r="FS288" s="161"/>
      <c r="FT288" s="161"/>
      <c r="FU288" s="161"/>
      <c r="FV288" s="161"/>
      <c r="FW288" s="161"/>
      <c r="FX288" s="161"/>
      <c r="FY288" s="161"/>
      <c r="FZ288" s="161"/>
      <c r="GA288" s="161"/>
      <c r="GB288" s="161"/>
      <c r="GC288" s="177"/>
      <c r="GD288" s="161"/>
      <c r="GE288" s="177"/>
    </row>
    <row r="289" spans="1:187">
      <c r="A289" s="161"/>
      <c r="B289" s="161"/>
      <c r="C289" s="161"/>
      <c r="D289" s="161"/>
      <c r="E289" s="161"/>
      <c r="F289" s="161"/>
      <c r="G289" s="161"/>
      <c r="H289" s="161"/>
      <c r="I289" s="161"/>
      <c r="J289" s="161"/>
      <c r="K289" s="161"/>
      <c r="L289" s="161"/>
      <c r="M289" s="161"/>
      <c r="N289" s="161"/>
      <c r="O289" s="161"/>
      <c r="P289" s="161"/>
      <c r="Q289" s="161"/>
      <c r="R289" s="161"/>
      <c r="S289" s="161"/>
      <c r="T289" s="161"/>
      <c r="U289" s="161"/>
      <c r="V289" s="161"/>
      <c r="W289" s="161"/>
      <c r="X289" s="161"/>
      <c r="Y289" s="161"/>
      <c r="Z289" s="161"/>
      <c r="AA289" s="161"/>
      <c r="AB289" s="161"/>
      <c r="AC289" s="161"/>
      <c r="AD289" s="161"/>
      <c r="AE289" s="161"/>
      <c r="AF289" s="161"/>
      <c r="AG289" s="161"/>
      <c r="AH289" s="161"/>
      <c r="AI289" s="161"/>
      <c r="AJ289" s="161"/>
      <c r="AK289" s="161"/>
      <c r="AL289" s="161"/>
      <c r="AM289" s="161"/>
      <c r="AN289" s="161"/>
      <c r="AO289" s="161"/>
      <c r="AP289" s="161"/>
      <c r="AQ289" s="161"/>
      <c r="AR289" s="161"/>
      <c r="AS289" s="161"/>
      <c r="AT289" s="161"/>
      <c r="AU289" s="161"/>
      <c r="AV289" s="161"/>
      <c r="AW289" s="161"/>
      <c r="AX289" s="161"/>
      <c r="AY289" s="161"/>
      <c r="AZ289" s="161"/>
      <c r="BA289" s="161"/>
      <c r="BB289" s="161"/>
      <c r="BC289" s="161"/>
      <c r="BD289" s="161"/>
      <c r="BE289" s="161"/>
      <c r="BF289" s="161"/>
      <c r="BG289" s="161"/>
      <c r="BH289" s="161"/>
      <c r="BI289" s="161"/>
      <c r="BJ289" s="161"/>
      <c r="BK289" s="161"/>
      <c r="BL289" s="161"/>
      <c r="BM289" s="161"/>
      <c r="BN289" s="161"/>
      <c r="BO289" s="161"/>
      <c r="BP289" s="161"/>
      <c r="BQ289" s="161"/>
      <c r="BR289" s="161"/>
      <c r="BS289" s="161"/>
      <c r="BT289" s="161"/>
      <c r="BU289" s="161"/>
      <c r="BV289" s="161"/>
      <c r="BW289" s="161"/>
      <c r="BX289" s="161"/>
      <c r="BY289" s="161"/>
      <c r="BZ289" s="161"/>
      <c r="CA289" s="161"/>
      <c r="CB289" s="161"/>
      <c r="CC289" s="161"/>
      <c r="CD289" s="161"/>
      <c r="CE289" s="161"/>
      <c r="CF289" s="161"/>
      <c r="CG289" s="161"/>
      <c r="CH289" s="161"/>
      <c r="CI289" s="161"/>
      <c r="CJ289" s="161"/>
      <c r="CK289" s="161"/>
      <c r="CL289" s="161"/>
      <c r="CM289" s="161"/>
      <c r="CN289" s="161"/>
      <c r="CO289" s="161"/>
      <c r="CP289" s="161"/>
      <c r="CQ289" s="161"/>
      <c r="CR289" s="161"/>
      <c r="CS289" s="161"/>
      <c r="CT289" s="161"/>
      <c r="CU289" s="161"/>
      <c r="CV289" s="161"/>
      <c r="CW289" s="161"/>
      <c r="CX289" s="161"/>
      <c r="CY289" s="161"/>
      <c r="CZ289" s="161"/>
      <c r="DA289" s="161"/>
      <c r="DB289" s="161"/>
      <c r="DC289" s="161"/>
      <c r="DD289" s="161"/>
      <c r="DE289" s="161"/>
      <c r="DF289" s="161"/>
      <c r="DG289" s="161"/>
      <c r="DH289" s="161"/>
      <c r="DI289" s="161"/>
      <c r="DJ289" s="161"/>
      <c r="DK289" s="177"/>
      <c r="DL289" s="177"/>
      <c r="DM289" s="177"/>
      <c r="DN289" s="177"/>
      <c r="DO289" s="177"/>
      <c r="DP289" s="177"/>
      <c r="DQ289" s="177"/>
      <c r="DR289" s="177"/>
      <c r="DS289" s="177"/>
      <c r="DT289" s="177"/>
      <c r="DU289" s="177"/>
      <c r="DV289" s="177"/>
      <c r="DW289" s="177"/>
      <c r="DX289" s="177"/>
      <c r="DY289" s="177"/>
      <c r="DZ289" s="177"/>
      <c r="EA289" s="177"/>
      <c r="EB289" s="177"/>
      <c r="EC289" s="177"/>
      <c r="ED289" s="177"/>
      <c r="EF289" s="161"/>
      <c r="EH289" s="161"/>
      <c r="EM289" s="161"/>
      <c r="EN289" s="161"/>
      <c r="EO289" s="161"/>
      <c r="EP289" s="161"/>
      <c r="FL289" s="161"/>
      <c r="FM289" s="161"/>
      <c r="FN289" s="161"/>
      <c r="FO289" s="161"/>
      <c r="FP289" s="161"/>
      <c r="FQ289" s="161"/>
      <c r="FR289" s="161"/>
      <c r="FS289" s="161"/>
      <c r="FT289" s="161"/>
      <c r="FU289" s="161"/>
      <c r="FV289" s="161"/>
      <c r="FW289" s="161"/>
      <c r="FX289" s="161"/>
      <c r="FY289" s="161"/>
      <c r="FZ289" s="161"/>
      <c r="GA289" s="161"/>
      <c r="GB289" s="161"/>
      <c r="GC289" s="177"/>
      <c r="GD289" s="161"/>
      <c r="GE289" s="177"/>
    </row>
    <row r="290" spans="1:187">
      <c r="A290" s="161"/>
      <c r="B290" s="161"/>
      <c r="C290" s="161"/>
      <c r="D290" s="161"/>
      <c r="E290" s="161"/>
      <c r="F290" s="161"/>
      <c r="G290" s="161"/>
      <c r="H290" s="161"/>
      <c r="I290" s="161"/>
      <c r="J290" s="161"/>
      <c r="K290" s="161"/>
      <c r="L290" s="161"/>
      <c r="M290" s="161"/>
      <c r="N290" s="161"/>
      <c r="O290" s="161"/>
      <c r="P290" s="161"/>
      <c r="Q290" s="161"/>
      <c r="R290" s="161"/>
      <c r="S290" s="161"/>
      <c r="T290" s="161"/>
      <c r="U290" s="161"/>
      <c r="V290" s="161"/>
      <c r="W290" s="161"/>
      <c r="X290" s="161"/>
      <c r="Y290" s="161"/>
      <c r="Z290" s="161"/>
      <c r="AA290" s="161"/>
      <c r="AB290" s="161"/>
      <c r="AC290" s="161"/>
      <c r="AD290" s="161"/>
      <c r="AE290" s="161"/>
      <c r="AF290" s="161"/>
      <c r="AG290" s="161"/>
      <c r="AH290" s="161"/>
      <c r="AI290" s="161"/>
      <c r="AJ290" s="161"/>
      <c r="AK290" s="161"/>
      <c r="AL290" s="161"/>
      <c r="AM290" s="161"/>
      <c r="AN290" s="161"/>
      <c r="AO290" s="161"/>
      <c r="AP290" s="161"/>
      <c r="AQ290" s="161"/>
      <c r="AR290" s="161"/>
      <c r="AS290" s="161"/>
      <c r="AT290" s="161"/>
      <c r="AU290" s="161"/>
      <c r="AV290" s="161"/>
      <c r="AW290" s="161"/>
      <c r="AX290" s="161"/>
      <c r="AY290" s="161"/>
      <c r="AZ290" s="161"/>
      <c r="BA290" s="161"/>
      <c r="BB290" s="161"/>
      <c r="BC290" s="161"/>
      <c r="BD290" s="161"/>
      <c r="BE290" s="161"/>
      <c r="BF290" s="161"/>
      <c r="BG290" s="161"/>
      <c r="BH290" s="161"/>
      <c r="BI290" s="161"/>
      <c r="BJ290" s="161"/>
      <c r="BK290" s="161"/>
      <c r="BL290" s="161"/>
      <c r="BM290" s="161"/>
      <c r="BN290" s="161"/>
      <c r="BO290" s="161"/>
      <c r="BP290" s="161"/>
      <c r="BQ290" s="161"/>
      <c r="BR290" s="161"/>
      <c r="BS290" s="161"/>
      <c r="BT290" s="161"/>
      <c r="BU290" s="161"/>
      <c r="BV290" s="161"/>
      <c r="BW290" s="161"/>
      <c r="BX290" s="161"/>
      <c r="BY290" s="161"/>
      <c r="BZ290" s="161"/>
      <c r="CA290" s="161"/>
      <c r="CB290" s="161"/>
      <c r="CC290" s="161"/>
      <c r="CD290" s="161"/>
      <c r="CE290" s="161"/>
      <c r="CF290" s="161"/>
      <c r="CG290" s="161"/>
      <c r="CH290" s="161"/>
      <c r="CI290" s="161"/>
      <c r="CJ290" s="161"/>
      <c r="CK290" s="161"/>
      <c r="CL290" s="161"/>
      <c r="CM290" s="161"/>
      <c r="CN290" s="161"/>
      <c r="CO290" s="161"/>
      <c r="CP290" s="161"/>
      <c r="CQ290" s="161"/>
      <c r="CR290" s="161"/>
      <c r="CS290" s="161"/>
      <c r="CT290" s="161"/>
      <c r="CU290" s="161"/>
      <c r="CV290" s="161"/>
      <c r="CW290" s="161"/>
      <c r="CX290" s="161"/>
      <c r="CY290" s="161"/>
      <c r="CZ290" s="161"/>
      <c r="DA290" s="161"/>
      <c r="DB290" s="161"/>
      <c r="DC290" s="161"/>
      <c r="DD290" s="161"/>
      <c r="DE290" s="161"/>
      <c r="DF290" s="161"/>
      <c r="DG290" s="161"/>
      <c r="DH290" s="161"/>
      <c r="DI290" s="161"/>
      <c r="DJ290" s="161"/>
      <c r="DK290" s="177"/>
      <c r="DL290" s="177"/>
      <c r="DM290" s="177"/>
      <c r="DN290" s="177"/>
      <c r="DO290" s="177"/>
      <c r="DP290" s="177"/>
      <c r="DQ290" s="177"/>
      <c r="DR290" s="177"/>
      <c r="DS290" s="177"/>
      <c r="DT290" s="177"/>
      <c r="DU290" s="177"/>
      <c r="DV290" s="177"/>
      <c r="DW290" s="177"/>
      <c r="DX290" s="177"/>
      <c r="DY290" s="177"/>
      <c r="DZ290" s="177"/>
      <c r="EA290" s="177"/>
      <c r="EB290" s="177"/>
      <c r="EC290" s="177"/>
      <c r="ED290" s="177"/>
      <c r="EF290" s="161"/>
      <c r="EH290" s="161"/>
      <c r="EM290" s="161"/>
      <c r="EN290" s="161"/>
      <c r="EO290" s="161"/>
      <c r="EP290" s="161"/>
      <c r="FL290" s="161"/>
      <c r="FM290" s="161"/>
      <c r="FN290" s="161"/>
      <c r="FO290" s="161"/>
      <c r="FP290" s="161"/>
      <c r="FQ290" s="161"/>
      <c r="FR290" s="161"/>
      <c r="FS290" s="161"/>
      <c r="FT290" s="161"/>
      <c r="FU290" s="161"/>
      <c r="FV290" s="161"/>
      <c r="FW290" s="161"/>
      <c r="FX290" s="161"/>
      <c r="FY290" s="161"/>
      <c r="FZ290" s="161"/>
      <c r="GA290" s="161"/>
      <c r="GB290" s="161"/>
      <c r="GC290" s="177"/>
      <c r="GD290" s="161"/>
      <c r="GE290" s="177"/>
    </row>
    <row r="291" spans="1:187">
      <c r="A291" s="161"/>
      <c r="B291" s="161"/>
      <c r="C291" s="161"/>
      <c r="D291" s="161"/>
      <c r="E291" s="161"/>
      <c r="F291" s="161"/>
      <c r="G291" s="161"/>
      <c r="H291" s="161"/>
      <c r="I291" s="161"/>
      <c r="J291" s="161"/>
      <c r="K291" s="161"/>
      <c r="L291" s="161"/>
      <c r="M291" s="161"/>
      <c r="N291" s="161"/>
      <c r="O291" s="161"/>
      <c r="P291" s="161"/>
      <c r="Q291" s="161"/>
      <c r="R291" s="161"/>
      <c r="S291" s="161"/>
      <c r="T291" s="161"/>
      <c r="U291" s="161"/>
      <c r="V291" s="161"/>
      <c r="W291" s="161"/>
      <c r="X291" s="161"/>
      <c r="Y291" s="161"/>
      <c r="Z291" s="161"/>
      <c r="AA291" s="161"/>
      <c r="AB291" s="161"/>
      <c r="AC291" s="161"/>
      <c r="AD291" s="161"/>
      <c r="AE291" s="161"/>
      <c r="AF291" s="161"/>
      <c r="AG291" s="161"/>
      <c r="AH291" s="161"/>
      <c r="AI291" s="161"/>
      <c r="AJ291" s="161"/>
      <c r="AK291" s="161"/>
      <c r="AL291" s="161"/>
      <c r="AM291" s="161"/>
      <c r="AN291" s="161"/>
      <c r="AO291" s="161"/>
      <c r="AP291" s="161"/>
      <c r="AQ291" s="161"/>
      <c r="AR291" s="161"/>
      <c r="AS291" s="161"/>
      <c r="AT291" s="161"/>
      <c r="AU291" s="161"/>
      <c r="AV291" s="161"/>
      <c r="AW291" s="161"/>
      <c r="AX291" s="161"/>
      <c r="AY291" s="161"/>
      <c r="AZ291" s="161"/>
      <c r="BA291" s="161"/>
      <c r="BB291" s="161"/>
      <c r="BC291" s="161"/>
      <c r="BD291" s="161"/>
      <c r="BE291" s="161"/>
      <c r="BF291" s="161"/>
      <c r="BG291" s="161"/>
      <c r="BH291" s="161"/>
      <c r="BI291" s="161"/>
      <c r="BJ291" s="161"/>
      <c r="BK291" s="161"/>
      <c r="BL291" s="161"/>
      <c r="BM291" s="161"/>
      <c r="BN291" s="161"/>
      <c r="BO291" s="161"/>
      <c r="BP291" s="161"/>
      <c r="BQ291" s="161"/>
      <c r="BR291" s="161"/>
      <c r="BS291" s="161"/>
      <c r="BT291" s="161"/>
      <c r="BU291" s="161"/>
      <c r="BV291" s="161"/>
      <c r="BW291" s="161"/>
      <c r="BX291" s="161"/>
      <c r="BY291" s="161"/>
      <c r="BZ291" s="161"/>
      <c r="CA291" s="161"/>
      <c r="CB291" s="161"/>
      <c r="CC291" s="161"/>
      <c r="CD291" s="161"/>
      <c r="CE291" s="161"/>
      <c r="CF291" s="161"/>
      <c r="CG291" s="161"/>
      <c r="CH291" s="161"/>
      <c r="CI291" s="161"/>
      <c r="CJ291" s="161"/>
      <c r="CK291" s="161"/>
      <c r="CL291" s="161"/>
      <c r="CM291" s="161"/>
      <c r="CN291" s="161"/>
      <c r="CO291" s="161"/>
      <c r="CP291" s="161"/>
      <c r="CQ291" s="161"/>
      <c r="CR291" s="161"/>
      <c r="CS291" s="161"/>
      <c r="CT291" s="161"/>
      <c r="CU291" s="161"/>
      <c r="CV291" s="161"/>
      <c r="CW291" s="161"/>
      <c r="CX291" s="161"/>
      <c r="CY291" s="161"/>
      <c r="CZ291" s="161"/>
      <c r="DA291" s="161"/>
      <c r="DB291" s="161"/>
      <c r="DC291" s="161"/>
      <c r="DD291" s="161"/>
      <c r="DE291" s="161"/>
      <c r="DF291" s="161"/>
      <c r="DG291" s="161"/>
      <c r="DH291" s="161"/>
      <c r="DI291" s="161"/>
      <c r="DJ291" s="161"/>
      <c r="DK291" s="177"/>
      <c r="DL291" s="177"/>
      <c r="DM291" s="177"/>
      <c r="DN291" s="177"/>
      <c r="DO291" s="177"/>
      <c r="DP291" s="177"/>
      <c r="DQ291" s="177"/>
      <c r="DR291" s="177"/>
      <c r="DS291" s="177"/>
      <c r="DT291" s="177"/>
      <c r="DU291" s="177"/>
      <c r="DV291" s="177"/>
      <c r="DW291" s="177"/>
      <c r="DX291" s="177"/>
      <c r="DY291" s="177"/>
      <c r="DZ291" s="177"/>
      <c r="EA291" s="177"/>
      <c r="EB291" s="177"/>
      <c r="EC291" s="177"/>
      <c r="ED291" s="177"/>
      <c r="EF291" s="161"/>
      <c r="EH291" s="161"/>
      <c r="EM291" s="161"/>
      <c r="EN291" s="161"/>
      <c r="EO291" s="161"/>
      <c r="EP291" s="161"/>
      <c r="FL291" s="161"/>
      <c r="FM291" s="161"/>
      <c r="FN291" s="161"/>
      <c r="FO291" s="161"/>
      <c r="FP291" s="161"/>
      <c r="FQ291" s="161"/>
      <c r="FR291" s="161"/>
      <c r="FS291" s="161"/>
      <c r="FT291" s="161"/>
      <c r="FU291" s="161"/>
      <c r="FV291" s="161"/>
      <c r="FW291" s="161"/>
      <c r="FX291" s="161"/>
      <c r="FY291" s="161"/>
      <c r="FZ291" s="161"/>
      <c r="GA291" s="161"/>
      <c r="GB291" s="161"/>
      <c r="GC291" s="177"/>
      <c r="GD291" s="161"/>
      <c r="GE291" s="177"/>
    </row>
    <row r="292" spans="1:187">
      <c r="A292" s="161"/>
      <c r="B292" s="161"/>
      <c r="C292" s="161"/>
      <c r="D292" s="161"/>
      <c r="E292" s="161"/>
      <c r="F292" s="161"/>
      <c r="G292" s="161"/>
      <c r="H292" s="161"/>
      <c r="I292" s="161"/>
      <c r="J292" s="161"/>
      <c r="K292" s="161"/>
      <c r="L292" s="161"/>
      <c r="M292" s="161"/>
      <c r="N292" s="161"/>
      <c r="O292" s="161"/>
      <c r="P292" s="161"/>
      <c r="Q292" s="161"/>
      <c r="R292" s="161"/>
      <c r="S292" s="161"/>
      <c r="T292" s="161"/>
      <c r="U292" s="161"/>
      <c r="V292" s="161"/>
      <c r="W292" s="161"/>
      <c r="X292" s="161"/>
      <c r="Y292" s="161"/>
      <c r="Z292" s="161"/>
      <c r="AA292" s="161"/>
      <c r="AB292" s="161"/>
      <c r="AC292" s="161"/>
      <c r="AD292" s="161"/>
      <c r="AE292" s="161"/>
      <c r="AF292" s="161"/>
      <c r="AG292" s="161"/>
      <c r="AH292" s="161"/>
      <c r="AI292" s="161"/>
      <c r="AJ292" s="161"/>
      <c r="AK292" s="161"/>
      <c r="AL292" s="161"/>
      <c r="AM292" s="161"/>
      <c r="AN292" s="161"/>
      <c r="AO292" s="161"/>
      <c r="AP292" s="161"/>
      <c r="AQ292" s="161"/>
      <c r="AR292" s="161"/>
      <c r="AS292" s="161"/>
      <c r="AT292" s="161"/>
      <c r="AU292" s="161"/>
      <c r="AV292" s="161"/>
      <c r="AW292" s="161"/>
      <c r="AX292" s="161"/>
      <c r="AY292" s="161"/>
      <c r="AZ292" s="161"/>
      <c r="BA292" s="161"/>
      <c r="BB292" s="161"/>
      <c r="BC292" s="161"/>
      <c r="BD292" s="161"/>
      <c r="BE292" s="161"/>
      <c r="BF292" s="161"/>
      <c r="BG292" s="161"/>
      <c r="BH292" s="161"/>
      <c r="BI292" s="161"/>
      <c r="BJ292" s="161"/>
      <c r="BK292" s="161"/>
      <c r="BL292" s="161"/>
      <c r="BM292" s="161"/>
      <c r="BN292" s="161"/>
      <c r="BO292" s="161"/>
      <c r="BP292" s="161"/>
      <c r="BQ292" s="161"/>
      <c r="BR292" s="161"/>
      <c r="BS292" s="161"/>
      <c r="BT292" s="161"/>
      <c r="BU292" s="161"/>
      <c r="BV292" s="161"/>
      <c r="BW292" s="161"/>
      <c r="BX292" s="161"/>
      <c r="BY292" s="161"/>
      <c r="BZ292" s="161"/>
      <c r="CA292" s="161"/>
      <c r="CB292" s="161"/>
      <c r="CC292" s="161"/>
      <c r="CD292" s="161"/>
      <c r="CE292" s="161"/>
      <c r="CF292" s="161"/>
      <c r="CG292" s="161"/>
      <c r="CH292" s="161"/>
      <c r="CI292" s="161"/>
      <c r="CJ292" s="161"/>
      <c r="CK292" s="161"/>
      <c r="CL292" s="161"/>
      <c r="CM292" s="161"/>
      <c r="CN292" s="161"/>
      <c r="CO292" s="161"/>
      <c r="CP292" s="161"/>
      <c r="CQ292" s="161"/>
      <c r="CR292" s="161"/>
      <c r="CS292" s="161"/>
      <c r="CT292" s="161"/>
      <c r="CU292" s="161"/>
      <c r="CV292" s="161"/>
      <c r="CW292" s="161"/>
      <c r="CX292" s="161"/>
      <c r="CY292" s="161"/>
      <c r="CZ292" s="161"/>
      <c r="DA292" s="161"/>
      <c r="DB292" s="161"/>
      <c r="DC292" s="161"/>
      <c r="DD292" s="161"/>
      <c r="DE292" s="161"/>
      <c r="DF292" s="161"/>
      <c r="DG292" s="161"/>
      <c r="DH292" s="161"/>
      <c r="DI292" s="161"/>
      <c r="DJ292" s="161"/>
      <c r="DK292" s="177"/>
      <c r="DL292" s="177"/>
      <c r="DM292" s="177"/>
      <c r="DN292" s="177"/>
      <c r="DO292" s="177"/>
      <c r="DP292" s="177"/>
      <c r="DQ292" s="177"/>
      <c r="DR292" s="177"/>
      <c r="DS292" s="177"/>
      <c r="DT292" s="177"/>
      <c r="DU292" s="177"/>
      <c r="DV292" s="177"/>
      <c r="DW292" s="177"/>
      <c r="DX292" s="177"/>
      <c r="DY292" s="177"/>
      <c r="DZ292" s="177"/>
      <c r="EA292" s="177"/>
      <c r="EB292" s="177"/>
      <c r="EC292" s="177"/>
      <c r="ED292" s="177"/>
      <c r="EF292" s="161"/>
      <c r="EH292" s="161"/>
      <c r="EM292" s="161"/>
      <c r="EN292" s="161"/>
      <c r="EO292" s="161"/>
      <c r="EP292" s="161"/>
      <c r="FL292" s="161"/>
      <c r="FM292" s="161"/>
      <c r="FN292" s="161"/>
      <c r="FO292" s="161"/>
      <c r="FP292" s="161"/>
      <c r="FQ292" s="161"/>
      <c r="FR292" s="161"/>
      <c r="FS292" s="161"/>
      <c r="FT292" s="161"/>
      <c r="FU292" s="161"/>
      <c r="FV292" s="161"/>
      <c r="FW292" s="161"/>
      <c r="FX292" s="161"/>
      <c r="FY292" s="161"/>
      <c r="FZ292" s="161"/>
      <c r="GA292" s="161"/>
      <c r="GB292" s="161"/>
      <c r="GC292" s="177"/>
      <c r="GD292" s="161"/>
      <c r="GE292" s="177"/>
    </row>
    <row r="293" spans="1:187">
      <c r="A293" s="161"/>
      <c r="B293" s="161"/>
      <c r="C293" s="161"/>
      <c r="D293" s="161"/>
      <c r="E293" s="161"/>
      <c r="F293" s="161"/>
      <c r="G293" s="161"/>
      <c r="H293" s="161"/>
      <c r="I293" s="161"/>
      <c r="J293" s="161"/>
      <c r="K293" s="161"/>
      <c r="L293" s="161"/>
      <c r="M293" s="161"/>
      <c r="N293" s="161"/>
      <c r="O293" s="161"/>
      <c r="P293" s="161"/>
      <c r="Q293" s="161"/>
      <c r="R293" s="161"/>
      <c r="S293" s="161"/>
      <c r="T293" s="161"/>
      <c r="U293" s="161"/>
      <c r="V293" s="161"/>
      <c r="W293" s="161"/>
      <c r="X293" s="161"/>
      <c r="Y293" s="161"/>
      <c r="Z293" s="161"/>
      <c r="AA293" s="161"/>
      <c r="AB293" s="161"/>
      <c r="AC293" s="161"/>
      <c r="AD293" s="161"/>
      <c r="AE293" s="161"/>
      <c r="AF293" s="161"/>
      <c r="AG293" s="161"/>
      <c r="AH293" s="161"/>
      <c r="AI293" s="161"/>
      <c r="AJ293" s="161"/>
      <c r="AK293" s="161"/>
      <c r="AL293" s="161"/>
      <c r="AM293" s="161"/>
      <c r="AN293" s="161"/>
      <c r="AO293" s="161"/>
      <c r="AP293" s="161"/>
      <c r="AQ293" s="161"/>
      <c r="AR293" s="161"/>
      <c r="AS293" s="161"/>
      <c r="AT293" s="161"/>
      <c r="AU293" s="161"/>
      <c r="AV293" s="161"/>
      <c r="AW293" s="161"/>
      <c r="AX293" s="161"/>
      <c r="AY293" s="161"/>
      <c r="AZ293" s="161"/>
      <c r="BA293" s="161"/>
      <c r="BB293" s="161"/>
      <c r="BC293" s="161"/>
      <c r="BD293" s="161"/>
      <c r="BE293" s="161"/>
      <c r="BF293" s="161"/>
      <c r="BG293" s="161"/>
      <c r="BH293" s="161"/>
      <c r="BI293" s="161"/>
      <c r="BJ293" s="161"/>
      <c r="BK293" s="161"/>
      <c r="BL293" s="161"/>
      <c r="BM293" s="161"/>
      <c r="BN293" s="161"/>
      <c r="BO293" s="161"/>
      <c r="BP293" s="161"/>
      <c r="BQ293" s="161"/>
      <c r="BR293" s="161"/>
      <c r="BS293" s="161"/>
      <c r="BT293" s="161"/>
      <c r="BU293" s="161"/>
      <c r="BV293" s="161"/>
      <c r="BW293" s="161"/>
      <c r="BX293" s="161"/>
      <c r="BY293" s="161"/>
      <c r="BZ293" s="161"/>
      <c r="CA293" s="161"/>
      <c r="CB293" s="161"/>
      <c r="CC293" s="161"/>
      <c r="CD293" s="161"/>
      <c r="CE293" s="161"/>
      <c r="CF293" s="161"/>
      <c r="CG293" s="161"/>
      <c r="CH293" s="161"/>
      <c r="CI293" s="161"/>
      <c r="CJ293" s="161"/>
      <c r="CK293" s="161"/>
      <c r="CL293" s="161"/>
      <c r="CM293" s="161"/>
      <c r="CN293" s="161"/>
      <c r="CO293" s="161"/>
      <c r="CP293" s="161"/>
      <c r="CQ293" s="161"/>
      <c r="CR293" s="161"/>
      <c r="CS293" s="161"/>
      <c r="CT293" s="161"/>
      <c r="CU293" s="161"/>
      <c r="CV293" s="161"/>
      <c r="CW293" s="161"/>
      <c r="CX293" s="161"/>
      <c r="CY293" s="161"/>
      <c r="CZ293" s="161"/>
      <c r="DA293" s="161"/>
      <c r="DB293" s="161"/>
      <c r="DC293" s="161"/>
      <c r="DD293" s="161"/>
      <c r="DE293" s="161"/>
      <c r="DF293" s="161"/>
      <c r="DG293" s="161"/>
      <c r="DH293" s="161"/>
      <c r="DI293" s="161"/>
      <c r="DJ293" s="161"/>
      <c r="DK293" s="177"/>
      <c r="DL293" s="177"/>
      <c r="DM293" s="177"/>
      <c r="DN293" s="177"/>
      <c r="DO293" s="177"/>
      <c r="DP293" s="177"/>
      <c r="DQ293" s="177"/>
      <c r="DR293" s="177"/>
      <c r="DS293" s="177"/>
      <c r="DT293" s="177"/>
      <c r="DU293" s="177"/>
      <c r="DV293" s="177"/>
      <c r="DW293" s="177"/>
      <c r="DX293" s="177"/>
      <c r="DY293" s="177"/>
      <c r="DZ293" s="177"/>
      <c r="EA293" s="177"/>
      <c r="EB293" s="177"/>
      <c r="EC293" s="177"/>
      <c r="ED293" s="177"/>
      <c r="EF293" s="161"/>
      <c r="EH293" s="161"/>
      <c r="EM293" s="161"/>
      <c r="EN293" s="161"/>
      <c r="EO293" s="161"/>
      <c r="EP293" s="161"/>
      <c r="FL293" s="161"/>
      <c r="FM293" s="161"/>
      <c r="FN293" s="161"/>
      <c r="FO293" s="161"/>
      <c r="FP293" s="161"/>
      <c r="FQ293" s="161"/>
      <c r="FR293" s="161"/>
      <c r="FS293" s="161"/>
      <c r="FT293" s="161"/>
      <c r="FU293" s="161"/>
      <c r="FV293" s="161"/>
      <c r="FW293" s="161"/>
      <c r="FX293" s="161"/>
      <c r="FY293" s="161"/>
      <c r="FZ293" s="161"/>
      <c r="GA293" s="161"/>
      <c r="GB293" s="161"/>
      <c r="GC293" s="177"/>
      <c r="GD293" s="161"/>
      <c r="GE293" s="177"/>
    </row>
    <row r="294" spans="1:187">
      <c r="A294" s="161"/>
      <c r="B294" s="161"/>
      <c r="C294" s="161"/>
      <c r="D294" s="161"/>
      <c r="E294" s="161"/>
      <c r="F294" s="161"/>
      <c r="G294" s="161"/>
      <c r="H294" s="161"/>
      <c r="I294" s="161"/>
      <c r="J294" s="161"/>
      <c r="K294" s="161"/>
      <c r="L294" s="161"/>
      <c r="M294" s="161"/>
      <c r="N294" s="161"/>
      <c r="O294" s="161"/>
      <c r="P294" s="161"/>
      <c r="Q294" s="161"/>
      <c r="R294" s="161"/>
      <c r="S294" s="161"/>
      <c r="T294" s="161"/>
      <c r="U294" s="161"/>
      <c r="V294" s="161"/>
      <c r="W294" s="161"/>
      <c r="X294" s="161"/>
      <c r="Y294" s="161"/>
      <c r="Z294" s="161"/>
      <c r="AA294" s="161"/>
      <c r="AB294" s="161"/>
      <c r="AC294" s="161"/>
      <c r="AD294" s="161"/>
      <c r="AE294" s="161"/>
      <c r="AF294" s="161"/>
      <c r="AG294" s="161"/>
      <c r="AH294" s="161"/>
      <c r="AI294" s="161"/>
      <c r="AJ294" s="161"/>
      <c r="AK294" s="161"/>
      <c r="AL294" s="161"/>
      <c r="AM294" s="161"/>
      <c r="AN294" s="161"/>
      <c r="AO294" s="161"/>
      <c r="AP294" s="161"/>
      <c r="AQ294" s="161"/>
      <c r="AR294" s="161"/>
      <c r="AS294" s="161"/>
      <c r="AT294" s="161"/>
      <c r="AU294" s="161"/>
      <c r="AV294" s="161"/>
      <c r="AW294" s="161"/>
      <c r="AX294" s="161"/>
      <c r="AY294" s="161"/>
      <c r="AZ294" s="161"/>
      <c r="BA294" s="161"/>
      <c r="BB294" s="161"/>
      <c r="BC294" s="161"/>
      <c r="BD294" s="161"/>
      <c r="BE294" s="161"/>
      <c r="BF294" s="161"/>
      <c r="BG294" s="161"/>
      <c r="BH294" s="161"/>
      <c r="BI294" s="161"/>
      <c r="BJ294" s="161"/>
      <c r="BK294" s="161"/>
      <c r="BL294" s="161"/>
      <c r="BM294" s="161"/>
      <c r="BN294" s="161"/>
      <c r="BO294" s="161"/>
      <c r="BP294" s="161"/>
      <c r="BQ294" s="161"/>
      <c r="BR294" s="161"/>
      <c r="BS294" s="161"/>
      <c r="BT294" s="161"/>
      <c r="BU294" s="161"/>
      <c r="BV294" s="161"/>
      <c r="BW294" s="161"/>
      <c r="BX294" s="161"/>
      <c r="BY294" s="161"/>
      <c r="BZ294" s="161"/>
      <c r="CA294" s="161"/>
      <c r="CB294" s="161"/>
      <c r="CC294" s="161"/>
      <c r="CD294" s="161"/>
      <c r="CE294" s="161"/>
      <c r="CF294" s="161"/>
      <c r="CG294" s="161"/>
      <c r="CH294" s="161"/>
      <c r="CI294" s="161"/>
      <c r="CJ294" s="161"/>
      <c r="CK294" s="161"/>
      <c r="CL294" s="161"/>
      <c r="CM294" s="161"/>
      <c r="CN294" s="161"/>
      <c r="CO294" s="161"/>
      <c r="CP294" s="161"/>
      <c r="CQ294" s="161"/>
      <c r="CR294" s="161"/>
      <c r="CS294" s="161"/>
      <c r="CT294" s="161"/>
      <c r="CU294" s="161"/>
      <c r="CV294" s="161"/>
      <c r="CW294" s="161"/>
      <c r="CX294" s="161"/>
      <c r="CY294" s="161"/>
      <c r="CZ294" s="161"/>
      <c r="DA294" s="161"/>
      <c r="DB294" s="161"/>
      <c r="DC294" s="161"/>
      <c r="DD294" s="161"/>
      <c r="DE294" s="161"/>
      <c r="DF294" s="161"/>
      <c r="DG294" s="161"/>
      <c r="DH294" s="161"/>
      <c r="DI294" s="161"/>
      <c r="DJ294" s="161"/>
      <c r="DK294" s="177"/>
      <c r="DL294" s="177"/>
      <c r="DM294" s="177"/>
      <c r="DN294" s="177"/>
      <c r="DO294" s="177"/>
      <c r="DP294" s="177"/>
      <c r="DQ294" s="177"/>
      <c r="DR294" s="177"/>
      <c r="DS294" s="177"/>
      <c r="DT294" s="177"/>
      <c r="DU294" s="177"/>
      <c r="DV294" s="177"/>
      <c r="DW294" s="177"/>
      <c r="DX294" s="177"/>
      <c r="DY294" s="177"/>
      <c r="DZ294" s="177"/>
      <c r="EA294" s="177"/>
      <c r="EB294" s="177"/>
      <c r="EC294" s="177"/>
      <c r="ED294" s="177"/>
      <c r="EF294" s="161"/>
      <c r="EH294" s="161"/>
      <c r="EM294" s="161"/>
      <c r="EN294" s="161"/>
      <c r="EO294" s="161"/>
      <c r="EP294" s="161"/>
      <c r="FL294" s="161"/>
      <c r="FM294" s="161"/>
      <c r="FN294" s="161"/>
      <c r="FO294" s="161"/>
      <c r="FP294" s="161"/>
      <c r="FQ294" s="161"/>
      <c r="FR294" s="161"/>
      <c r="FS294" s="161"/>
      <c r="FT294" s="161"/>
      <c r="FU294" s="161"/>
      <c r="FV294" s="161"/>
      <c r="FW294" s="161"/>
      <c r="FX294" s="161"/>
      <c r="FY294" s="161"/>
      <c r="FZ294" s="161"/>
      <c r="GA294" s="161"/>
      <c r="GB294" s="161"/>
      <c r="GC294" s="177"/>
      <c r="GD294" s="161"/>
      <c r="GE294" s="177"/>
    </row>
    <row r="295" spans="1:187">
      <c r="A295" s="161"/>
      <c r="B295" s="161"/>
      <c r="C295" s="161"/>
      <c r="D295" s="161"/>
      <c r="E295" s="161"/>
      <c r="F295" s="161"/>
      <c r="G295" s="161"/>
      <c r="H295" s="161"/>
      <c r="I295" s="161"/>
      <c r="J295" s="161"/>
      <c r="K295" s="161"/>
      <c r="L295" s="161"/>
      <c r="M295" s="161"/>
      <c r="N295" s="161"/>
      <c r="O295" s="161"/>
      <c r="P295" s="161"/>
      <c r="Q295" s="161"/>
      <c r="R295" s="161"/>
      <c r="S295" s="161"/>
      <c r="T295" s="161"/>
      <c r="U295" s="161"/>
      <c r="V295" s="161"/>
      <c r="W295" s="161"/>
      <c r="X295" s="161"/>
      <c r="Y295" s="161"/>
      <c r="Z295" s="161"/>
      <c r="AA295" s="161"/>
      <c r="AB295" s="161"/>
      <c r="AC295" s="161"/>
      <c r="AD295" s="161"/>
      <c r="AE295" s="161"/>
      <c r="AF295" s="161"/>
      <c r="AG295" s="161"/>
      <c r="AH295" s="161"/>
      <c r="AI295" s="161"/>
      <c r="AJ295" s="161"/>
      <c r="AK295" s="161"/>
      <c r="AL295" s="161"/>
      <c r="AM295" s="161"/>
      <c r="AN295" s="161"/>
      <c r="AO295" s="161"/>
      <c r="AP295" s="161"/>
      <c r="AQ295" s="161"/>
      <c r="AR295" s="161"/>
      <c r="AS295" s="161"/>
      <c r="AT295" s="161"/>
      <c r="AU295" s="161"/>
      <c r="AV295" s="161"/>
      <c r="AW295" s="161"/>
      <c r="AX295" s="161"/>
      <c r="AY295" s="161"/>
      <c r="AZ295" s="161"/>
      <c r="BA295" s="161"/>
      <c r="BB295" s="161"/>
      <c r="BC295" s="161"/>
      <c r="BD295" s="161"/>
      <c r="BE295" s="161"/>
      <c r="BF295" s="161"/>
      <c r="BG295" s="161"/>
      <c r="BH295" s="161"/>
      <c r="BI295" s="161"/>
      <c r="BJ295" s="161"/>
      <c r="BK295" s="161"/>
      <c r="BL295" s="161"/>
      <c r="BM295" s="161"/>
      <c r="BN295" s="161"/>
      <c r="BO295" s="161"/>
      <c r="BP295" s="161"/>
      <c r="BQ295" s="161"/>
      <c r="BR295" s="161"/>
      <c r="BS295" s="161"/>
      <c r="BT295" s="161"/>
      <c r="BU295" s="161"/>
      <c r="BV295" s="161"/>
      <c r="BW295" s="161"/>
      <c r="BX295" s="161"/>
      <c r="BY295" s="161"/>
      <c r="BZ295" s="161"/>
      <c r="CA295" s="161"/>
      <c r="CB295" s="161"/>
      <c r="CC295" s="161"/>
      <c r="CD295" s="161"/>
      <c r="CE295" s="161"/>
      <c r="CF295" s="161"/>
      <c r="CG295" s="161"/>
      <c r="CH295" s="161"/>
      <c r="CI295" s="161"/>
      <c r="CJ295" s="161"/>
      <c r="CK295" s="161"/>
      <c r="CL295" s="161"/>
      <c r="CM295" s="161"/>
      <c r="CN295" s="161"/>
      <c r="CO295" s="161"/>
      <c r="CP295" s="161"/>
      <c r="CQ295" s="161"/>
      <c r="CR295" s="161"/>
      <c r="CS295" s="161"/>
      <c r="CT295" s="161"/>
      <c r="CU295" s="161"/>
      <c r="CV295" s="161"/>
      <c r="CW295" s="161"/>
      <c r="CX295" s="161"/>
      <c r="CY295" s="161"/>
      <c r="CZ295" s="161"/>
      <c r="DA295" s="161"/>
      <c r="DB295" s="161"/>
      <c r="DC295" s="161"/>
      <c r="DD295" s="161"/>
      <c r="DE295" s="161"/>
      <c r="DF295" s="161"/>
      <c r="DG295" s="161"/>
      <c r="DH295" s="161"/>
      <c r="DI295" s="161"/>
      <c r="DJ295" s="161"/>
      <c r="DK295" s="177"/>
      <c r="DL295" s="177"/>
      <c r="DM295" s="177"/>
      <c r="DN295" s="177"/>
      <c r="DO295" s="177"/>
      <c r="DP295" s="177"/>
      <c r="DQ295" s="177"/>
      <c r="DR295" s="177"/>
      <c r="DS295" s="177"/>
      <c r="DT295" s="177"/>
      <c r="DU295" s="177"/>
      <c r="DV295" s="177"/>
      <c r="DW295" s="177"/>
      <c r="DX295" s="177"/>
      <c r="DY295" s="177"/>
      <c r="DZ295" s="177"/>
      <c r="EA295" s="177"/>
      <c r="EB295" s="177"/>
      <c r="EC295" s="177"/>
      <c r="ED295" s="177"/>
      <c r="EF295" s="161"/>
      <c r="EH295" s="161"/>
      <c r="EM295" s="161"/>
      <c r="EN295" s="161"/>
      <c r="EO295" s="161"/>
      <c r="EP295" s="161"/>
      <c r="FL295" s="161"/>
      <c r="FM295" s="161"/>
      <c r="FN295" s="161"/>
      <c r="FO295" s="161"/>
      <c r="FP295" s="161"/>
      <c r="FQ295" s="161"/>
      <c r="FR295" s="161"/>
      <c r="FS295" s="161"/>
      <c r="FT295" s="161"/>
      <c r="FU295" s="161"/>
      <c r="FV295" s="161"/>
      <c r="FW295" s="161"/>
      <c r="FX295" s="161"/>
      <c r="FY295" s="161"/>
      <c r="FZ295" s="161"/>
      <c r="GA295" s="161"/>
      <c r="GB295" s="161"/>
      <c r="GC295" s="177"/>
      <c r="GD295" s="161"/>
      <c r="GE295" s="177"/>
    </row>
    <row r="296" spans="1:187">
      <c r="A296" s="161"/>
      <c r="B296" s="161"/>
      <c r="C296" s="161"/>
      <c r="D296" s="161"/>
      <c r="E296" s="161"/>
      <c r="F296" s="161"/>
      <c r="G296" s="161"/>
      <c r="H296" s="161"/>
      <c r="I296" s="161"/>
      <c r="J296" s="161"/>
      <c r="K296" s="161"/>
      <c r="L296" s="161"/>
      <c r="M296" s="161"/>
      <c r="N296" s="161"/>
      <c r="O296" s="161"/>
      <c r="P296" s="161"/>
      <c r="Q296" s="161"/>
      <c r="R296" s="161"/>
      <c r="S296" s="161"/>
      <c r="T296" s="161"/>
      <c r="U296" s="161"/>
      <c r="V296" s="161"/>
      <c r="W296" s="161"/>
      <c r="X296" s="161"/>
      <c r="Y296" s="161"/>
      <c r="Z296" s="161"/>
      <c r="AA296" s="161"/>
      <c r="AB296" s="161"/>
      <c r="AC296" s="161"/>
      <c r="AD296" s="161"/>
      <c r="AE296" s="161"/>
      <c r="AF296" s="161"/>
      <c r="AG296" s="161"/>
      <c r="AH296" s="161"/>
      <c r="AI296" s="161"/>
      <c r="AJ296" s="161"/>
      <c r="AK296" s="161"/>
      <c r="AL296" s="161"/>
      <c r="AM296" s="161"/>
      <c r="AN296" s="161"/>
      <c r="AO296" s="161"/>
      <c r="AP296" s="161"/>
      <c r="AQ296" s="161"/>
      <c r="AR296" s="161"/>
      <c r="AS296" s="161"/>
      <c r="AT296" s="161"/>
      <c r="AU296" s="161"/>
      <c r="AV296" s="161"/>
      <c r="AW296" s="161"/>
      <c r="AX296" s="161"/>
      <c r="AY296" s="161"/>
      <c r="AZ296" s="161"/>
      <c r="BA296" s="161"/>
      <c r="BB296" s="161"/>
      <c r="BC296" s="161"/>
      <c r="BD296" s="161"/>
      <c r="BE296" s="161"/>
      <c r="BF296" s="161"/>
      <c r="BG296" s="161"/>
      <c r="BH296" s="161"/>
      <c r="BI296" s="161"/>
      <c r="BJ296" s="161"/>
      <c r="BK296" s="161"/>
      <c r="BL296" s="161"/>
      <c r="BM296" s="161"/>
      <c r="BN296" s="161"/>
      <c r="BO296" s="161"/>
      <c r="BP296" s="161"/>
      <c r="BQ296" s="161"/>
      <c r="BR296" s="161"/>
      <c r="BS296" s="161"/>
      <c r="BT296" s="161"/>
      <c r="BU296" s="161"/>
      <c r="BV296" s="161"/>
      <c r="BW296" s="161"/>
      <c r="BX296" s="161"/>
      <c r="BY296" s="161"/>
      <c r="BZ296" s="161"/>
      <c r="CA296" s="161"/>
      <c r="CB296" s="161"/>
      <c r="CC296" s="161"/>
      <c r="CD296" s="161"/>
      <c r="CE296" s="161"/>
      <c r="CF296" s="161"/>
      <c r="CG296" s="161"/>
      <c r="CH296" s="161"/>
      <c r="CI296" s="161"/>
      <c r="CJ296" s="161"/>
      <c r="CK296" s="161"/>
      <c r="CL296" s="161"/>
      <c r="CM296" s="161"/>
      <c r="CN296" s="161"/>
      <c r="CO296" s="161"/>
      <c r="CP296" s="161"/>
      <c r="CQ296" s="161"/>
      <c r="CR296" s="161"/>
      <c r="CS296" s="161"/>
      <c r="CT296" s="161"/>
      <c r="CU296" s="161"/>
      <c r="CV296" s="161"/>
      <c r="CW296" s="161"/>
      <c r="CX296" s="161"/>
      <c r="CY296" s="161"/>
      <c r="CZ296" s="161"/>
      <c r="DA296" s="161"/>
      <c r="DB296" s="161"/>
      <c r="DC296" s="161"/>
      <c r="DD296" s="161"/>
      <c r="DE296" s="161"/>
      <c r="DF296" s="161"/>
      <c r="DG296" s="161"/>
      <c r="DH296" s="161"/>
      <c r="DI296" s="161"/>
      <c r="DJ296" s="161"/>
      <c r="DK296" s="177"/>
      <c r="DL296" s="177"/>
      <c r="DM296" s="177"/>
      <c r="DN296" s="177"/>
      <c r="DO296" s="177"/>
      <c r="DP296" s="177"/>
      <c r="DQ296" s="177"/>
      <c r="DR296" s="177"/>
      <c r="DS296" s="177"/>
      <c r="DT296" s="177"/>
      <c r="DU296" s="177"/>
      <c r="DV296" s="177"/>
      <c r="DW296" s="177"/>
      <c r="DX296" s="177"/>
      <c r="DY296" s="177"/>
      <c r="DZ296" s="177"/>
      <c r="EA296" s="177"/>
      <c r="EB296" s="177"/>
      <c r="EC296" s="177"/>
      <c r="ED296" s="177"/>
      <c r="EF296" s="161"/>
      <c r="EH296" s="161"/>
      <c r="EM296" s="161"/>
      <c r="EN296" s="161"/>
      <c r="EO296" s="161"/>
      <c r="EP296" s="161"/>
      <c r="FL296" s="161"/>
      <c r="FM296" s="161"/>
      <c r="FN296" s="161"/>
      <c r="FO296" s="161"/>
      <c r="FP296" s="161"/>
      <c r="FQ296" s="161"/>
      <c r="FR296" s="161"/>
      <c r="FS296" s="161"/>
      <c r="FT296" s="161"/>
      <c r="FU296" s="161"/>
      <c r="FV296" s="161"/>
      <c r="FW296" s="161"/>
      <c r="FX296" s="161"/>
      <c r="FY296" s="161"/>
      <c r="FZ296" s="161"/>
      <c r="GA296" s="161"/>
      <c r="GB296" s="161"/>
      <c r="GC296" s="177"/>
      <c r="GD296" s="161"/>
      <c r="GE296" s="177"/>
    </row>
    <row r="297" spans="1:187">
      <c r="A297" s="161"/>
      <c r="B297" s="161"/>
      <c r="C297" s="161"/>
      <c r="D297" s="161"/>
      <c r="E297" s="161"/>
      <c r="F297" s="161"/>
      <c r="G297" s="161"/>
      <c r="H297" s="161"/>
      <c r="I297" s="161"/>
      <c r="J297" s="161"/>
      <c r="K297" s="161"/>
      <c r="L297" s="161"/>
      <c r="M297" s="161"/>
      <c r="N297" s="161"/>
      <c r="O297" s="161"/>
      <c r="P297" s="161"/>
      <c r="Q297" s="161"/>
      <c r="R297" s="161"/>
      <c r="S297" s="161"/>
      <c r="T297" s="161"/>
      <c r="U297" s="161"/>
      <c r="V297" s="161"/>
      <c r="W297" s="161"/>
      <c r="X297" s="161"/>
      <c r="Y297" s="161"/>
      <c r="Z297" s="161"/>
      <c r="AA297" s="161"/>
      <c r="AB297" s="161"/>
      <c r="AC297" s="161"/>
      <c r="AD297" s="161"/>
      <c r="AE297" s="161"/>
      <c r="AF297" s="161"/>
      <c r="AG297" s="161"/>
      <c r="AH297" s="161"/>
      <c r="AI297" s="161"/>
      <c r="AJ297" s="161"/>
      <c r="AK297" s="161"/>
      <c r="AL297" s="161"/>
      <c r="AM297" s="161"/>
      <c r="AN297" s="161"/>
      <c r="AO297" s="161"/>
      <c r="AP297" s="161"/>
      <c r="AQ297" s="161"/>
      <c r="AR297" s="161"/>
      <c r="AS297" s="161"/>
      <c r="AT297" s="161"/>
      <c r="AU297" s="161"/>
      <c r="AV297" s="161"/>
      <c r="AW297" s="161"/>
      <c r="AX297" s="161"/>
      <c r="AY297" s="161"/>
      <c r="AZ297" s="161"/>
      <c r="BA297" s="161"/>
      <c r="BB297" s="161"/>
      <c r="BC297" s="161"/>
      <c r="BD297" s="161"/>
      <c r="BE297" s="161"/>
      <c r="BF297" s="161"/>
      <c r="BG297" s="161"/>
      <c r="BH297" s="161"/>
      <c r="BI297" s="161"/>
      <c r="BJ297" s="161"/>
      <c r="BK297" s="161"/>
      <c r="BL297" s="161"/>
      <c r="BM297" s="161"/>
      <c r="BN297" s="161"/>
      <c r="BO297" s="161"/>
      <c r="BP297" s="161"/>
      <c r="BQ297" s="161"/>
      <c r="BR297" s="161"/>
      <c r="BS297" s="161"/>
      <c r="BT297" s="161"/>
      <c r="BU297" s="161"/>
      <c r="BV297" s="161"/>
      <c r="BW297" s="161"/>
      <c r="BX297" s="161"/>
      <c r="BY297" s="161"/>
      <c r="BZ297" s="161"/>
      <c r="CA297" s="161"/>
      <c r="CB297" s="161"/>
      <c r="CC297" s="161"/>
      <c r="CD297" s="161"/>
      <c r="CE297" s="161"/>
      <c r="CF297" s="161"/>
      <c r="CG297" s="161"/>
      <c r="CH297" s="161"/>
      <c r="CI297" s="161"/>
      <c r="CJ297" s="161"/>
      <c r="CK297" s="161"/>
      <c r="CL297" s="161"/>
      <c r="CM297" s="161"/>
      <c r="CN297" s="161"/>
      <c r="CO297" s="161"/>
      <c r="CP297" s="161"/>
      <c r="CQ297" s="161"/>
      <c r="CR297" s="161"/>
      <c r="CS297" s="161"/>
      <c r="CT297" s="161"/>
      <c r="CU297" s="161"/>
      <c r="CV297" s="161"/>
      <c r="CW297" s="161"/>
      <c r="CX297" s="161"/>
      <c r="CY297" s="161"/>
      <c r="CZ297" s="161"/>
      <c r="DA297" s="161"/>
      <c r="DB297" s="161"/>
      <c r="DC297" s="161"/>
      <c r="DD297" s="161"/>
      <c r="DE297" s="161"/>
      <c r="DF297" s="161"/>
      <c r="DG297" s="161"/>
      <c r="DH297" s="161"/>
      <c r="DI297" s="161"/>
      <c r="DJ297" s="161"/>
      <c r="DK297" s="177"/>
      <c r="DL297" s="177"/>
      <c r="DM297" s="177"/>
      <c r="DN297" s="177"/>
      <c r="DO297" s="177"/>
      <c r="DP297" s="177"/>
      <c r="DQ297" s="177"/>
      <c r="DR297" s="177"/>
      <c r="DS297" s="177"/>
      <c r="DT297" s="177"/>
      <c r="DU297" s="177"/>
      <c r="DV297" s="177"/>
      <c r="DW297" s="177"/>
      <c r="DX297" s="177"/>
      <c r="DY297" s="177"/>
      <c r="DZ297" s="177"/>
      <c r="EA297" s="177"/>
      <c r="EB297" s="177"/>
      <c r="EC297" s="177"/>
      <c r="ED297" s="177"/>
      <c r="EF297" s="161"/>
      <c r="EH297" s="161"/>
      <c r="EM297" s="161"/>
      <c r="EN297" s="161"/>
      <c r="EO297" s="161"/>
      <c r="EP297" s="161"/>
      <c r="FL297" s="161"/>
      <c r="FM297" s="161"/>
      <c r="FN297" s="161"/>
      <c r="FO297" s="161"/>
      <c r="FP297" s="161"/>
      <c r="FQ297" s="161"/>
      <c r="FR297" s="161"/>
      <c r="FS297" s="161"/>
      <c r="FT297" s="161"/>
      <c r="FU297" s="161"/>
      <c r="FV297" s="161"/>
      <c r="FW297" s="161"/>
      <c r="FX297" s="161"/>
      <c r="FY297" s="161"/>
      <c r="FZ297" s="161"/>
      <c r="GA297" s="161"/>
      <c r="GB297" s="161"/>
      <c r="GC297" s="177"/>
      <c r="GD297" s="161"/>
      <c r="GE297" s="177"/>
    </row>
    <row r="298" spans="1:187">
      <c r="A298" s="161"/>
      <c r="B298" s="161"/>
      <c r="C298" s="161"/>
      <c r="D298" s="161"/>
      <c r="E298" s="161"/>
      <c r="F298" s="161"/>
      <c r="G298" s="161"/>
      <c r="H298" s="161"/>
      <c r="I298" s="161"/>
      <c r="J298" s="161"/>
      <c r="K298" s="161"/>
      <c r="L298" s="161"/>
      <c r="M298" s="161"/>
      <c r="N298" s="161"/>
      <c r="O298" s="161"/>
      <c r="P298" s="161"/>
      <c r="Q298" s="161"/>
      <c r="R298" s="161"/>
      <c r="S298" s="161"/>
      <c r="T298" s="161"/>
      <c r="U298" s="161"/>
      <c r="V298" s="161"/>
      <c r="W298" s="161"/>
      <c r="X298" s="161"/>
      <c r="Y298" s="161"/>
      <c r="Z298" s="161"/>
      <c r="AA298" s="161"/>
      <c r="AB298" s="161"/>
      <c r="AC298" s="161"/>
      <c r="AD298" s="161"/>
      <c r="AE298" s="161"/>
      <c r="AF298" s="161"/>
      <c r="AG298" s="161"/>
      <c r="AH298" s="161"/>
      <c r="AI298" s="161"/>
      <c r="AJ298" s="161"/>
      <c r="AK298" s="161"/>
      <c r="AL298" s="161"/>
      <c r="AM298" s="161"/>
      <c r="AN298" s="161"/>
      <c r="AO298" s="161"/>
      <c r="AP298" s="161"/>
      <c r="AQ298" s="161"/>
      <c r="AR298" s="161"/>
      <c r="AS298" s="161"/>
      <c r="AT298" s="161"/>
      <c r="AU298" s="161"/>
      <c r="AV298" s="161"/>
      <c r="AW298" s="161"/>
      <c r="AX298" s="161"/>
      <c r="AY298" s="161"/>
      <c r="AZ298" s="161"/>
      <c r="BA298" s="161"/>
      <c r="BB298" s="161"/>
      <c r="BC298" s="161"/>
      <c r="BD298" s="161"/>
      <c r="BE298" s="161"/>
      <c r="BF298" s="161"/>
      <c r="BG298" s="161"/>
      <c r="BH298" s="161"/>
      <c r="BI298" s="161"/>
      <c r="BJ298" s="161"/>
      <c r="BK298" s="161"/>
      <c r="BL298" s="161"/>
      <c r="BM298" s="161"/>
      <c r="BN298" s="161"/>
      <c r="BO298" s="161"/>
      <c r="BP298" s="161"/>
      <c r="BQ298" s="161"/>
      <c r="BR298" s="161"/>
      <c r="BS298" s="161"/>
      <c r="BT298" s="161"/>
      <c r="BU298" s="161"/>
      <c r="BV298" s="161"/>
      <c r="BW298" s="161"/>
      <c r="BX298" s="161"/>
      <c r="BY298" s="161"/>
      <c r="BZ298" s="161"/>
      <c r="CA298" s="161"/>
      <c r="CB298" s="161"/>
      <c r="CC298" s="161"/>
      <c r="CD298" s="161"/>
      <c r="CE298" s="161"/>
      <c r="CF298" s="161"/>
      <c r="CG298" s="161"/>
      <c r="CH298" s="161"/>
      <c r="CI298" s="161"/>
      <c r="CJ298" s="161"/>
      <c r="CK298" s="161"/>
      <c r="CL298" s="161"/>
      <c r="CM298" s="161"/>
      <c r="CN298" s="161"/>
      <c r="CO298" s="161"/>
      <c r="CP298" s="161"/>
      <c r="CQ298" s="161"/>
      <c r="CR298" s="161"/>
      <c r="CS298" s="161"/>
      <c r="CT298" s="161"/>
      <c r="CU298" s="161"/>
      <c r="CV298" s="161"/>
      <c r="CW298" s="161"/>
      <c r="CX298" s="161"/>
      <c r="CY298" s="161"/>
      <c r="CZ298" s="161"/>
      <c r="DA298" s="161"/>
      <c r="DB298" s="161"/>
      <c r="DC298" s="161"/>
      <c r="DD298" s="161"/>
      <c r="DE298" s="161"/>
      <c r="DF298" s="161"/>
      <c r="DG298" s="161"/>
      <c r="DH298" s="161"/>
      <c r="DI298" s="161"/>
      <c r="DJ298" s="161"/>
      <c r="DK298" s="177"/>
      <c r="DL298" s="177"/>
      <c r="DM298" s="177"/>
      <c r="DN298" s="177"/>
      <c r="DO298" s="177"/>
      <c r="DP298" s="177"/>
      <c r="DQ298" s="177"/>
      <c r="DR298" s="177"/>
      <c r="DS298" s="177"/>
      <c r="DT298" s="177"/>
      <c r="DU298" s="177"/>
      <c r="DV298" s="177"/>
      <c r="DW298" s="177"/>
      <c r="DX298" s="177"/>
      <c r="DY298" s="177"/>
      <c r="DZ298" s="177"/>
      <c r="EA298" s="177"/>
      <c r="EB298" s="177"/>
      <c r="EC298" s="177"/>
      <c r="ED298" s="177"/>
      <c r="EF298" s="161"/>
      <c r="EH298" s="161"/>
      <c r="EM298" s="161"/>
      <c r="EN298" s="161"/>
      <c r="EO298" s="161"/>
      <c r="EP298" s="161"/>
      <c r="FL298" s="161"/>
      <c r="FM298" s="161"/>
      <c r="FN298" s="161"/>
      <c r="FO298" s="161"/>
      <c r="FP298" s="161"/>
      <c r="FQ298" s="161"/>
      <c r="FR298" s="161"/>
      <c r="FS298" s="161"/>
      <c r="FT298" s="161"/>
      <c r="FU298" s="161"/>
      <c r="FV298" s="161"/>
      <c r="FW298" s="161"/>
      <c r="FX298" s="161"/>
      <c r="FY298" s="161"/>
      <c r="FZ298" s="161"/>
      <c r="GA298" s="161"/>
      <c r="GB298" s="161"/>
      <c r="GC298" s="177"/>
      <c r="GD298" s="161"/>
      <c r="GE298" s="177"/>
    </row>
    <row r="299" spans="1:187">
      <c r="A299" s="161"/>
      <c r="B299" s="161"/>
      <c r="C299" s="161"/>
      <c r="D299" s="161"/>
      <c r="E299" s="161"/>
      <c r="F299" s="161"/>
      <c r="G299" s="161"/>
      <c r="H299" s="161"/>
      <c r="I299" s="161"/>
      <c r="J299" s="161"/>
      <c r="K299" s="161"/>
      <c r="L299" s="161"/>
      <c r="M299" s="161"/>
      <c r="N299" s="161"/>
      <c r="O299" s="161"/>
      <c r="P299" s="161"/>
      <c r="Q299" s="161"/>
      <c r="R299" s="161"/>
      <c r="S299" s="161"/>
      <c r="T299" s="161"/>
      <c r="U299" s="161"/>
      <c r="V299" s="161"/>
      <c r="W299" s="161"/>
      <c r="X299" s="161"/>
      <c r="Y299" s="161"/>
      <c r="Z299" s="161"/>
      <c r="AA299" s="161"/>
      <c r="AB299" s="161"/>
      <c r="AC299" s="161"/>
      <c r="AD299" s="161"/>
      <c r="AE299" s="161"/>
      <c r="AF299" s="161"/>
      <c r="AG299" s="161"/>
      <c r="AH299" s="161"/>
      <c r="AI299" s="161"/>
      <c r="AJ299" s="161"/>
      <c r="AK299" s="161"/>
      <c r="AL299" s="161"/>
      <c r="AM299" s="161"/>
      <c r="AN299" s="161"/>
      <c r="AO299" s="161"/>
      <c r="AP299" s="161"/>
      <c r="AQ299" s="161"/>
      <c r="AR299" s="161"/>
      <c r="AS299" s="161"/>
      <c r="AT299" s="161"/>
      <c r="AU299" s="161"/>
      <c r="AV299" s="161"/>
      <c r="AW299" s="161"/>
      <c r="AX299" s="161"/>
      <c r="AY299" s="161"/>
      <c r="AZ299" s="161"/>
      <c r="BA299" s="161"/>
      <c r="BB299" s="161"/>
      <c r="BC299" s="161"/>
      <c r="BD299" s="161"/>
      <c r="BE299" s="161"/>
      <c r="BF299" s="161"/>
      <c r="BG299" s="161"/>
      <c r="BH299" s="161"/>
      <c r="BI299" s="161"/>
      <c r="BJ299" s="161"/>
      <c r="BK299" s="161"/>
      <c r="BL299" s="161"/>
      <c r="BM299" s="161"/>
      <c r="BN299" s="161"/>
      <c r="BO299" s="161"/>
      <c r="BP299" s="161"/>
      <c r="BQ299" s="161"/>
      <c r="BR299" s="161"/>
      <c r="BS299" s="161"/>
      <c r="BT299" s="161"/>
      <c r="BU299" s="161"/>
      <c r="BV299" s="161"/>
      <c r="BW299" s="161"/>
      <c r="BX299" s="161"/>
      <c r="BY299" s="161"/>
      <c r="BZ299" s="161"/>
      <c r="CA299" s="161"/>
      <c r="CB299" s="161"/>
      <c r="CC299" s="161"/>
      <c r="CD299" s="161"/>
      <c r="CE299" s="161"/>
      <c r="CF299" s="161"/>
      <c r="CG299" s="161"/>
      <c r="CH299" s="161"/>
      <c r="CI299" s="161"/>
      <c r="CJ299" s="161"/>
      <c r="CK299" s="161"/>
      <c r="CL299" s="161"/>
      <c r="CM299" s="161"/>
      <c r="CN299" s="161"/>
      <c r="CO299" s="161"/>
      <c r="CP299" s="161"/>
      <c r="CQ299" s="161"/>
      <c r="CR299" s="161"/>
      <c r="CS299" s="161"/>
      <c r="CT299" s="161"/>
      <c r="CU299" s="161"/>
      <c r="CV299" s="161"/>
      <c r="CW299" s="161"/>
      <c r="CX299" s="161"/>
      <c r="CY299" s="161"/>
      <c r="CZ299" s="161"/>
      <c r="DA299" s="161"/>
      <c r="DB299" s="161"/>
      <c r="DC299" s="161"/>
      <c r="DD299" s="161"/>
      <c r="DE299" s="161"/>
      <c r="DF299" s="161"/>
      <c r="DG299" s="161"/>
      <c r="DH299" s="161"/>
      <c r="DI299" s="161"/>
      <c r="DJ299" s="161"/>
      <c r="DK299" s="177"/>
      <c r="DL299" s="177"/>
      <c r="DM299" s="177"/>
      <c r="DN299" s="177"/>
      <c r="DO299" s="177"/>
      <c r="DP299" s="177"/>
      <c r="DQ299" s="177"/>
      <c r="DR299" s="177"/>
      <c r="DS299" s="177"/>
      <c r="DT299" s="177"/>
      <c r="DU299" s="177"/>
      <c r="DV299" s="177"/>
      <c r="DW299" s="177"/>
      <c r="DX299" s="177"/>
      <c r="DY299" s="177"/>
      <c r="DZ299" s="177"/>
      <c r="EA299" s="177"/>
      <c r="EB299" s="177"/>
      <c r="EC299" s="177"/>
      <c r="ED299" s="177"/>
      <c r="EF299" s="161"/>
      <c r="EH299" s="161"/>
      <c r="EM299" s="161"/>
      <c r="EN299" s="161"/>
      <c r="EO299" s="161"/>
      <c r="EP299" s="161"/>
      <c r="FL299" s="161"/>
      <c r="FM299" s="161"/>
      <c r="FN299" s="161"/>
      <c r="FO299" s="161"/>
      <c r="FP299" s="161"/>
      <c r="FQ299" s="161"/>
      <c r="FR299" s="161"/>
      <c r="FS299" s="161"/>
      <c r="FT299" s="161"/>
      <c r="FU299" s="161"/>
      <c r="FV299" s="161"/>
      <c r="FW299" s="161"/>
      <c r="FX299" s="161"/>
      <c r="FY299" s="161"/>
      <c r="FZ299" s="161"/>
      <c r="GA299" s="161"/>
      <c r="GB299" s="161"/>
      <c r="GC299" s="177"/>
      <c r="GD299" s="161"/>
      <c r="GE299" s="177"/>
    </row>
    <row r="300" spans="1:187">
      <c r="A300" s="161"/>
      <c r="B300" s="161"/>
      <c r="C300" s="161"/>
      <c r="D300" s="161"/>
      <c r="E300" s="161"/>
      <c r="F300" s="161"/>
      <c r="G300" s="161"/>
      <c r="H300" s="161"/>
      <c r="I300" s="161"/>
      <c r="J300" s="161"/>
      <c r="K300" s="161"/>
      <c r="L300" s="161"/>
      <c r="M300" s="161"/>
      <c r="N300" s="161"/>
      <c r="O300" s="161"/>
      <c r="P300" s="161"/>
      <c r="Q300" s="161"/>
      <c r="R300" s="161"/>
      <c r="S300" s="161"/>
      <c r="T300" s="161"/>
      <c r="U300" s="161"/>
      <c r="V300" s="161"/>
      <c r="W300" s="161"/>
      <c r="X300" s="161"/>
      <c r="Y300" s="161"/>
      <c r="Z300" s="161"/>
      <c r="AA300" s="161"/>
      <c r="AB300" s="161"/>
      <c r="AC300" s="161"/>
      <c r="AD300" s="161"/>
      <c r="AE300" s="161"/>
      <c r="AF300" s="161"/>
      <c r="AG300" s="161"/>
      <c r="AH300" s="161"/>
      <c r="AI300" s="161"/>
      <c r="AJ300" s="161"/>
      <c r="AK300" s="161"/>
      <c r="AL300" s="161"/>
      <c r="AM300" s="161"/>
      <c r="AN300" s="161"/>
      <c r="AO300" s="161"/>
      <c r="AP300" s="161"/>
      <c r="AQ300" s="161"/>
      <c r="AR300" s="161"/>
      <c r="AS300" s="161"/>
      <c r="AT300" s="161"/>
      <c r="AU300" s="161"/>
      <c r="AV300" s="161"/>
      <c r="AW300" s="161"/>
      <c r="AX300" s="161"/>
      <c r="AY300" s="161"/>
      <c r="AZ300" s="161"/>
      <c r="BA300" s="161"/>
      <c r="BB300" s="161"/>
      <c r="BC300" s="161"/>
      <c r="BD300" s="161"/>
      <c r="BE300" s="161"/>
      <c r="BF300" s="161"/>
      <c r="BG300" s="161"/>
      <c r="BH300" s="161"/>
      <c r="BI300" s="161"/>
      <c r="BJ300" s="161"/>
      <c r="BK300" s="161"/>
      <c r="BL300" s="161"/>
      <c r="BM300" s="161"/>
      <c r="BN300" s="161"/>
      <c r="BO300" s="161"/>
      <c r="BP300" s="161"/>
      <c r="BQ300" s="161"/>
      <c r="BR300" s="161"/>
      <c r="BS300" s="161"/>
      <c r="BT300" s="161"/>
      <c r="BU300" s="161"/>
      <c r="BV300" s="161"/>
      <c r="BW300" s="161"/>
      <c r="BX300" s="161"/>
      <c r="BY300" s="161"/>
      <c r="BZ300" s="161"/>
      <c r="CA300" s="161"/>
      <c r="CB300" s="161"/>
      <c r="CC300" s="161"/>
      <c r="CD300" s="161"/>
      <c r="CE300" s="161"/>
      <c r="CF300" s="161"/>
      <c r="CG300" s="161"/>
      <c r="CH300" s="161"/>
      <c r="CI300" s="161"/>
      <c r="CJ300" s="161"/>
      <c r="CK300" s="161"/>
      <c r="CL300" s="161"/>
      <c r="CM300" s="161"/>
      <c r="CN300" s="161"/>
      <c r="CO300" s="161"/>
      <c r="CP300" s="161"/>
      <c r="CQ300" s="161"/>
      <c r="CR300" s="161"/>
      <c r="CS300" s="161"/>
      <c r="CT300" s="161"/>
      <c r="CU300" s="161"/>
      <c r="CV300" s="161"/>
      <c r="CW300" s="161"/>
      <c r="CX300" s="161"/>
      <c r="CY300" s="161"/>
      <c r="CZ300" s="161"/>
      <c r="DA300" s="161"/>
      <c r="DB300" s="161"/>
      <c r="DC300" s="161"/>
      <c r="DD300" s="161"/>
      <c r="DE300" s="161"/>
      <c r="DF300" s="161"/>
      <c r="DG300" s="161"/>
      <c r="DH300" s="161"/>
      <c r="DI300" s="161"/>
      <c r="DJ300" s="161"/>
      <c r="DK300" s="177"/>
      <c r="DL300" s="177"/>
      <c r="DM300" s="177"/>
      <c r="DN300" s="177"/>
      <c r="DO300" s="177"/>
      <c r="DP300" s="177"/>
      <c r="DQ300" s="177"/>
      <c r="DR300" s="177"/>
      <c r="DS300" s="177"/>
      <c r="DT300" s="177"/>
      <c r="DU300" s="177"/>
      <c r="DV300" s="177"/>
      <c r="DW300" s="177"/>
      <c r="DX300" s="177"/>
      <c r="DY300" s="177"/>
      <c r="DZ300" s="177"/>
      <c r="EA300" s="177"/>
      <c r="EB300" s="177"/>
      <c r="EC300" s="177"/>
      <c r="ED300" s="177"/>
      <c r="EF300" s="161"/>
      <c r="EH300" s="161"/>
      <c r="EM300" s="161"/>
      <c r="EN300" s="161"/>
      <c r="EO300" s="161"/>
      <c r="EP300" s="161"/>
      <c r="FL300" s="161"/>
      <c r="FM300" s="161"/>
      <c r="FN300" s="161"/>
      <c r="FO300" s="161"/>
      <c r="FP300" s="161"/>
      <c r="FQ300" s="161"/>
      <c r="FR300" s="161"/>
      <c r="FS300" s="161"/>
      <c r="FT300" s="161"/>
      <c r="FU300" s="161"/>
      <c r="FV300" s="161"/>
      <c r="FW300" s="161"/>
      <c r="FX300" s="161"/>
      <c r="FY300" s="161"/>
      <c r="FZ300" s="161"/>
      <c r="GA300" s="161"/>
      <c r="GB300" s="161"/>
      <c r="GC300" s="177"/>
      <c r="GD300" s="161"/>
      <c r="GE300" s="177"/>
    </row>
    <row r="301" spans="1:187">
      <c r="A301" s="161"/>
      <c r="B301" s="161"/>
      <c r="C301" s="161"/>
      <c r="D301" s="161"/>
      <c r="E301" s="161"/>
      <c r="F301" s="161"/>
      <c r="G301" s="161"/>
      <c r="H301" s="161"/>
      <c r="I301" s="161"/>
      <c r="J301" s="161"/>
      <c r="K301" s="161"/>
      <c r="L301" s="161"/>
      <c r="M301" s="161"/>
      <c r="N301" s="161"/>
      <c r="O301" s="161"/>
      <c r="P301" s="161"/>
      <c r="Q301" s="161"/>
      <c r="R301" s="161"/>
      <c r="S301" s="161"/>
      <c r="T301" s="161"/>
      <c r="U301" s="161"/>
      <c r="V301" s="161"/>
      <c r="W301" s="161"/>
      <c r="X301" s="161"/>
      <c r="Y301" s="161"/>
      <c r="Z301" s="161"/>
      <c r="AA301" s="161"/>
      <c r="AB301" s="161"/>
      <c r="AC301" s="161"/>
      <c r="AD301" s="161"/>
      <c r="AE301" s="161"/>
      <c r="AF301" s="161"/>
      <c r="AG301" s="161"/>
      <c r="AH301" s="161"/>
      <c r="AI301" s="161"/>
      <c r="AJ301" s="161"/>
      <c r="AK301" s="161"/>
      <c r="AL301" s="161"/>
      <c r="AM301" s="161"/>
      <c r="AN301" s="161"/>
      <c r="AO301" s="161"/>
      <c r="AP301" s="161"/>
      <c r="AQ301" s="161"/>
      <c r="AR301" s="161"/>
      <c r="AS301" s="161"/>
      <c r="AT301" s="161"/>
      <c r="AU301" s="161"/>
      <c r="AV301" s="161"/>
      <c r="AW301" s="161"/>
      <c r="AX301" s="161"/>
      <c r="AY301" s="161"/>
      <c r="AZ301" s="161"/>
      <c r="BA301" s="161"/>
      <c r="BB301" s="161"/>
      <c r="BC301" s="161"/>
      <c r="BD301" s="161"/>
      <c r="BE301" s="161"/>
      <c r="BF301" s="161"/>
      <c r="BG301" s="161"/>
      <c r="BH301" s="161"/>
      <c r="BI301" s="161"/>
      <c r="BJ301" s="161"/>
      <c r="BK301" s="161"/>
      <c r="BL301" s="161"/>
      <c r="BM301" s="161"/>
      <c r="BN301" s="161"/>
      <c r="BO301" s="161"/>
      <c r="BP301" s="161"/>
      <c r="BQ301" s="161"/>
      <c r="BR301" s="161"/>
      <c r="BS301" s="161"/>
      <c r="BT301" s="161"/>
      <c r="BU301" s="161"/>
      <c r="BV301" s="161"/>
      <c r="BW301" s="161"/>
      <c r="BX301" s="161"/>
      <c r="BY301" s="161"/>
      <c r="BZ301" s="161"/>
      <c r="CA301" s="161"/>
      <c r="CB301" s="161"/>
      <c r="CC301" s="161"/>
      <c r="CD301" s="161"/>
      <c r="CE301" s="161"/>
      <c r="CF301" s="161"/>
      <c r="CG301" s="161"/>
      <c r="CH301" s="161"/>
      <c r="CI301" s="161"/>
      <c r="CJ301" s="161"/>
      <c r="CK301" s="161"/>
      <c r="CL301" s="161"/>
      <c r="CM301" s="161"/>
      <c r="CN301" s="161"/>
      <c r="CO301" s="161"/>
      <c r="CP301" s="161"/>
      <c r="CQ301" s="161"/>
      <c r="CR301" s="161"/>
      <c r="CS301" s="161"/>
      <c r="CT301" s="161"/>
      <c r="CU301" s="161"/>
      <c r="CV301" s="161"/>
      <c r="CW301" s="161"/>
      <c r="CX301" s="161"/>
      <c r="CY301" s="161"/>
      <c r="CZ301" s="161"/>
      <c r="DA301" s="161"/>
      <c r="DB301" s="161"/>
      <c r="DC301" s="161"/>
      <c r="DD301" s="161"/>
      <c r="DE301" s="161"/>
      <c r="DF301" s="161"/>
      <c r="DG301" s="161"/>
      <c r="DH301" s="161"/>
      <c r="DI301" s="161"/>
      <c r="DJ301" s="161"/>
      <c r="DK301" s="177"/>
      <c r="DL301" s="177"/>
      <c r="DM301" s="177"/>
      <c r="DN301" s="177"/>
      <c r="DO301" s="177"/>
      <c r="DP301" s="177"/>
      <c r="DQ301" s="177"/>
      <c r="DR301" s="177"/>
      <c r="DS301" s="177"/>
      <c r="DT301" s="177"/>
      <c r="DU301" s="177"/>
      <c r="DV301" s="177"/>
      <c r="DW301" s="177"/>
      <c r="DX301" s="177"/>
      <c r="DY301" s="177"/>
      <c r="DZ301" s="177"/>
      <c r="EA301" s="177"/>
      <c r="EB301" s="177"/>
      <c r="EC301" s="177"/>
      <c r="ED301" s="177"/>
      <c r="EF301" s="161"/>
      <c r="EH301" s="161"/>
      <c r="EM301" s="161"/>
      <c r="EN301" s="161"/>
      <c r="EO301" s="161"/>
      <c r="EP301" s="161"/>
      <c r="FL301" s="161"/>
      <c r="FM301" s="161"/>
      <c r="FN301" s="161"/>
      <c r="FO301" s="161"/>
      <c r="FP301" s="161"/>
      <c r="FQ301" s="161"/>
      <c r="FR301" s="161"/>
      <c r="FS301" s="161"/>
      <c r="FT301" s="161"/>
      <c r="FU301" s="161"/>
      <c r="FV301" s="161"/>
      <c r="FW301" s="161"/>
      <c r="FX301" s="161"/>
      <c r="FY301" s="161"/>
      <c r="FZ301" s="161"/>
      <c r="GA301" s="161"/>
      <c r="GB301" s="161"/>
      <c r="GC301" s="177"/>
      <c r="GD301" s="161"/>
      <c r="GE301" s="177"/>
    </row>
    <row r="302" spans="1:187">
      <c r="A302" s="161"/>
      <c r="B302" s="161"/>
      <c r="C302" s="161"/>
      <c r="D302" s="161"/>
      <c r="E302" s="161"/>
      <c r="F302" s="161"/>
      <c r="G302" s="161"/>
      <c r="H302" s="161"/>
      <c r="I302" s="161"/>
      <c r="J302" s="161"/>
      <c r="K302" s="161"/>
      <c r="L302" s="161"/>
      <c r="M302" s="161"/>
      <c r="N302" s="161"/>
      <c r="O302" s="161"/>
      <c r="P302" s="161"/>
      <c r="Q302" s="161"/>
      <c r="R302" s="161"/>
      <c r="S302" s="161"/>
      <c r="T302" s="161"/>
      <c r="U302" s="161"/>
      <c r="V302" s="161"/>
      <c r="W302" s="161"/>
      <c r="X302" s="161"/>
      <c r="Y302" s="161"/>
      <c r="Z302" s="161"/>
      <c r="AA302" s="161"/>
      <c r="AB302" s="161"/>
      <c r="AC302" s="161"/>
      <c r="AD302" s="161"/>
      <c r="AE302" s="161"/>
      <c r="AF302" s="161"/>
      <c r="AG302" s="161"/>
      <c r="AH302" s="161"/>
      <c r="AI302" s="161"/>
      <c r="AJ302" s="161"/>
      <c r="AK302" s="161"/>
      <c r="AL302" s="161"/>
      <c r="AM302" s="161"/>
      <c r="AN302" s="161"/>
      <c r="AO302" s="161"/>
      <c r="AP302" s="161"/>
      <c r="AQ302" s="161"/>
      <c r="AR302" s="161"/>
      <c r="AS302" s="161"/>
      <c r="AT302" s="161"/>
      <c r="AU302" s="161"/>
      <c r="AV302" s="161"/>
      <c r="AW302" s="161"/>
      <c r="AX302" s="161"/>
      <c r="AY302" s="161"/>
      <c r="AZ302" s="161"/>
      <c r="BA302" s="161"/>
      <c r="BB302" s="161"/>
      <c r="BC302" s="161"/>
      <c r="BD302" s="161"/>
      <c r="BE302" s="161"/>
      <c r="BF302" s="161"/>
      <c r="BG302" s="161"/>
      <c r="BH302" s="161"/>
      <c r="BI302" s="161"/>
      <c r="BJ302" s="161"/>
      <c r="BK302" s="161"/>
      <c r="BL302" s="161"/>
      <c r="BM302" s="161"/>
      <c r="BN302" s="161"/>
      <c r="BO302" s="161"/>
      <c r="BP302" s="161"/>
      <c r="BQ302" s="161"/>
      <c r="BR302" s="161"/>
      <c r="BS302" s="161"/>
      <c r="BT302" s="161"/>
      <c r="BU302" s="161"/>
      <c r="BV302" s="161"/>
      <c r="BW302" s="161"/>
      <c r="BX302" s="161"/>
      <c r="BY302" s="161"/>
      <c r="BZ302" s="161"/>
      <c r="CA302" s="161"/>
      <c r="CB302" s="161"/>
      <c r="CC302" s="161"/>
      <c r="CD302" s="161"/>
      <c r="CE302" s="161"/>
      <c r="CF302" s="161"/>
      <c r="CG302" s="161"/>
      <c r="CH302" s="161"/>
      <c r="CI302" s="161"/>
      <c r="CJ302" s="161"/>
      <c r="CK302" s="161"/>
      <c r="CL302" s="161"/>
      <c r="CM302" s="161"/>
      <c r="CN302" s="161"/>
      <c r="CO302" s="161"/>
      <c r="CP302" s="161"/>
      <c r="CQ302" s="161"/>
      <c r="CR302" s="161"/>
      <c r="CS302" s="161"/>
      <c r="CT302" s="161"/>
      <c r="CU302" s="161"/>
      <c r="CV302" s="161"/>
      <c r="CW302" s="161"/>
      <c r="CX302" s="161"/>
      <c r="CY302" s="161"/>
      <c r="CZ302" s="161"/>
      <c r="DA302" s="161"/>
      <c r="DB302" s="161"/>
      <c r="DC302" s="161"/>
      <c r="DD302" s="161"/>
      <c r="DE302" s="161"/>
      <c r="DF302" s="161"/>
      <c r="DG302" s="161"/>
      <c r="DH302" s="161"/>
      <c r="DI302" s="161"/>
      <c r="DJ302" s="161"/>
      <c r="DK302" s="177"/>
      <c r="DL302" s="177"/>
      <c r="DM302" s="177"/>
      <c r="DN302" s="177"/>
      <c r="DO302" s="177"/>
      <c r="DP302" s="177"/>
      <c r="DQ302" s="177"/>
      <c r="DR302" s="177"/>
      <c r="DS302" s="177"/>
      <c r="DT302" s="177"/>
      <c r="DU302" s="177"/>
      <c r="DV302" s="177"/>
      <c r="DW302" s="177"/>
      <c r="DX302" s="177"/>
      <c r="DY302" s="177"/>
      <c r="DZ302" s="177"/>
      <c r="EA302" s="177"/>
      <c r="EB302" s="177"/>
      <c r="EC302" s="177"/>
      <c r="ED302" s="177"/>
      <c r="EF302" s="161"/>
      <c r="EH302" s="161"/>
      <c r="EM302" s="161"/>
      <c r="EN302" s="161"/>
      <c r="EO302" s="161"/>
      <c r="EP302" s="161"/>
      <c r="FL302" s="161"/>
      <c r="FM302" s="161"/>
      <c r="FN302" s="161"/>
      <c r="FO302" s="161"/>
      <c r="FP302" s="161"/>
      <c r="FQ302" s="161"/>
      <c r="FR302" s="161"/>
      <c r="FS302" s="161"/>
      <c r="FT302" s="161"/>
      <c r="FU302" s="161"/>
      <c r="FV302" s="161"/>
      <c r="FW302" s="161"/>
      <c r="FX302" s="161"/>
      <c r="FY302" s="161"/>
      <c r="FZ302" s="161"/>
      <c r="GA302" s="161"/>
      <c r="GB302" s="161"/>
      <c r="GC302" s="177"/>
      <c r="GD302" s="161"/>
      <c r="GE302" s="177"/>
    </row>
    <row r="303" spans="1:187">
      <c r="A303" s="161"/>
      <c r="B303" s="161"/>
      <c r="C303" s="161"/>
      <c r="D303" s="161"/>
      <c r="E303" s="161"/>
      <c r="F303" s="161"/>
      <c r="G303" s="161"/>
      <c r="H303" s="161"/>
      <c r="I303" s="161"/>
      <c r="J303" s="161"/>
      <c r="K303" s="161"/>
      <c r="L303" s="161"/>
      <c r="M303" s="161"/>
      <c r="N303" s="161"/>
      <c r="O303" s="161"/>
      <c r="P303" s="161"/>
      <c r="Q303" s="161"/>
      <c r="R303" s="161"/>
      <c r="S303" s="161"/>
      <c r="T303" s="161"/>
      <c r="U303" s="161"/>
      <c r="V303" s="161"/>
      <c r="W303" s="161"/>
      <c r="X303" s="161"/>
      <c r="Y303" s="161"/>
      <c r="Z303" s="161"/>
      <c r="AA303" s="161"/>
      <c r="AB303" s="161"/>
      <c r="AC303" s="161"/>
      <c r="AD303" s="161"/>
      <c r="AE303" s="161"/>
      <c r="AF303" s="161"/>
      <c r="AG303" s="161"/>
      <c r="AH303" s="161"/>
      <c r="AI303" s="161"/>
      <c r="AJ303" s="161"/>
      <c r="AK303" s="161"/>
      <c r="AL303" s="161"/>
      <c r="AM303" s="161"/>
      <c r="AN303" s="161"/>
      <c r="AO303" s="161"/>
      <c r="AP303" s="161"/>
      <c r="AQ303" s="161"/>
      <c r="AR303" s="161"/>
      <c r="AS303" s="161"/>
      <c r="AT303" s="161"/>
      <c r="AU303" s="161"/>
      <c r="AV303" s="161"/>
      <c r="AW303" s="161"/>
      <c r="AX303" s="161"/>
      <c r="AY303" s="161"/>
      <c r="AZ303" s="161"/>
      <c r="BA303" s="161"/>
      <c r="BB303" s="161"/>
      <c r="BC303" s="161"/>
      <c r="BD303" s="161"/>
      <c r="BE303" s="161"/>
      <c r="BF303" s="161"/>
      <c r="BG303" s="161"/>
      <c r="BH303" s="161"/>
      <c r="BI303" s="161"/>
      <c r="BJ303" s="161"/>
      <c r="BK303" s="161"/>
      <c r="BL303" s="161"/>
      <c r="BM303" s="161"/>
      <c r="BN303" s="161"/>
      <c r="BO303" s="161"/>
      <c r="BP303" s="161"/>
      <c r="BQ303" s="161"/>
      <c r="BR303" s="161"/>
      <c r="BS303" s="161"/>
      <c r="BT303" s="161"/>
      <c r="BU303" s="161"/>
      <c r="BV303" s="161"/>
      <c r="BW303" s="161"/>
      <c r="BX303" s="161"/>
      <c r="BY303" s="161"/>
      <c r="BZ303" s="161"/>
      <c r="CA303" s="161"/>
      <c r="CB303" s="161"/>
      <c r="CC303" s="161"/>
      <c r="CD303" s="161"/>
      <c r="CE303" s="161"/>
      <c r="CF303" s="161"/>
      <c r="CG303" s="161"/>
      <c r="CH303" s="161"/>
      <c r="CI303" s="161"/>
      <c r="CJ303" s="161"/>
      <c r="CK303" s="161"/>
      <c r="CL303" s="161"/>
      <c r="CM303" s="161"/>
      <c r="CN303" s="161"/>
      <c r="CO303" s="161"/>
      <c r="CP303" s="161"/>
      <c r="CQ303" s="161"/>
      <c r="CR303" s="161"/>
      <c r="CS303" s="161"/>
      <c r="CT303" s="161"/>
      <c r="CU303" s="161"/>
      <c r="CV303" s="161"/>
      <c r="CW303" s="161"/>
      <c r="CX303" s="161"/>
      <c r="CY303" s="161"/>
      <c r="CZ303" s="161"/>
      <c r="DA303" s="161"/>
      <c r="DB303" s="161"/>
      <c r="DC303" s="161"/>
      <c r="DD303" s="161"/>
      <c r="DE303" s="161"/>
      <c r="DF303" s="161"/>
      <c r="DG303" s="161"/>
      <c r="DH303" s="161"/>
      <c r="DI303" s="161"/>
      <c r="DJ303" s="161"/>
      <c r="DK303" s="177"/>
      <c r="DL303" s="177"/>
      <c r="DM303" s="177"/>
      <c r="DN303" s="177"/>
      <c r="DO303" s="177"/>
      <c r="DP303" s="177"/>
      <c r="DQ303" s="177"/>
      <c r="DR303" s="177"/>
      <c r="DS303" s="177"/>
      <c r="DT303" s="177"/>
      <c r="DU303" s="177"/>
      <c r="DV303" s="177"/>
      <c r="DW303" s="177"/>
      <c r="DX303" s="177"/>
      <c r="DY303" s="177"/>
      <c r="DZ303" s="177"/>
      <c r="EA303" s="177"/>
      <c r="EB303" s="177"/>
      <c r="EC303" s="177"/>
      <c r="ED303" s="177"/>
      <c r="EF303" s="161"/>
      <c r="EH303" s="161"/>
      <c r="EM303" s="161"/>
      <c r="EN303" s="161"/>
      <c r="EO303" s="161"/>
      <c r="EP303" s="161"/>
      <c r="FL303" s="161"/>
      <c r="FM303" s="161"/>
      <c r="FN303" s="161"/>
      <c r="FO303" s="161"/>
      <c r="FP303" s="161"/>
      <c r="FQ303" s="161"/>
      <c r="FR303" s="161"/>
      <c r="FS303" s="161"/>
      <c r="FT303" s="161"/>
      <c r="FU303" s="161"/>
      <c r="FV303" s="161"/>
      <c r="FW303" s="161"/>
      <c r="FX303" s="161"/>
      <c r="FY303" s="161"/>
      <c r="FZ303" s="161"/>
      <c r="GA303" s="161"/>
      <c r="GB303" s="161"/>
      <c r="GC303" s="177"/>
      <c r="GD303" s="161"/>
      <c r="GE303" s="177"/>
    </row>
    <row r="304" spans="1:187">
      <c r="A304" s="161"/>
      <c r="B304" s="161"/>
      <c r="C304" s="161"/>
      <c r="D304" s="161"/>
      <c r="E304" s="161"/>
      <c r="F304" s="161"/>
      <c r="G304" s="161"/>
      <c r="H304" s="161"/>
      <c r="I304" s="161"/>
      <c r="J304" s="161"/>
      <c r="K304" s="161"/>
      <c r="L304" s="161"/>
      <c r="M304" s="161"/>
      <c r="N304" s="161"/>
      <c r="O304" s="161"/>
      <c r="P304" s="161"/>
      <c r="Q304" s="161"/>
      <c r="R304" s="161"/>
      <c r="S304" s="161"/>
      <c r="T304" s="161"/>
      <c r="U304" s="161"/>
      <c r="V304" s="161"/>
      <c r="W304" s="161"/>
      <c r="X304" s="161"/>
      <c r="Y304" s="161"/>
      <c r="Z304" s="161"/>
      <c r="AA304" s="161"/>
      <c r="AB304" s="161"/>
      <c r="AC304" s="161"/>
      <c r="AD304" s="161"/>
      <c r="AE304" s="161"/>
      <c r="AF304" s="161"/>
      <c r="AG304" s="161"/>
      <c r="AH304" s="161"/>
      <c r="AI304" s="161"/>
      <c r="AJ304" s="161"/>
      <c r="AK304" s="161"/>
      <c r="AL304" s="161"/>
      <c r="AM304" s="161"/>
      <c r="AN304" s="161"/>
      <c r="AO304" s="161"/>
      <c r="AP304" s="161"/>
      <c r="AQ304" s="161"/>
      <c r="AR304" s="161"/>
      <c r="AS304" s="161"/>
      <c r="AT304" s="161"/>
      <c r="AU304" s="161"/>
      <c r="AV304" s="161"/>
      <c r="AW304" s="161"/>
      <c r="AX304" s="161"/>
      <c r="AY304" s="161"/>
      <c r="AZ304" s="161"/>
      <c r="BA304" s="161"/>
      <c r="BB304" s="161"/>
      <c r="BC304" s="161"/>
      <c r="BD304" s="161"/>
      <c r="BE304" s="161"/>
      <c r="BF304" s="161"/>
      <c r="BG304" s="161"/>
      <c r="BH304" s="161"/>
      <c r="BI304" s="161"/>
      <c r="BJ304" s="161"/>
      <c r="BK304" s="161"/>
      <c r="BL304" s="161"/>
      <c r="BM304" s="161"/>
      <c r="BN304" s="161"/>
      <c r="BO304" s="161"/>
      <c r="BP304" s="161"/>
      <c r="BQ304" s="161"/>
      <c r="BR304" s="161"/>
      <c r="BS304" s="161"/>
      <c r="BT304" s="161"/>
      <c r="BU304" s="161"/>
      <c r="BV304" s="161"/>
      <c r="BW304" s="161"/>
      <c r="BX304" s="161"/>
      <c r="BY304" s="161"/>
      <c r="BZ304" s="161"/>
      <c r="CA304" s="161"/>
      <c r="CB304" s="161"/>
      <c r="CC304" s="161"/>
      <c r="CD304" s="161"/>
      <c r="CE304" s="161"/>
      <c r="CF304" s="161"/>
      <c r="CG304" s="161"/>
      <c r="CH304" s="161"/>
      <c r="CI304" s="161"/>
      <c r="CJ304" s="161"/>
      <c r="CK304" s="161"/>
      <c r="CL304" s="161"/>
      <c r="CM304" s="161"/>
      <c r="CN304" s="161"/>
      <c r="CO304" s="161"/>
      <c r="CP304" s="161"/>
      <c r="CQ304" s="161"/>
      <c r="CR304" s="161"/>
      <c r="CS304" s="161"/>
      <c r="CT304" s="161"/>
      <c r="CU304" s="161"/>
      <c r="CV304" s="161"/>
      <c r="CW304" s="161"/>
      <c r="CX304" s="161"/>
      <c r="CY304" s="161"/>
      <c r="CZ304" s="161"/>
      <c r="DA304" s="161"/>
      <c r="DB304" s="161"/>
      <c r="DC304" s="161"/>
      <c r="DD304" s="161"/>
      <c r="DE304" s="161"/>
      <c r="DF304" s="161"/>
      <c r="DG304" s="161"/>
      <c r="DH304" s="161"/>
      <c r="DI304" s="161"/>
      <c r="DJ304" s="161"/>
      <c r="DK304" s="177"/>
      <c r="DL304" s="177"/>
      <c r="DM304" s="177"/>
      <c r="DN304" s="177"/>
      <c r="DO304" s="177"/>
      <c r="DP304" s="177"/>
      <c r="DQ304" s="177"/>
      <c r="DR304" s="177"/>
      <c r="DS304" s="177"/>
      <c r="DT304" s="177"/>
      <c r="DU304" s="177"/>
      <c r="DV304" s="177"/>
      <c r="DW304" s="177"/>
      <c r="DX304" s="177"/>
      <c r="DY304" s="177"/>
      <c r="DZ304" s="177"/>
      <c r="EA304" s="177"/>
      <c r="EB304" s="177"/>
      <c r="EC304" s="177"/>
      <c r="ED304" s="177"/>
      <c r="EF304" s="161"/>
      <c r="EH304" s="161"/>
      <c r="EM304" s="161"/>
      <c r="EN304" s="161"/>
      <c r="EO304" s="161"/>
      <c r="EP304" s="161"/>
      <c r="FL304" s="161"/>
      <c r="FM304" s="161"/>
      <c r="FN304" s="161"/>
      <c r="FO304" s="161"/>
      <c r="FP304" s="161"/>
      <c r="FQ304" s="161"/>
      <c r="FR304" s="161"/>
      <c r="FS304" s="161"/>
      <c r="FT304" s="161"/>
      <c r="FU304" s="161"/>
      <c r="FV304" s="161"/>
      <c r="FW304" s="161"/>
      <c r="FX304" s="161"/>
      <c r="FY304" s="161"/>
      <c r="FZ304" s="161"/>
      <c r="GA304" s="161"/>
      <c r="GB304" s="161"/>
      <c r="GC304" s="177"/>
      <c r="GD304" s="161"/>
      <c r="GE304" s="177"/>
    </row>
    <row r="305" spans="1:187">
      <c r="A305" s="161"/>
      <c r="B305" s="161"/>
      <c r="C305" s="161"/>
      <c r="D305" s="161"/>
      <c r="E305" s="161"/>
      <c r="F305" s="161"/>
      <c r="G305" s="161"/>
      <c r="H305" s="161"/>
      <c r="I305" s="161"/>
      <c r="J305" s="161"/>
      <c r="K305" s="161"/>
      <c r="L305" s="161"/>
      <c r="M305" s="161"/>
      <c r="N305" s="161"/>
      <c r="O305" s="161"/>
      <c r="P305" s="161"/>
      <c r="Q305" s="161"/>
      <c r="R305" s="161"/>
      <c r="S305" s="161"/>
      <c r="T305" s="161"/>
      <c r="U305" s="161"/>
      <c r="V305" s="161"/>
      <c r="W305" s="161"/>
      <c r="X305" s="161"/>
      <c r="Y305" s="161"/>
      <c r="Z305" s="161"/>
      <c r="AA305" s="161"/>
      <c r="AB305" s="161"/>
      <c r="AC305" s="161"/>
      <c r="AD305" s="161"/>
      <c r="AE305" s="161"/>
      <c r="AF305" s="161"/>
      <c r="AG305" s="161"/>
      <c r="AH305" s="161"/>
      <c r="AI305" s="161"/>
      <c r="AJ305" s="161"/>
      <c r="AK305" s="161"/>
      <c r="AL305" s="161"/>
      <c r="AM305" s="161"/>
      <c r="AN305" s="161"/>
      <c r="AO305" s="161"/>
      <c r="AP305" s="161"/>
      <c r="AQ305" s="161"/>
      <c r="AR305" s="161"/>
      <c r="AS305" s="161"/>
      <c r="AT305" s="161"/>
      <c r="AU305" s="161"/>
      <c r="AV305" s="161"/>
      <c r="AW305" s="161"/>
      <c r="AX305" s="161"/>
      <c r="AY305" s="161"/>
      <c r="AZ305" s="161"/>
      <c r="BA305" s="161"/>
      <c r="BB305" s="161"/>
      <c r="BC305" s="161"/>
      <c r="BD305" s="161"/>
      <c r="BE305" s="161"/>
      <c r="BF305" s="161"/>
      <c r="BG305" s="161"/>
      <c r="BH305" s="161"/>
      <c r="BI305" s="161"/>
      <c r="BJ305" s="161"/>
      <c r="BK305" s="161"/>
      <c r="BL305" s="161"/>
      <c r="BM305" s="161"/>
      <c r="BN305" s="161"/>
      <c r="BO305" s="161"/>
      <c r="BP305" s="161"/>
      <c r="BQ305" s="161"/>
      <c r="BR305" s="161"/>
      <c r="BS305" s="161"/>
      <c r="BT305" s="161"/>
      <c r="BU305" s="161"/>
      <c r="BV305" s="161"/>
      <c r="BW305" s="161"/>
      <c r="BX305" s="161"/>
      <c r="BY305" s="161"/>
      <c r="BZ305" s="161"/>
      <c r="CA305" s="161"/>
      <c r="CB305" s="161"/>
      <c r="CC305" s="161"/>
      <c r="CD305" s="161"/>
      <c r="CE305" s="161"/>
      <c r="CF305" s="161"/>
      <c r="CG305" s="161"/>
      <c r="CH305" s="161"/>
      <c r="CI305" s="161"/>
      <c r="CJ305" s="161"/>
      <c r="CK305" s="161"/>
      <c r="CL305" s="161"/>
      <c r="CM305" s="161"/>
      <c r="CN305" s="161"/>
      <c r="CO305" s="161"/>
      <c r="CP305" s="161"/>
      <c r="CQ305" s="161"/>
      <c r="CR305" s="161"/>
      <c r="CS305" s="161"/>
      <c r="CT305" s="161"/>
      <c r="CU305" s="161"/>
      <c r="CV305" s="161"/>
      <c r="CW305" s="161"/>
      <c r="CX305" s="161"/>
      <c r="CY305" s="161"/>
      <c r="CZ305" s="161"/>
      <c r="DA305" s="161"/>
      <c r="DB305" s="161"/>
      <c r="DC305" s="161"/>
      <c r="DD305" s="161"/>
      <c r="DE305" s="161"/>
      <c r="DF305" s="161"/>
      <c r="DG305" s="161"/>
      <c r="DH305" s="161"/>
      <c r="DI305" s="161"/>
      <c r="DJ305" s="161"/>
      <c r="DK305" s="177"/>
      <c r="DL305" s="177"/>
      <c r="DM305" s="177"/>
      <c r="DN305" s="177"/>
      <c r="DO305" s="177"/>
      <c r="DP305" s="177"/>
      <c r="DQ305" s="177"/>
      <c r="DR305" s="177"/>
      <c r="DS305" s="177"/>
      <c r="DT305" s="177"/>
      <c r="DU305" s="177"/>
      <c r="DV305" s="177"/>
      <c r="DW305" s="177"/>
      <c r="DX305" s="177"/>
      <c r="DY305" s="177"/>
      <c r="DZ305" s="177"/>
      <c r="EA305" s="177"/>
      <c r="EB305" s="177"/>
      <c r="EC305" s="177"/>
      <c r="ED305" s="177"/>
      <c r="EF305" s="161"/>
      <c r="EH305" s="161"/>
      <c r="EM305" s="161"/>
      <c r="EN305" s="161"/>
      <c r="EO305" s="161"/>
      <c r="EP305" s="161"/>
      <c r="FL305" s="161"/>
      <c r="FM305" s="161"/>
      <c r="FN305" s="161"/>
      <c r="FO305" s="161"/>
      <c r="FP305" s="161"/>
      <c r="FQ305" s="161"/>
      <c r="FR305" s="161"/>
      <c r="FS305" s="161"/>
      <c r="FT305" s="161"/>
      <c r="FU305" s="161"/>
      <c r="FV305" s="161"/>
      <c r="FW305" s="161"/>
      <c r="FX305" s="161"/>
      <c r="FY305" s="161"/>
      <c r="FZ305" s="161"/>
      <c r="GA305" s="161"/>
      <c r="GB305" s="161"/>
      <c r="GC305" s="177"/>
      <c r="GD305" s="161"/>
      <c r="GE305" s="177"/>
    </row>
    <row r="306" spans="1:187">
      <c r="A306" s="161"/>
      <c r="B306" s="161"/>
      <c r="C306" s="161"/>
      <c r="D306" s="161"/>
      <c r="E306" s="161"/>
      <c r="F306" s="161"/>
      <c r="G306" s="161"/>
      <c r="H306" s="161"/>
      <c r="I306" s="161"/>
      <c r="J306" s="161"/>
      <c r="K306" s="161"/>
      <c r="L306" s="161"/>
      <c r="M306" s="161"/>
      <c r="N306" s="161"/>
      <c r="O306" s="161"/>
      <c r="P306" s="161"/>
      <c r="Q306" s="161"/>
      <c r="R306" s="161"/>
      <c r="S306" s="161"/>
      <c r="T306" s="161"/>
      <c r="U306" s="161"/>
      <c r="V306" s="161"/>
      <c r="W306" s="161"/>
      <c r="X306" s="161"/>
      <c r="Y306" s="161"/>
      <c r="Z306" s="161"/>
      <c r="AA306" s="161"/>
      <c r="AB306" s="161"/>
      <c r="AC306" s="161"/>
      <c r="AD306" s="161"/>
      <c r="AE306" s="161"/>
      <c r="AF306" s="161"/>
      <c r="AG306" s="161"/>
      <c r="AH306" s="161"/>
      <c r="AI306" s="161"/>
      <c r="AJ306" s="161"/>
      <c r="AK306" s="161"/>
      <c r="AL306" s="161"/>
      <c r="AM306" s="161"/>
      <c r="AN306" s="161"/>
      <c r="AO306" s="161"/>
      <c r="AP306" s="161"/>
      <c r="AQ306" s="161"/>
      <c r="AR306" s="161"/>
      <c r="AS306" s="161"/>
      <c r="AT306" s="161"/>
      <c r="AU306" s="161"/>
      <c r="AV306" s="161"/>
      <c r="AW306" s="161"/>
      <c r="AX306" s="161"/>
      <c r="AY306" s="161"/>
      <c r="AZ306" s="161"/>
      <c r="BA306" s="161"/>
      <c r="BB306" s="161"/>
      <c r="BC306" s="161"/>
      <c r="BD306" s="161"/>
      <c r="BE306" s="161"/>
      <c r="BF306" s="161"/>
      <c r="BG306" s="161"/>
      <c r="BH306" s="161"/>
      <c r="BI306" s="161"/>
      <c r="BJ306" s="161"/>
      <c r="BK306" s="161"/>
      <c r="BL306" s="161"/>
      <c r="BM306" s="161"/>
      <c r="BN306" s="161"/>
      <c r="BO306" s="161"/>
      <c r="BP306" s="161"/>
      <c r="BQ306" s="161"/>
      <c r="BR306" s="161"/>
      <c r="BS306" s="161"/>
      <c r="BT306" s="161"/>
      <c r="BU306" s="161"/>
      <c r="BV306" s="161"/>
      <c r="BW306" s="161"/>
      <c r="BX306" s="161"/>
      <c r="BY306" s="161"/>
      <c r="BZ306" s="161"/>
      <c r="CA306" s="161"/>
      <c r="CB306" s="161"/>
      <c r="CC306" s="161"/>
      <c r="CD306" s="161"/>
      <c r="CE306" s="161"/>
      <c r="CF306" s="161"/>
      <c r="CG306" s="161"/>
      <c r="CH306" s="161"/>
      <c r="CI306" s="161"/>
      <c r="CJ306" s="161"/>
      <c r="CK306" s="161"/>
      <c r="CL306" s="161"/>
      <c r="CM306" s="161"/>
      <c r="CN306" s="161"/>
      <c r="CO306" s="161"/>
      <c r="CP306" s="161"/>
      <c r="CQ306" s="161"/>
      <c r="CR306" s="161"/>
      <c r="CS306" s="161"/>
      <c r="CT306" s="161"/>
      <c r="CU306" s="161"/>
      <c r="CV306" s="161"/>
      <c r="CW306" s="161"/>
      <c r="CX306" s="161"/>
      <c r="CY306" s="161"/>
      <c r="CZ306" s="161"/>
      <c r="DA306" s="161"/>
      <c r="DB306" s="161"/>
      <c r="DC306" s="161"/>
      <c r="DD306" s="161"/>
      <c r="DE306" s="161"/>
      <c r="DF306" s="161"/>
      <c r="DG306" s="161"/>
      <c r="DH306" s="161"/>
      <c r="DI306" s="161"/>
      <c r="DJ306" s="161"/>
      <c r="DK306" s="177"/>
      <c r="DL306" s="177"/>
      <c r="DM306" s="177"/>
      <c r="DN306" s="177"/>
      <c r="DO306" s="177"/>
      <c r="DP306" s="177"/>
      <c r="DQ306" s="177"/>
      <c r="DR306" s="177"/>
      <c r="DS306" s="177"/>
      <c r="DT306" s="177"/>
      <c r="DU306" s="177"/>
      <c r="DV306" s="177"/>
      <c r="DW306" s="177"/>
      <c r="DX306" s="177"/>
      <c r="DY306" s="177"/>
      <c r="DZ306" s="177"/>
      <c r="EA306" s="177"/>
      <c r="EB306" s="177"/>
      <c r="EC306" s="177"/>
      <c r="ED306" s="177"/>
      <c r="EF306" s="161"/>
      <c r="EH306" s="161"/>
      <c r="EM306" s="161"/>
      <c r="EN306" s="161"/>
      <c r="EO306" s="161"/>
      <c r="EP306" s="161"/>
      <c r="FL306" s="161"/>
      <c r="FM306" s="161"/>
      <c r="FN306" s="161"/>
      <c r="FO306" s="161"/>
      <c r="FP306" s="161"/>
      <c r="FQ306" s="161"/>
      <c r="FR306" s="161"/>
      <c r="FS306" s="161"/>
      <c r="FT306" s="161"/>
      <c r="FU306" s="161"/>
      <c r="FV306" s="161"/>
      <c r="FW306" s="161"/>
      <c r="FX306" s="161"/>
      <c r="FY306" s="161"/>
      <c r="FZ306" s="161"/>
      <c r="GA306" s="161"/>
      <c r="GB306" s="161"/>
      <c r="GC306" s="177"/>
      <c r="GD306" s="161"/>
      <c r="GE306" s="177"/>
    </row>
    <row r="307" spans="1:187">
      <c r="A307" s="161"/>
      <c r="B307" s="161"/>
      <c r="C307" s="161"/>
      <c r="D307" s="161"/>
      <c r="E307" s="161"/>
      <c r="F307" s="161"/>
      <c r="G307" s="161"/>
      <c r="H307" s="161"/>
      <c r="I307" s="161"/>
      <c r="J307" s="161"/>
      <c r="K307" s="161"/>
      <c r="L307" s="161"/>
      <c r="M307" s="161"/>
      <c r="N307" s="161"/>
      <c r="O307" s="161"/>
      <c r="P307" s="161"/>
      <c r="Q307" s="161"/>
      <c r="R307" s="161"/>
      <c r="S307" s="161"/>
      <c r="T307" s="161"/>
      <c r="U307" s="161"/>
      <c r="V307" s="161"/>
      <c r="W307" s="161"/>
      <c r="X307" s="161"/>
      <c r="Y307" s="161"/>
      <c r="Z307" s="161"/>
      <c r="AA307" s="161"/>
      <c r="AB307" s="161"/>
      <c r="AC307" s="161"/>
      <c r="AD307" s="161"/>
      <c r="AE307" s="161"/>
      <c r="AF307" s="161"/>
      <c r="AG307" s="161"/>
      <c r="AH307" s="161"/>
      <c r="AI307" s="161"/>
      <c r="AJ307" s="161"/>
      <c r="AK307" s="161"/>
      <c r="AL307" s="161"/>
      <c r="AM307" s="161"/>
      <c r="AN307" s="161"/>
      <c r="AO307" s="161"/>
      <c r="AP307" s="161"/>
      <c r="AQ307" s="161"/>
      <c r="AR307" s="161"/>
      <c r="AS307" s="161"/>
      <c r="AT307" s="161"/>
      <c r="AU307" s="161"/>
      <c r="AV307" s="161"/>
      <c r="AW307" s="161"/>
      <c r="AX307" s="161"/>
      <c r="AY307" s="161"/>
      <c r="AZ307" s="161"/>
      <c r="BA307" s="161"/>
      <c r="BB307" s="161"/>
      <c r="BC307" s="161"/>
      <c r="BD307" s="161"/>
      <c r="BE307" s="161"/>
      <c r="BF307" s="161"/>
      <c r="BG307" s="161"/>
      <c r="BH307" s="161"/>
      <c r="BI307" s="161"/>
      <c r="BJ307" s="161"/>
      <c r="BK307" s="161"/>
      <c r="BL307" s="161"/>
      <c r="BM307" s="161"/>
      <c r="BN307" s="161"/>
      <c r="BO307" s="161"/>
      <c r="BP307" s="161"/>
      <c r="BQ307" s="161"/>
      <c r="BR307" s="161"/>
      <c r="BS307" s="161"/>
      <c r="BT307" s="161"/>
      <c r="BU307" s="161"/>
      <c r="BV307" s="161"/>
      <c r="BW307" s="161"/>
      <c r="BX307" s="161"/>
      <c r="BY307" s="161"/>
      <c r="BZ307" s="161"/>
      <c r="CA307" s="161"/>
      <c r="CB307" s="161"/>
      <c r="CC307" s="161"/>
      <c r="CD307" s="161"/>
      <c r="CE307" s="161"/>
      <c r="CF307" s="161"/>
      <c r="CG307" s="161"/>
      <c r="CH307" s="161"/>
      <c r="CI307" s="161"/>
      <c r="CJ307" s="161"/>
      <c r="CK307" s="161"/>
      <c r="CL307" s="161"/>
      <c r="CM307" s="161"/>
      <c r="CN307" s="161"/>
      <c r="CO307" s="161"/>
      <c r="CP307" s="161"/>
      <c r="CQ307" s="161"/>
      <c r="CR307" s="161"/>
      <c r="CS307" s="161"/>
      <c r="CT307" s="161"/>
      <c r="CU307" s="161"/>
      <c r="CV307" s="161"/>
      <c r="CW307" s="161"/>
      <c r="CX307" s="161"/>
      <c r="CY307" s="161"/>
      <c r="CZ307" s="161"/>
      <c r="DA307" s="161"/>
      <c r="DB307" s="161"/>
      <c r="DC307" s="161"/>
      <c r="DD307" s="161"/>
      <c r="DE307" s="161"/>
      <c r="DF307" s="161"/>
      <c r="DG307" s="161"/>
      <c r="DH307" s="161"/>
      <c r="DI307" s="161"/>
      <c r="DJ307" s="161"/>
      <c r="DK307" s="177"/>
      <c r="DL307" s="177"/>
      <c r="DM307" s="177"/>
      <c r="DN307" s="177"/>
      <c r="DO307" s="177"/>
      <c r="DP307" s="177"/>
      <c r="DQ307" s="177"/>
      <c r="DR307" s="177"/>
      <c r="DS307" s="177"/>
      <c r="DT307" s="177"/>
      <c r="DU307" s="177"/>
      <c r="DV307" s="177"/>
      <c r="DW307" s="177"/>
      <c r="DX307" s="177"/>
      <c r="DY307" s="177"/>
      <c r="DZ307" s="177"/>
      <c r="EA307" s="177"/>
      <c r="EB307" s="177"/>
      <c r="EC307" s="177"/>
      <c r="ED307" s="177"/>
      <c r="EF307" s="161"/>
      <c r="EH307" s="161"/>
      <c r="EM307" s="161"/>
      <c r="EN307" s="161"/>
      <c r="EO307" s="161"/>
      <c r="EP307" s="161"/>
      <c r="FL307" s="161"/>
      <c r="FM307" s="161"/>
      <c r="FN307" s="161"/>
      <c r="FO307" s="161"/>
      <c r="FP307" s="161"/>
      <c r="FQ307" s="161"/>
      <c r="FR307" s="161"/>
      <c r="FS307" s="161"/>
      <c r="FT307" s="161"/>
      <c r="FU307" s="161"/>
      <c r="FV307" s="161"/>
      <c r="FW307" s="161"/>
      <c r="FX307" s="161"/>
      <c r="FY307" s="161"/>
      <c r="FZ307" s="161"/>
      <c r="GA307" s="161"/>
      <c r="GB307" s="161"/>
      <c r="GC307" s="177"/>
      <c r="GD307" s="161"/>
      <c r="GE307" s="177"/>
    </row>
    <row r="308" spans="1:187">
      <c r="A308" s="161"/>
      <c r="B308" s="161"/>
      <c r="C308" s="161"/>
      <c r="D308" s="161"/>
      <c r="E308" s="161"/>
      <c r="F308" s="161"/>
      <c r="G308" s="161"/>
      <c r="H308" s="161"/>
      <c r="I308" s="161"/>
      <c r="J308" s="161"/>
      <c r="K308" s="161"/>
      <c r="L308" s="161"/>
      <c r="M308" s="161"/>
      <c r="N308" s="161"/>
      <c r="O308" s="161"/>
      <c r="P308" s="161"/>
      <c r="Q308" s="161"/>
      <c r="R308" s="161"/>
      <c r="S308" s="161"/>
      <c r="T308" s="161"/>
      <c r="U308" s="161"/>
      <c r="V308" s="161"/>
      <c r="W308" s="161"/>
      <c r="X308" s="161"/>
      <c r="Y308" s="161"/>
      <c r="Z308" s="161"/>
      <c r="AA308" s="161"/>
      <c r="AB308" s="161"/>
      <c r="AC308" s="161"/>
      <c r="AD308" s="161"/>
      <c r="AE308" s="161"/>
      <c r="AF308" s="161"/>
      <c r="AG308" s="161"/>
      <c r="AH308" s="161"/>
      <c r="AI308" s="161"/>
      <c r="AJ308" s="161"/>
      <c r="AK308" s="161"/>
      <c r="AL308" s="161"/>
      <c r="AM308" s="161"/>
      <c r="AN308" s="161"/>
      <c r="AO308" s="161"/>
      <c r="AP308" s="161"/>
      <c r="AQ308" s="161"/>
      <c r="AR308" s="161"/>
      <c r="AS308" s="161"/>
      <c r="AT308" s="161"/>
      <c r="AU308" s="161"/>
      <c r="AV308" s="161"/>
      <c r="AW308" s="161"/>
      <c r="AX308" s="161"/>
      <c r="AY308" s="161"/>
      <c r="AZ308" s="161"/>
      <c r="BA308" s="161"/>
      <c r="BB308" s="161"/>
      <c r="BC308" s="161"/>
      <c r="BD308" s="161"/>
      <c r="BE308" s="161"/>
      <c r="BF308" s="161"/>
      <c r="BG308" s="161"/>
      <c r="BH308" s="161"/>
      <c r="BI308" s="161"/>
      <c r="BJ308" s="161"/>
      <c r="BK308" s="161"/>
      <c r="BL308" s="161"/>
      <c r="BM308" s="161"/>
      <c r="BN308" s="161"/>
      <c r="BO308" s="161"/>
      <c r="BP308" s="161"/>
      <c r="BQ308" s="161"/>
      <c r="BR308" s="161"/>
      <c r="BS308" s="161"/>
      <c r="BT308" s="161"/>
      <c r="BU308" s="161"/>
      <c r="BV308" s="161"/>
      <c r="BW308" s="161"/>
      <c r="BX308" s="161"/>
      <c r="BY308" s="161"/>
      <c r="BZ308" s="161"/>
      <c r="CA308" s="161"/>
      <c r="CB308" s="161"/>
      <c r="CC308" s="161"/>
      <c r="CD308" s="161"/>
      <c r="CE308" s="161"/>
      <c r="CF308" s="161"/>
      <c r="CG308" s="161"/>
      <c r="CH308" s="161"/>
      <c r="CI308" s="161"/>
      <c r="CJ308" s="161"/>
      <c r="CK308" s="161"/>
      <c r="CL308" s="161"/>
      <c r="CM308" s="161"/>
      <c r="CN308" s="161"/>
      <c r="CO308" s="161"/>
      <c r="CP308" s="161"/>
      <c r="CQ308" s="161"/>
      <c r="CR308" s="161"/>
      <c r="CS308" s="161"/>
      <c r="CT308" s="161"/>
      <c r="CU308" s="161"/>
      <c r="CV308" s="161"/>
      <c r="CW308" s="161"/>
      <c r="CX308" s="161"/>
      <c r="CY308" s="161"/>
      <c r="CZ308" s="161"/>
      <c r="DA308" s="161"/>
      <c r="DB308" s="161"/>
      <c r="DC308" s="161"/>
      <c r="DD308" s="161"/>
      <c r="DE308" s="161"/>
      <c r="DF308" s="161"/>
      <c r="DG308" s="161"/>
      <c r="DH308" s="161"/>
      <c r="DI308" s="161"/>
      <c r="DJ308" s="161"/>
      <c r="DK308" s="177"/>
      <c r="DL308" s="177"/>
      <c r="DM308" s="177"/>
      <c r="DN308" s="177"/>
      <c r="DO308" s="177"/>
      <c r="DP308" s="177"/>
      <c r="DQ308" s="177"/>
      <c r="DR308" s="177"/>
      <c r="DS308" s="177"/>
      <c r="DT308" s="177"/>
      <c r="DU308" s="177"/>
      <c r="DV308" s="177"/>
      <c r="DW308" s="177"/>
      <c r="DX308" s="177"/>
      <c r="DY308" s="177"/>
      <c r="DZ308" s="177"/>
      <c r="EA308" s="177"/>
      <c r="EB308" s="177"/>
      <c r="EC308" s="177"/>
      <c r="ED308" s="177"/>
      <c r="EF308" s="161"/>
      <c r="EH308" s="161"/>
      <c r="EM308" s="161"/>
      <c r="EN308" s="161"/>
      <c r="EO308" s="161"/>
      <c r="EP308" s="161"/>
      <c r="FL308" s="161"/>
      <c r="FM308" s="161"/>
      <c r="FN308" s="161"/>
      <c r="FO308" s="161"/>
      <c r="FP308" s="161"/>
      <c r="FQ308" s="161"/>
      <c r="FR308" s="161"/>
      <c r="FS308" s="161"/>
      <c r="FT308" s="161"/>
      <c r="FU308" s="161"/>
      <c r="FV308" s="161"/>
      <c r="FW308" s="161"/>
      <c r="FX308" s="161"/>
      <c r="FY308" s="161"/>
      <c r="FZ308" s="161"/>
      <c r="GA308" s="161"/>
      <c r="GB308" s="161"/>
      <c r="GC308" s="177"/>
      <c r="GD308" s="161"/>
      <c r="GE308" s="177"/>
    </row>
    <row r="309" spans="1:187">
      <c r="A309" s="161"/>
      <c r="B309" s="161"/>
      <c r="C309" s="161"/>
      <c r="D309" s="161"/>
      <c r="E309" s="161"/>
      <c r="F309" s="161"/>
      <c r="G309" s="161"/>
      <c r="H309" s="161"/>
      <c r="I309" s="161"/>
      <c r="J309" s="161"/>
      <c r="K309" s="161"/>
      <c r="L309" s="161"/>
      <c r="M309" s="161"/>
      <c r="N309" s="161"/>
      <c r="O309" s="161"/>
      <c r="P309" s="161"/>
      <c r="Q309" s="161"/>
      <c r="R309" s="161"/>
      <c r="S309" s="161"/>
      <c r="T309" s="161"/>
      <c r="U309" s="161"/>
      <c r="V309" s="161"/>
      <c r="W309" s="161"/>
      <c r="X309" s="161"/>
      <c r="Y309" s="161"/>
      <c r="Z309" s="161"/>
      <c r="AA309" s="161"/>
      <c r="AB309" s="161"/>
      <c r="AC309" s="161"/>
      <c r="AD309" s="161"/>
      <c r="AE309" s="161"/>
      <c r="AF309" s="161"/>
      <c r="AG309" s="161"/>
      <c r="AH309" s="161"/>
      <c r="AI309" s="161"/>
      <c r="AJ309" s="161"/>
      <c r="AK309" s="161"/>
      <c r="AL309" s="161"/>
      <c r="AM309" s="161"/>
      <c r="AN309" s="161"/>
      <c r="AO309" s="161"/>
      <c r="AP309" s="161"/>
      <c r="AQ309" s="161"/>
      <c r="AR309" s="161"/>
      <c r="AS309" s="161"/>
      <c r="AT309" s="161"/>
      <c r="AU309" s="161"/>
      <c r="AV309" s="161"/>
      <c r="AW309" s="161"/>
      <c r="AX309" s="161"/>
      <c r="AY309" s="161"/>
      <c r="AZ309" s="161"/>
      <c r="BA309" s="161"/>
      <c r="BB309" s="161"/>
      <c r="BC309" s="161"/>
      <c r="BD309" s="161"/>
      <c r="BE309" s="161"/>
      <c r="BF309" s="161"/>
      <c r="BG309" s="161"/>
      <c r="BH309" s="161"/>
      <c r="BI309" s="161"/>
      <c r="BJ309" s="161"/>
      <c r="BK309" s="161"/>
      <c r="BL309" s="161"/>
      <c r="BM309" s="161"/>
      <c r="BN309" s="161"/>
      <c r="BO309" s="161"/>
      <c r="BP309" s="161"/>
      <c r="BQ309" s="161"/>
      <c r="BR309" s="161"/>
      <c r="BS309" s="161"/>
      <c r="BT309" s="161"/>
      <c r="BU309" s="161"/>
      <c r="BV309" s="161"/>
      <c r="BW309" s="161"/>
      <c r="BX309" s="161"/>
      <c r="BY309" s="161"/>
      <c r="BZ309" s="161"/>
      <c r="CA309" s="161"/>
      <c r="CB309" s="161"/>
      <c r="CC309" s="161"/>
      <c r="CD309" s="161"/>
      <c r="CE309" s="161"/>
      <c r="CF309" s="161"/>
      <c r="CG309" s="161"/>
      <c r="CH309" s="161"/>
      <c r="CI309" s="161"/>
      <c r="CJ309" s="161"/>
      <c r="CK309" s="161"/>
      <c r="CL309" s="161"/>
      <c r="CM309" s="161"/>
      <c r="CN309" s="161"/>
      <c r="CO309" s="161"/>
      <c r="CP309" s="161"/>
      <c r="CQ309" s="161"/>
      <c r="CR309" s="161"/>
      <c r="CS309" s="161"/>
      <c r="CT309" s="161"/>
      <c r="CU309" s="161"/>
      <c r="CV309" s="161"/>
      <c r="CW309" s="161"/>
      <c r="CX309" s="161"/>
      <c r="CY309" s="161"/>
      <c r="CZ309" s="161"/>
      <c r="DA309" s="161"/>
      <c r="DB309" s="161"/>
      <c r="DC309" s="161"/>
      <c r="DD309" s="161"/>
      <c r="DE309" s="161"/>
      <c r="DF309" s="161"/>
      <c r="DG309" s="161"/>
      <c r="DH309" s="161"/>
      <c r="DI309" s="161"/>
      <c r="DJ309" s="161"/>
      <c r="DK309" s="177"/>
      <c r="DL309" s="177"/>
      <c r="DM309" s="177"/>
      <c r="DN309" s="177"/>
      <c r="DO309" s="177"/>
      <c r="DP309" s="177"/>
      <c r="DQ309" s="177"/>
      <c r="DR309" s="177"/>
      <c r="DS309" s="177"/>
      <c r="DT309" s="177"/>
      <c r="DU309" s="177"/>
      <c r="DV309" s="177"/>
      <c r="DW309" s="177"/>
      <c r="DX309" s="177"/>
      <c r="DY309" s="177"/>
      <c r="DZ309" s="177"/>
      <c r="EA309" s="177"/>
      <c r="EB309" s="177"/>
      <c r="EC309" s="177"/>
      <c r="ED309" s="177"/>
      <c r="EF309" s="161"/>
      <c r="EH309" s="161"/>
      <c r="EM309" s="161"/>
      <c r="EN309" s="161"/>
      <c r="EO309" s="161"/>
      <c r="EP309" s="161"/>
      <c r="FL309" s="161"/>
      <c r="FM309" s="161"/>
      <c r="FN309" s="161"/>
      <c r="FO309" s="161"/>
      <c r="FP309" s="161"/>
      <c r="FQ309" s="161"/>
      <c r="FR309" s="161"/>
      <c r="FS309" s="161"/>
      <c r="FT309" s="161"/>
      <c r="FU309" s="161"/>
      <c r="FV309" s="161"/>
      <c r="FW309" s="161"/>
      <c r="FX309" s="161"/>
      <c r="FY309" s="161"/>
      <c r="FZ309" s="161"/>
      <c r="GA309" s="161"/>
      <c r="GB309" s="161"/>
      <c r="GC309" s="177"/>
      <c r="GD309" s="161"/>
      <c r="GE309" s="177"/>
    </row>
    <row r="310" spans="1:187">
      <c r="A310" s="161"/>
      <c r="B310" s="161"/>
      <c r="C310" s="161"/>
      <c r="D310" s="161"/>
      <c r="E310" s="161"/>
      <c r="F310" s="161"/>
      <c r="G310" s="161"/>
      <c r="H310" s="161"/>
      <c r="I310" s="161"/>
      <c r="J310" s="161"/>
      <c r="K310" s="161"/>
      <c r="L310" s="161"/>
      <c r="M310" s="161"/>
      <c r="N310" s="161"/>
      <c r="O310" s="161"/>
      <c r="P310" s="161"/>
      <c r="Q310" s="161"/>
      <c r="R310" s="161"/>
      <c r="S310" s="161"/>
      <c r="T310" s="161"/>
      <c r="U310" s="161"/>
      <c r="V310" s="161"/>
      <c r="W310" s="161"/>
      <c r="X310" s="161"/>
      <c r="Y310" s="161"/>
      <c r="Z310" s="161"/>
      <c r="AA310" s="161"/>
      <c r="AB310" s="161"/>
      <c r="AC310" s="161"/>
      <c r="AD310" s="161"/>
      <c r="AE310" s="161"/>
      <c r="AF310" s="161"/>
      <c r="AG310" s="161"/>
      <c r="AH310" s="161"/>
      <c r="AI310" s="161"/>
      <c r="AJ310" s="161"/>
      <c r="AK310" s="161"/>
      <c r="AL310" s="161"/>
      <c r="AM310" s="161"/>
      <c r="AN310" s="161"/>
      <c r="AO310" s="161"/>
      <c r="AP310" s="161"/>
      <c r="AQ310" s="161"/>
      <c r="AR310" s="161"/>
      <c r="AS310" s="161"/>
      <c r="AT310" s="161"/>
      <c r="AU310" s="161"/>
      <c r="AV310" s="161"/>
      <c r="AW310" s="161"/>
      <c r="AX310" s="161"/>
      <c r="AY310" s="161"/>
      <c r="AZ310" s="161"/>
      <c r="BA310" s="161"/>
      <c r="BB310" s="161"/>
      <c r="BC310" s="161"/>
      <c r="BD310" s="161"/>
      <c r="BE310" s="161"/>
      <c r="BF310" s="161"/>
      <c r="BG310" s="161"/>
      <c r="BH310" s="161"/>
      <c r="BI310" s="161"/>
      <c r="BJ310" s="161"/>
      <c r="BK310" s="161"/>
      <c r="BL310" s="161"/>
      <c r="BM310" s="161"/>
      <c r="BN310" s="161"/>
      <c r="BO310" s="161"/>
      <c r="BP310" s="161"/>
      <c r="BQ310" s="161"/>
      <c r="BR310" s="161"/>
      <c r="BS310" s="161"/>
      <c r="BT310" s="161"/>
      <c r="BU310" s="161"/>
      <c r="BV310" s="161"/>
      <c r="BW310" s="161"/>
      <c r="BX310" s="161"/>
      <c r="BY310" s="161"/>
      <c r="BZ310" s="161"/>
      <c r="CA310" s="161"/>
      <c r="CB310" s="161"/>
      <c r="CC310" s="161"/>
      <c r="CD310" s="161"/>
      <c r="CE310" s="161"/>
      <c r="CF310" s="161"/>
      <c r="CG310" s="161"/>
      <c r="CH310" s="161"/>
      <c r="CI310" s="161"/>
      <c r="CJ310" s="161"/>
      <c r="CK310" s="161"/>
      <c r="CL310" s="161"/>
      <c r="CM310" s="161"/>
      <c r="CN310" s="161"/>
      <c r="CO310" s="161"/>
      <c r="CP310" s="161"/>
      <c r="CQ310" s="161"/>
      <c r="CR310" s="161"/>
      <c r="CS310" s="161"/>
      <c r="CT310" s="161"/>
      <c r="CU310" s="161"/>
      <c r="CV310" s="161"/>
      <c r="CW310" s="161"/>
      <c r="CX310" s="161"/>
      <c r="CY310" s="161"/>
      <c r="CZ310" s="161"/>
      <c r="DA310" s="161"/>
      <c r="DB310" s="161"/>
      <c r="DC310" s="161"/>
      <c r="DD310" s="161"/>
      <c r="DE310" s="161"/>
      <c r="DF310" s="161"/>
      <c r="DG310" s="161"/>
      <c r="DH310" s="161"/>
      <c r="DI310" s="161"/>
      <c r="DJ310" s="161"/>
      <c r="DK310" s="177"/>
      <c r="DL310" s="177"/>
      <c r="DM310" s="177"/>
      <c r="DN310" s="177"/>
      <c r="DO310" s="177"/>
      <c r="DP310" s="177"/>
      <c r="DQ310" s="177"/>
      <c r="DR310" s="177"/>
      <c r="DS310" s="177"/>
      <c r="DT310" s="177"/>
      <c r="DU310" s="177"/>
      <c r="DV310" s="177"/>
      <c r="DW310" s="177"/>
      <c r="DX310" s="177"/>
      <c r="DY310" s="177"/>
      <c r="DZ310" s="177"/>
      <c r="EA310" s="177"/>
      <c r="EB310" s="177"/>
      <c r="EC310" s="177"/>
      <c r="ED310" s="177"/>
      <c r="EF310" s="161"/>
      <c r="EH310" s="161"/>
      <c r="EM310" s="161"/>
      <c r="EN310" s="161"/>
      <c r="EO310" s="161"/>
      <c r="EP310" s="161"/>
      <c r="FL310" s="161"/>
      <c r="FM310" s="161"/>
      <c r="FN310" s="161"/>
      <c r="FO310" s="161"/>
      <c r="FP310" s="161"/>
      <c r="FQ310" s="161"/>
      <c r="FR310" s="161"/>
      <c r="FS310" s="161"/>
      <c r="FT310" s="161"/>
      <c r="FU310" s="161"/>
      <c r="FV310" s="161"/>
      <c r="FW310" s="161"/>
      <c r="FX310" s="161"/>
      <c r="FY310" s="161"/>
      <c r="FZ310" s="161"/>
      <c r="GA310" s="161"/>
      <c r="GB310" s="161"/>
      <c r="GC310" s="177"/>
      <c r="GD310" s="161"/>
      <c r="GE310" s="177"/>
    </row>
    <row r="311" spans="1:187">
      <c r="A311" s="161"/>
      <c r="B311" s="161"/>
      <c r="C311" s="161"/>
      <c r="D311" s="161"/>
      <c r="E311" s="161"/>
      <c r="F311" s="161"/>
      <c r="G311" s="161"/>
      <c r="H311" s="161"/>
      <c r="I311" s="161"/>
      <c r="J311" s="161"/>
      <c r="K311" s="161"/>
      <c r="L311" s="161"/>
      <c r="M311" s="161"/>
      <c r="N311" s="161"/>
      <c r="O311" s="161"/>
      <c r="P311" s="161"/>
      <c r="Q311" s="161"/>
      <c r="R311" s="161"/>
      <c r="S311" s="161"/>
      <c r="T311" s="161"/>
      <c r="U311" s="161"/>
      <c r="V311" s="161"/>
      <c r="W311" s="161"/>
      <c r="X311" s="161"/>
      <c r="Y311" s="161"/>
      <c r="Z311" s="161"/>
      <c r="AA311" s="161"/>
      <c r="AB311" s="161"/>
      <c r="AC311" s="161"/>
      <c r="AD311" s="161"/>
      <c r="AE311" s="161"/>
      <c r="AF311" s="161"/>
      <c r="AG311" s="161"/>
      <c r="AH311" s="161"/>
      <c r="AI311" s="161"/>
      <c r="AJ311" s="161"/>
      <c r="AK311" s="161"/>
      <c r="AL311" s="161"/>
      <c r="AM311" s="161"/>
      <c r="AN311" s="161"/>
      <c r="AO311" s="161"/>
      <c r="AP311" s="161"/>
      <c r="AQ311" s="161"/>
      <c r="AR311" s="161"/>
      <c r="AS311" s="161"/>
      <c r="AT311" s="161"/>
      <c r="AU311" s="161"/>
      <c r="AV311" s="161"/>
      <c r="AW311" s="161"/>
      <c r="AX311" s="161"/>
      <c r="AY311" s="161"/>
      <c r="AZ311" s="161"/>
      <c r="BA311" s="161"/>
      <c r="BB311" s="161"/>
      <c r="BC311" s="161"/>
      <c r="BD311" s="161"/>
      <c r="BE311" s="161"/>
      <c r="BF311" s="161"/>
      <c r="BG311" s="161"/>
      <c r="BH311" s="161"/>
      <c r="BI311" s="161"/>
      <c r="BJ311" s="161"/>
      <c r="BK311" s="161"/>
      <c r="BL311" s="161"/>
      <c r="BM311" s="161"/>
      <c r="BN311" s="161"/>
      <c r="BO311" s="161"/>
      <c r="BP311" s="161"/>
      <c r="BQ311" s="161"/>
      <c r="BR311" s="161"/>
      <c r="BS311" s="161"/>
      <c r="BT311" s="161"/>
      <c r="BU311" s="161"/>
      <c r="BV311" s="161"/>
      <c r="BW311" s="161"/>
      <c r="BX311" s="161"/>
      <c r="BY311" s="161"/>
      <c r="BZ311" s="161"/>
      <c r="CA311" s="161"/>
      <c r="CB311" s="161"/>
      <c r="CC311" s="161"/>
      <c r="CD311" s="161"/>
      <c r="CE311" s="161"/>
      <c r="CF311" s="161"/>
      <c r="CG311" s="161"/>
      <c r="CH311" s="161"/>
      <c r="CI311" s="161"/>
      <c r="CJ311" s="161"/>
      <c r="CK311" s="161"/>
      <c r="CL311" s="161"/>
      <c r="CM311" s="161"/>
      <c r="CN311" s="161"/>
      <c r="CO311" s="161"/>
      <c r="CP311" s="161"/>
      <c r="CQ311" s="161"/>
      <c r="CR311" s="161"/>
      <c r="CS311" s="161"/>
      <c r="CT311" s="161"/>
      <c r="CU311" s="161"/>
      <c r="CV311" s="161"/>
      <c r="CW311" s="161"/>
      <c r="CX311" s="161"/>
      <c r="CY311" s="161"/>
      <c r="CZ311" s="161"/>
      <c r="DA311" s="161"/>
      <c r="DB311" s="161"/>
      <c r="DC311" s="161"/>
      <c r="DD311" s="161"/>
      <c r="DE311" s="161"/>
      <c r="DF311" s="161"/>
      <c r="DG311" s="161"/>
      <c r="DH311" s="161"/>
      <c r="DI311" s="161"/>
      <c r="DJ311" s="161"/>
      <c r="DK311" s="177"/>
      <c r="DL311" s="177"/>
      <c r="DM311" s="177"/>
      <c r="DN311" s="177"/>
      <c r="DO311" s="177"/>
      <c r="DP311" s="177"/>
      <c r="DQ311" s="177"/>
      <c r="DR311" s="177"/>
      <c r="DS311" s="177"/>
      <c r="DT311" s="177"/>
      <c r="DU311" s="177"/>
      <c r="DV311" s="177"/>
      <c r="DW311" s="177"/>
      <c r="DX311" s="177"/>
      <c r="DY311" s="177"/>
      <c r="DZ311" s="177"/>
      <c r="EA311" s="177"/>
      <c r="EB311" s="177"/>
      <c r="EC311" s="177"/>
      <c r="ED311" s="177"/>
      <c r="EF311" s="161"/>
      <c r="EH311" s="161"/>
      <c r="EM311" s="161"/>
      <c r="EN311" s="161"/>
      <c r="EO311" s="161"/>
      <c r="EP311" s="161"/>
      <c r="FL311" s="161"/>
      <c r="FM311" s="161"/>
      <c r="FN311" s="161"/>
      <c r="FO311" s="161"/>
      <c r="FP311" s="161"/>
      <c r="FQ311" s="161"/>
      <c r="FR311" s="161"/>
      <c r="FS311" s="161"/>
      <c r="FT311" s="161"/>
      <c r="FU311" s="161"/>
      <c r="FV311" s="161"/>
      <c r="FW311" s="161"/>
      <c r="FX311" s="161"/>
      <c r="FY311" s="161"/>
      <c r="FZ311" s="161"/>
      <c r="GA311" s="161"/>
      <c r="GB311" s="161"/>
      <c r="GC311" s="177"/>
      <c r="GD311" s="161"/>
      <c r="GE311" s="177"/>
    </row>
    <row r="312" spans="1:187">
      <c r="A312" s="161"/>
      <c r="B312" s="161"/>
      <c r="C312" s="161"/>
      <c r="D312" s="161"/>
      <c r="E312" s="161"/>
      <c r="F312" s="161"/>
      <c r="G312" s="161"/>
      <c r="H312" s="161"/>
      <c r="I312" s="161"/>
      <c r="J312" s="161"/>
      <c r="K312" s="161"/>
      <c r="L312" s="161"/>
      <c r="M312" s="161"/>
      <c r="N312" s="161"/>
      <c r="O312" s="161"/>
      <c r="P312" s="161"/>
      <c r="Q312" s="161"/>
      <c r="R312" s="161"/>
      <c r="S312" s="161"/>
      <c r="T312" s="161"/>
      <c r="U312" s="161"/>
      <c r="V312" s="161"/>
      <c r="W312" s="161"/>
      <c r="X312" s="161"/>
      <c r="Y312" s="161"/>
      <c r="Z312" s="161"/>
      <c r="AA312" s="161"/>
      <c r="AB312" s="161"/>
      <c r="AC312" s="161"/>
      <c r="AD312" s="161"/>
      <c r="AE312" s="161"/>
      <c r="AF312" s="161"/>
      <c r="AG312" s="161"/>
      <c r="AH312" s="161"/>
      <c r="AI312" s="161"/>
      <c r="AJ312" s="161"/>
      <c r="AK312" s="161"/>
      <c r="AL312" s="161"/>
      <c r="AM312" s="161"/>
      <c r="AN312" s="161"/>
      <c r="AO312" s="161"/>
      <c r="AP312" s="161"/>
      <c r="AQ312" s="161"/>
      <c r="AR312" s="161"/>
      <c r="AS312" s="161"/>
      <c r="AT312" s="161"/>
      <c r="AU312" s="161"/>
      <c r="AV312" s="161"/>
      <c r="AW312" s="161"/>
      <c r="AX312" s="161"/>
      <c r="AY312" s="161"/>
      <c r="AZ312" s="161"/>
      <c r="BA312" s="161"/>
      <c r="BB312" s="161"/>
      <c r="BC312" s="161"/>
      <c r="BD312" s="161"/>
      <c r="BE312" s="161"/>
      <c r="BF312" s="161"/>
      <c r="BG312" s="161"/>
      <c r="BH312" s="161"/>
      <c r="BI312" s="161"/>
      <c r="BJ312" s="161"/>
      <c r="BK312" s="161"/>
      <c r="BL312" s="161"/>
      <c r="BM312" s="161"/>
      <c r="BN312" s="161"/>
      <c r="BO312" s="161"/>
      <c r="BP312" s="161"/>
      <c r="BQ312" s="161"/>
      <c r="BR312" s="161"/>
      <c r="BS312" s="161"/>
      <c r="BT312" s="161"/>
      <c r="BU312" s="161"/>
      <c r="BV312" s="161"/>
      <c r="BW312" s="161"/>
      <c r="BX312" s="161"/>
      <c r="BY312" s="161"/>
      <c r="BZ312" s="161"/>
      <c r="CA312" s="161"/>
      <c r="CB312" s="161"/>
      <c r="CC312" s="161"/>
      <c r="CD312" s="161"/>
      <c r="CE312" s="161"/>
      <c r="CF312" s="161"/>
      <c r="CG312" s="161"/>
      <c r="CH312" s="161"/>
      <c r="CI312" s="161"/>
      <c r="CJ312" s="161"/>
      <c r="CK312" s="161"/>
      <c r="CL312" s="161"/>
      <c r="CM312" s="161"/>
      <c r="CN312" s="161"/>
      <c r="CO312" s="161"/>
      <c r="CP312" s="161"/>
      <c r="CQ312" s="161"/>
      <c r="CR312" s="161"/>
      <c r="CS312" s="161"/>
      <c r="CT312" s="161"/>
      <c r="CU312" s="161"/>
      <c r="CV312" s="161"/>
      <c r="CW312" s="161"/>
      <c r="CX312" s="161"/>
      <c r="CY312" s="161"/>
      <c r="CZ312" s="161"/>
      <c r="DA312" s="161"/>
      <c r="DB312" s="161"/>
      <c r="DC312" s="161"/>
      <c r="DD312" s="161"/>
      <c r="DE312" s="161"/>
      <c r="DF312" s="161"/>
      <c r="DG312" s="161"/>
      <c r="DH312" s="161"/>
      <c r="DI312" s="161"/>
      <c r="DJ312" s="161"/>
      <c r="DK312" s="177"/>
      <c r="DL312" s="177"/>
      <c r="DM312" s="177"/>
      <c r="DN312" s="177"/>
      <c r="DO312" s="177"/>
      <c r="DP312" s="177"/>
      <c r="DQ312" s="177"/>
      <c r="DR312" s="177"/>
      <c r="DS312" s="177"/>
      <c r="DT312" s="177"/>
      <c r="DU312" s="177"/>
      <c r="DV312" s="177"/>
      <c r="DW312" s="177"/>
      <c r="DX312" s="177"/>
      <c r="DY312" s="177"/>
      <c r="DZ312" s="177"/>
      <c r="EA312" s="177"/>
      <c r="EB312" s="177"/>
      <c r="EC312" s="177"/>
      <c r="ED312" s="177"/>
      <c r="EF312" s="161"/>
      <c r="EH312" s="161"/>
      <c r="EM312" s="161"/>
      <c r="EN312" s="161"/>
      <c r="EO312" s="161"/>
      <c r="EP312" s="161"/>
      <c r="FL312" s="161"/>
      <c r="FM312" s="161"/>
      <c r="FN312" s="161"/>
      <c r="FO312" s="161"/>
      <c r="FP312" s="161"/>
      <c r="FQ312" s="161"/>
      <c r="FR312" s="161"/>
      <c r="FS312" s="161"/>
      <c r="FT312" s="161"/>
      <c r="FU312" s="161"/>
      <c r="FV312" s="161"/>
      <c r="FW312" s="161"/>
      <c r="FX312" s="161"/>
      <c r="FY312" s="161"/>
      <c r="FZ312" s="161"/>
      <c r="GA312" s="161"/>
      <c r="GB312" s="161"/>
      <c r="GC312" s="177"/>
      <c r="GD312" s="161"/>
      <c r="GE312" s="177"/>
    </row>
    <row r="313" spans="1:187">
      <c r="A313" s="161"/>
      <c r="B313" s="161"/>
      <c r="C313" s="161"/>
      <c r="D313" s="161"/>
      <c r="E313" s="161"/>
      <c r="F313" s="161"/>
      <c r="G313" s="161"/>
      <c r="H313" s="161"/>
      <c r="I313" s="161"/>
      <c r="J313" s="161"/>
      <c r="K313" s="161"/>
      <c r="L313" s="161"/>
      <c r="M313" s="161"/>
      <c r="N313" s="161"/>
      <c r="O313" s="161"/>
      <c r="P313" s="161"/>
      <c r="Q313" s="161"/>
      <c r="R313" s="161"/>
      <c r="S313" s="161"/>
      <c r="T313" s="161"/>
      <c r="U313" s="161"/>
      <c r="V313" s="161"/>
      <c r="W313" s="161"/>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c r="AS313" s="161"/>
      <c r="AT313" s="161"/>
      <c r="AU313" s="161"/>
      <c r="AV313" s="161"/>
      <c r="AW313" s="161"/>
      <c r="AX313" s="161"/>
      <c r="AY313" s="161"/>
      <c r="AZ313" s="161"/>
      <c r="BA313" s="161"/>
      <c r="BB313" s="161"/>
      <c r="BC313" s="161"/>
      <c r="BD313" s="161"/>
      <c r="BE313" s="161"/>
      <c r="BF313" s="161"/>
      <c r="BG313" s="161"/>
      <c r="BH313" s="161"/>
      <c r="BI313" s="161"/>
      <c r="BJ313" s="161"/>
      <c r="BK313" s="161"/>
      <c r="BL313" s="161"/>
      <c r="BM313" s="161"/>
      <c r="BN313" s="161"/>
      <c r="BO313" s="161"/>
      <c r="BP313" s="161"/>
      <c r="BQ313" s="161"/>
      <c r="BR313" s="161"/>
      <c r="BS313" s="161"/>
      <c r="BT313" s="161"/>
      <c r="BU313" s="161"/>
      <c r="BV313" s="161"/>
      <c r="BW313" s="161"/>
      <c r="BX313" s="161"/>
      <c r="BY313" s="161"/>
      <c r="BZ313" s="161"/>
      <c r="CA313" s="161"/>
      <c r="CB313" s="161"/>
      <c r="CC313" s="161"/>
      <c r="CD313" s="161"/>
      <c r="CE313" s="161"/>
      <c r="CF313" s="161"/>
      <c r="CG313" s="161"/>
      <c r="CH313" s="161"/>
      <c r="CI313" s="161"/>
      <c r="CJ313" s="161"/>
      <c r="CK313" s="161"/>
      <c r="CL313" s="161"/>
      <c r="CM313" s="161"/>
      <c r="CN313" s="161"/>
      <c r="CO313" s="161"/>
      <c r="CP313" s="161"/>
      <c r="CQ313" s="161"/>
      <c r="CR313" s="161"/>
      <c r="CS313" s="161"/>
      <c r="CT313" s="161"/>
      <c r="CU313" s="161"/>
      <c r="CV313" s="161"/>
      <c r="CW313" s="161"/>
      <c r="CX313" s="161"/>
      <c r="CY313" s="161"/>
      <c r="CZ313" s="161"/>
      <c r="DA313" s="161"/>
      <c r="DB313" s="161"/>
      <c r="DC313" s="161"/>
      <c r="DD313" s="161"/>
      <c r="DE313" s="161"/>
      <c r="DF313" s="161"/>
      <c r="DG313" s="161"/>
      <c r="DH313" s="161"/>
      <c r="DI313" s="161"/>
      <c r="DJ313" s="161"/>
      <c r="DK313" s="177"/>
      <c r="DL313" s="177"/>
      <c r="DM313" s="177"/>
      <c r="DN313" s="177"/>
      <c r="DO313" s="177"/>
      <c r="DP313" s="177"/>
      <c r="DQ313" s="177"/>
      <c r="DR313" s="177"/>
      <c r="DS313" s="177"/>
      <c r="DT313" s="177"/>
      <c r="DU313" s="177"/>
      <c r="DV313" s="177"/>
      <c r="DW313" s="177"/>
      <c r="DX313" s="177"/>
      <c r="DY313" s="177"/>
      <c r="DZ313" s="177"/>
      <c r="EA313" s="177"/>
      <c r="EB313" s="177"/>
      <c r="EC313" s="177"/>
      <c r="ED313" s="177"/>
      <c r="EF313" s="161"/>
      <c r="EH313" s="161"/>
      <c r="EM313" s="161"/>
      <c r="EN313" s="161"/>
      <c r="EO313" s="161"/>
      <c r="EP313" s="161"/>
      <c r="FL313" s="161"/>
      <c r="FM313" s="161"/>
      <c r="FN313" s="161"/>
      <c r="FO313" s="161"/>
      <c r="FP313" s="161"/>
      <c r="FQ313" s="161"/>
      <c r="FR313" s="161"/>
      <c r="FS313" s="161"/>
      <c r="FT313" s="161"/>
      <c r="FU313" s="161"/>
      <c r="FV313" s="161"/>
      <c r="FW313" s="161"/>
      <c r="FX313" s="161"/>
      <c r="FY313" s="161"/>
      <c r="FZ313" s="161"/>
      <c r="GA313" s="161"/>
      <c r="GB313" s="161"/>
      <c r="GC313" s="177"/>
      <c r="GD313" s="161"/>
      <c r="GE313" s="177"/>
    </row>
    <row r="314" spans="1:187">
      <c r="A314" s="161"/>
      <c r="B314" s="161"/>
      <c r="C314" s="161"/>
      <c r="D314" s="161"/>
      <c r="E314" s="161"/>
      <c r="F314" s="161"/>
      <c r="G314" s="161"/>
      <c r="H314" s="161"/>
      <c r="I314" s="161"/>
      <c r="J314" s="161"/>
      <c r="K314" s="161"/>
      <c r="L314" s="161"/>
      <c r="M314" s="161"/>
      <c r="N314" s="161"/>
      <c r="O314" s="161"/>
      <c r="P314" s="161"/>
      <c r="Q314" s="161"/>
      <c r="R314" s="161"/>
      <c r="S314" s="161"/>
      <c r="T314" s="161"/>
      <c r="U314" s="161"/>
      <c r="V314" s="161"/>
      <c r="W314" s="161"/>
      <c r="X314" s="161"/>
      <c r="Y314" s="161"/>
      <c r="Z314" s="161"/>
      <c r="AA314" s="161"/>
      <c r="AB314" s="161"/>
      <c r="AC314" s="161"/>
      <c r="AD314" s="161"/>
      <c r="AE314" s="161"/>
      <c r="AF314" s="161"/>
      <c r="AG314" s="161"/>
      <c r="AH314" s="161"/>
      <c r="AI314" s="161"/>
      <c r="AJ314" s="161"/>
      <c r="AK314" s="161"/>
      <c r="AL314" s="161"/>
      <c r="AM314" s="161"/>
      <c r="AN314" s="161"/>
      <c r="AO314" s="161"/>
      <c r="AP314" s="161"/>
      <c r="AQ314" s="161"/>
      <c r="AR314" s="161"/>
      <c r="AS314" s="161"/>
      <c r="AT314" s="161"/>
      <c r="AU314" s="161"/>
      <c r="AV314" s="161"/>
      <c r="AW314" s="161"/>
      <c r="AX314" s="161"/>
      <c r="AY314" s="161"/>
      <c r="AZ314" s="161"/>
      <c r="BA314" s="161"/>
      <c r="BB314" s="161"/>
      <c r="BC314" s="161"/>
      <c r="BD314" s="161"/>
      <c r="BE314" s="161"/>
      <c r="BF314" s="161"/>
      <c r="BG314" s="161"/>
      <c r="BH314" s="161"/>
      <c r="BI314" s="161"/>
      <c r="BJ314" s="161"/>
      <c r="BK314" s="161"/>
      <c r="BL314" s="161"/>
      <c r="BM314" s="161"/>
      <c r="BN314" s="161"/>
      <c r="BO314" s="161"/>
      <c r="BP314" s="161"/>
      <c r="BQ314" s="161"/>
      <c r="BR314" s="161"/>
      <c r="BS314" s="161"/>
      <c r="BT314" s="161"/>
      <c r="BU314" s="161"/>
      <c r="BV314" s="161"/>
      <c r="BW314" s="161"/>
      <c r="BX314" s="161"/>
      <c r="BY314" s="161"/>
      <c r="BZ314" s="161"/>
      <c r="CA314" s="161"/>
      <c r="CB314" s="161"/>
      <c r="CC314" s="161"/>
      <c r="CD314" s="161"/>
      <c r="CE314" s="161"/>
      <c r="CF314" s="161"/>
      <c r="CG314" s="161"/>
      <c r="CH314" s="161"/>
      <c r="CI314" s="161"/>
      <c r="CJ314" s="161"/>
      <c r="CK314" s="161"/>
      <c r="CL314" s="161"/>
      <c r="CM314" s="161"/>
      <c r="CN314" s="161"/>
      <c r="CO314" s="161"/>
      <c r="CP314" s="161"/>
      <c r="CQ314" s="161"/>
      <c r="CR314" s="161"/>
      <c r="CS314" s="161"/>
      <c r="CT314" s="161"/>
      <c r="CU314" s="161"/>
      <c r="CV314" s="161"/>
      <c r="CW314" s="161"/>
      <c r="CX314" s="161"/>
      <c r="CY314" s="161"/>
      <c r="CZ314" s="161"/>
      <c r="DA314" s="161"/>
      <c r="DB314" s="161"/>
      <c r="DC314" s="161"/>
      <c r="DD314" s="161"/>
      <c r="DE314" s="161"/>
      <c r="DF314" s="161"/>
      <c r="DG314" s="161"/>
      <c r="DH314" s="161"/>
      <c r="DI314" s="161"/>
      <c r="DJ314" s="161"/>
      <c r="DK314" s="177"/>
      <c r="DL314" s="177"/>
      <c r="DM314" s="177"/>
      <c r="DN314" s="177"/>
      <c r="DO314" s="177"/>
      <c r="DP314" s="177"/>
      <c r="DQ314" s="177"/>
      <c r="DR314" s="177"/>
      <c r="DS314" s="177"/>
      <c r="DT314" s="177"/>
      <c r="DU314" s="177"/>
      <c r="DV314" s="177"/>
      <c r="DW314" s="177"/>
      <c r="DX314" s="177"/>
      <c r="DY314" s="177"/>
      <c r="DZ314" s="177"/>
      <c r="EA314" s="177"/>
      <c r="EB314" s="177"/>
      <c r="EC314" s="177"/>
      <c r="ED314" s="177"/>
      <c r="EF314" s="161"/>
      <c r="EH314" s="161"/>
      <c r="EM314" s="161"/>
      <c r="EN314" s="161"/>
      <c r="EO314" s="161"/>
      <c r="EP314" s="161"/>
      <c r="FL314" s="161"/>
      <c r="FM314" s="161"/>
      <c r="FN314" s="161"/>
      <c r="FO314" s="161"/>
      <c r="FP314" s="161"/>
      <c r="FQ314" s="161"/>
      <c r="FR314" s="161"/>
      <c r="FS314" s="161"/>
      <c r="FT314" s="161"/>
      <c r="FU314" s="161"/>
      <c r="FV314" s="161"/>
      <c r="FW314" s="161"/>
      <c r="FX314" s="161"/>
      <c r="FY314" s="161"/>
      <c r="FZ314" s="161"/>
      <c r="GA314" s="161"/>
      <c r="GB314" s="161"/>
      <c r="GC314" s="177"/>
      <c r="GD314" s="161"/>
      <c r="GE314" s="177"/>
    </row>
    <row r="315" spans="1:187">
      <c r="A315" s="161"/>
      <c r="B315" s="161"/>
      <c r="C315" s="161"/>
      <c r="D315" s="161"/>
      <c r="E315" s="161"/>
      <c r="F315" s="161"/>
      <c r="G315" s="161"/>
      <c r="H315" s="161"/>
      <c r="I315" s="161"/>
      <c r="J315" s="161"/>
      <c r="K315" s="161"/>
      <c r="L315" s="161"/>
      <c r="M315" s="161"/>
      <c r="N315" s="161"/>
      <c r="O315" s="161"/>
      <c r="P315" s="161"/>
      <c r="Q315" s="161"/>
      <c r="R315" s="161"/>
      <c r="S315" s="161"/>
      <c r="T315" s="161"/>
      <c r="U315" s="161"/>
      <c r="V315" s="161"/>
      <c r="W315" s="161"/>
      <c r="X315" s="161"/>
      <c r="Y315" s="161"/>
      <c r="Z315" s="161"/>
      <c r="AA315" s="161"/>
      <c r="AB315" s="161"/>
      <c r="AC315" s="161"/>
      <c r="AD315" s="161"/>
      <c r="AE315" s="161"/>
      <c r="AF315" s="161"/>
      <c r="AG315" s="161"/>
      <c r="AH315" s="161"/>
      <c r="AI315" s="161"/>
      <c r="AJ315" s="161"/>
      <c r="AK315" s="161"/>
      <c r="AL315" s="161"/>
      <c r="AM315" s="161"/>
      <c r="AN315" s="161"/>
      <c r="AO315" s="161"/>
      <c r="AP315" s="161"/>
      <c r="AQ315" s="161"/>
      <c r="AR315" s="161"/>
      <c r="AS315" s="161"/>
      <c r="AT315" s="161"/>
      <c r="AU315" s="161"/>
      <c r="AV315" s="161"/>
      <c r="AW315" s="161"/>
      <c r="AX315" s="161"/>
      <c r="AY315" s="161"/>
      <c r="AZ315" s="161"/>
      <c r="BA315" s="161"/>
      <c r="BB315" s="161"/>
      <c r="BC315" s="161"/>
      <c r="BD315" s="161"/>
      <c r="BE315" s="161"/>
      <c r="BF315" s="161"/>
      <c r="BG315" s="161"/>
      <c r="BH315" s="161"/>
      <c r="BI315" s="161"/>
      <c r="BJ315" s="161"/>
      <c r="BK315" s="161"/>
      <c r="BL315" s="161"/>
      <c r="BM315" s="161"/>
      <c r="BN315" s="161"/>
      <c r="BO315" s="161"/>
      <c r="BP315" s="161"/>
      <c r="BQ315" s="161"/>
      <c r="BR315" s="161"/>
      <c r="BS315" s="161"/>
      <c r="BT315" s="161"/>
      <c r="BU315" s="161"/>
      <c r="BV315" s="161"/>
      <c r="BW315" s="161"/>
      <c r="BX315" s="161"/>
      <c r="BY315" s="161"/>
      <c r="BZ315" s="161"/>
      <c r="CA315" s="161"/>
      <c r="CB315" s="161"/>
      <c r="CC315" s="161"/>
      <c r="CD315" s="161"/>
      <c r="CE315" s="161"/>
      <c r="CF315" s="161"/>
      <c r="CG315" s="161"/>
      <c r="CH315" s="161"/>
      <c r="CI315" s="161"/>
      <c r="CJ315" s="161"/>
      <c r="CK315" s="161"/>
      <c r="CL315" s="161"/>
      <c r="CM315" s="161"/>
      <c r="CN315" s="161"/>
      <c r="CO315" s="161"/>
      <c r="CP315" s="161"/>
      <c r="CQ315" s="161"/>
      <c r="CR315" s="161"/>
      <c r="CS315" s="161"/>
      <c r="CT315" s="161"/>
      <c r="CU315" s="161"/>
      <c r="CV315" s="161"/>
      <c r="CW315" s="161"/>
      <c r="CX315" s="161"/>
      <c r="CY315" s="161"/>
      <c r="CZ315" s="161"/>
      <c r="DA315" s="161"/>
      <c r="DB315" s="161"/>
      <c r="DC315" s="161"/>
      <c r="DD315" s="161"/>
      <c r="DE315" s="161"/>
      <c r="DF315" s="161"/>
      <c r="DG315" s="161"/>
      <c r="DH315" s="161"/>
      <c r="DI315" s="161"/>
      <c r="DJ315" s="161"/>
      <c r="DK315" s="177"/>
      <c r="DL315" s="177"/>
      <c r="DM315" s="177"/>
      <c r="DN315" s="177"/>
      <c r="DO315" s="177"/>
      <c r="DP315" s="177"/>
      <c r="DQ315" s="177"/>
      <c r="DR315" s="177"/>
      <c r="DS315" s="177"/>
      <c r="DT315" s="177"/>
      <c r="DU315" s="177"/>
      <c r="DV315" s="177"/>
      <c r="DW315" s="177"/>
      <c r="DX315" s="177"/>
      <c r="DY315" s="177"/>
      <c r="DZ315" s="177"/>
      <c r="EA315" s="177"/>
      <c r="EB315" s="177"/>
      <c r="EC315" s="177"/>
      <c r="ED315" s="177"/>
      <c r="EF315" s="161"/>
      <c r="EH315" s="161"/>
      <c r="EM315" s="161"/>
      <c r="EN315" s="161"/>
      <c r="EO315" s="161"/>
      <c r="EP315" s="161"/>
      <c r="FL315" s="161"/>
      <c r="FM315" s="161"/>
      <c r="FN315" s="161"/>
      <c r="FO315" s="161"/>
      <c r="FP315" s="161"/>
      <c r="FQ315" s="161"/>
      <c r="FR315" s="161"/>
      <c r="FS315" s="161"/>
      <c r="FT315" s="161"/>
      <c r="FU315" s="161"/>
      <c r="FV315" s="161"/>
      <c r="FW315" s="161"/>
      <c r="FX315" s="161"/>
      <c r="FY315" s="161"/>
      <c r="FZ315" s="161"/>
      <c r="GA315" s="161"/>
      <c r="GB315" s="161"/>
      <c r="GC315" s="177"/>
      <c r="GD315" s="161"/>
      <c r="GE315" s="177"/>
    </row>
    <row r="316" spans="1:187">
      <c r="A316" s="161"/>
      <c r="B316" s="161"/>
      <c r="C316" s="161"/>
      <c r="D316" s="161"/>
      <c r="E316" s="161"/>
      <c r="F316" s="161"/>
      <c r="G316" s="161"/>
      <c r="H316" s="161"/>
      <c r="I316" s="161"/>
      <c r="J316" s="161"/>
      <c r="K316" s="161"/>
      <c r="L316" s="161"/>
      <c r="M316" s="161"/>
      <c r="N316" s="161"/>
      <c r="O316" s="161"/>
      <c r="P316" s="161"/>
      <c r="Q316" s="161"/>
      <c r="R316" s="161"/>
      <c r="S316" s="161"/>
      <c r="T316" s="161"/>
      <c r="U316" s="161"/>
      <c r="V316" s="161"/>
      <c r="W316" s="161"/>
      <c r="X316" s="161"/>
      <c r="Y316" s="161"/>
      <c r="Z316" s="161"/>
      <c r="AA316" s="161"/>
      <c r="AB316" s="161"/>
      <c r="AC316" s="161"/>
      <c r="AD316" s="161"/>
      <c r="AE316" s="161"/>
      <c r="AF316" s="161"/>
      <c r="AG316" s="161"/>
      <c r="AH316" s="161"/>
      <c r="AI316" s="161"/>
      <c r="AJ316" s="161"/>
      <c r="AK316" s="161"/>
      <c r="AL316" s="161"/>
      <c r="AM316" s="161"/>
      <c r="AN316" s="161"/>
      <c r="AO316" s="161"/>
      <c r="AP316" s="161"/>
      <c r="AQ316" s="161"/>
      <c r="AR316" s="161"/>
      <c r="AS316" s="161"/>
      <c r="AT316" s="161"/>
      <c r="AU316" s="161"/>
      <c r="AV316" s="161"/>
      <c r="AW316" s="161"/>
      <c r="AX316" s="161"/>
      <c r="AY316" s="161"/>
      <c r="AZ316" s="161"/>
      <c r="BA316" s="161"/>
      <c r="BB316" s="161"/>
      <c r="BC316" s="161"/>
      <c r="BD316" s="161"/>
      <c r="BE316" s="161"/>
      <c r="BF316" s="161"/>
      <c r="BG316" s="161"/>
      <c r="BH316" s="161"/>
      <c r="BI316" s="161"/>
      <c r="BJ316" s="161"/>
      <c r="BK316" s="161"/>
      <c r="BL316" s="161"/>
      <c r="BM316" s="161"/>
      <c r="BN316" s="161"/>
      <c r="BO316" s="161"/>
      <c r="BP316" s="161"/>
      <c r="BQ316" s="161"/>
      <c r="BR316" s="161"/>
      <c r="BS316" s="161"/>
      <c r="BT316" s="161"/>
      <c r="BU316" s="161"/>
      <c r="BV316" s="161"/>
      <c r="BW316" s="161"/>
      <c r="BX316" s="161"/>
      <c r="BY316" s="161"/>
      <c r="BZ316" s="161"/>
      <c r="CA316" s="161"/>
      <c r="CB316" s="161"/>
      <c r="CC316" s="161"/>
      <c r="CD316" s="161"/>
      <c r="CE316" s="161"/>
      <c r="CF316" s="161"/>
      <c r="CG316" s="161"/>
      <c r="CH316" s="161"/>
      <c r="CI316" s="161"/>
      <c r="CJ316" s="161"/>
      <c r="CK316" s="161"/>
      <c r="CL316" s="161"/>
      <c r="CM316" s="161"/>
      <c r="CN316" s="161"/>
      <c r="CO316" s="161"/>
      <c r="CP316" s="161"/>
      <c r="CQ316" s="161"/>
      <c r="CR316" s="161"/>
      <c r="CS316" s="161"/>
      <c r="CT316" s="161"/>
      <c r="CU316" s="161"/>
      <c r="CV316" s="161"/>
      <c r="CW316" s="161"/>
      <c r="CX316" s="161"/>
      <c r="CY316" s="161"/>
      <c r="CZ316" s="161"/>
      <c r="DA316" s="161"/>
      <c r="DB316" s="161"/>
      <c r="DC316" s="161"/>
      <c r="DD316" s="161"/>
      <c r="DE316" s="161"/>
      <c r="DF316" s="161"/>
      <c r="DG316" s="161"/>
      <c r="DH316" s="161"/>
      <c r="DI316" s="161"/>
      <c r="DJ316" s="161"/>
      <c r="DK316" s="177"/>
      <c r="DL316" s="177"/>
      <c r="DM316" s="177"/>
      <c r="DN316" s="177"/>
      <c r="DO316" s="177"/>
      <c r="DP316" s="177"/>
      <c r="DQ316" s="177"/>
      <c r="DR316" s="177"/>
      <c r="DS316" s="177"/>
      <c r="DT316" s="177"/>
      <c r="DU316" s="177"/>
      <c r="DV316" s="177"/>
      <c r="DW316" s="177"/>
      <c r="DX316" s="177"/>
      <c r="DY316" s="177"/>
      <c r="DZ316" s="177"/>
      <c r="EA316" s="177"/>
      <c r="EB316" s="177"/>
      <c r="EC316" s="177"/>
      <c r="ED316" s="177"/>
      <c r="EF316" s="161"/>
      <c r="EH316" s="161"/>
      <c r="EM316" s="161"/>
      <c r="EN316" s="161"/>
      <c r="EO316" s="161"/>
      <c r="EP316" s="161"/>
      <c r="FL316" s="161"/>
      <c r="FM316" s="161"/>
      <c r="FN316" s="161"/>
      <c r="FO316" s="161"/>
      <c r="FP316" s="161"/>
      <c r="FQ316" s="161"/>
      <c r="FR316" s="161"/>
      <c r="FS316" s="161"/>
      <c r="FT316" s="161"/>
      <c r="FU316" s="161"/>
      <c r="FV316" s="161"/>
      <c r="FW316" s="161"/>
      <c r="FX316" s="161"/>
      <c r="FY316" s="161"/>
      <c r="FZ316" s="161"/>
      <c r="GA316" s="161"/>
      <c r="GB316" s="161"/>
      <c r="GC316" s="177"/>
      <c r="GD316" s="161"/>
      <c r="GE316" s="177"/>
    </row>
    <row r="317" spans="1:187">
      <c r="A317" s="161"/>
      <c r="B317" s="161"/>
      <c r="C317" s="161"/>
      <c r="D317" s="161"/>
      <c r="E317" s="161"/>
      <c r="F317" s="161"/>
      <c r="G317" s="161"/>
      <c r="H317" s="161"/>
      <c r="I317" s="161"/>
      <c r="J317" s="161"/>
      <c r="K317" s="161"/>
      <c r="L317" s="161"/>
      <c r="M317" s="161"/>
      <c r="N317" s="161"/>
      <c r="O317" s="161"/>
      <c r="P317" s="161"/>
      <c r="Q317" s="161"/>
      <c r="R317" s="161"/>
      <c r="S317" s="161"/>
      <c r="T317" s="161"/>
      <c r="U317" s="161"/>
      <c r="V317" s="161"/>
      <c r="W317" s="161"/>
      <c r="X317" s="161"/>
      <c r="Y317" s="161"/>
      <c r="Z317" s="161"/>
      <c r="AA317" s="161"/>
      <c r="AB317" s="161"/>
      <c r="AC317" s="161"/>
      <c r="AD317" s="161"/>
      <c r="AE317" s="161"/>
      <c r="AF317" s="161"/>
      <c r="AG317" s="161"/>
      <c r="AH317" s="161"/>
      <c r="AI317" s="161"/>
      <c r="AJ317" s="161"/>
      <c r="AK317" s="161"/>
      <c r="AL317" s="161"/>
      <c r="AM317" s="161"/>
      <c r="AN317" s="161"/>
      <c r="AO317" s="161"/>
      <c r="AP317" s="161"/>
      <c r="AQ317" s="161"/>
      <c r="AR317" s="161"/>
      <c r="AS317" s="161"/>
      <c r="AT317" s="161"/>
      <c r="AU317" s="161"/>
      <c r="AV317" s="161"/>
      <c r="AW317" s="161"/>
      <c r="AX317" s="161"/>
      <c r="AY317" s="161"/>
      <c r="AZ317" s="161"/>
      <c r="BA317" s="161"/>
      <c r="BB317" s="161"/>
      <c r="BC317" s="161"/>
      <c r="BD317" s="161"/>
      <c r="BE317" s="161"/>
      <c r="BF317" s="161"/>
      <c r="BG317" s="161"/>
      <c r="BH317" s="161"/>
      <c r="BI317" s="161"/>
      <c r="BJ317" s="161"/>
      <c r="BK317" s="161"/>
      <c r="BL317" s="161"/>
      <c r="BM317" s="161"/>
      <c r="BN317" s="161"/>
      <c r="BO317" s="161"/>
      <c r="BP317" s="161"/>
      <c r="BQ317" s="161"/>
      <c r="BR317" s="161"/>
      <c r="BS317" s="161"/>
      <c r="BT317" s="161"/>
      <c r="BU317" s="161"/>
      <c r="BV317" s="161"/>
      <c r="BW317" s="161"/>
      <c r="BX317" s="161"/>
      <c r="BY317" s="161"/>
      <c r="BZ317" s="161"/>
      <c r="CA317" s="161"/>
      <c r="CB317" s="161"/>
      <c r="CC317" s="161"/>
      <c r="CD317" s="161"/>
      <c r="CE317" s="161"/>
      <c r="CF317" s="161"/>
      <c r="CG317" s="161"/>
      <c r="CH317" s="161"/>
      <c r="CI317" s="161"/>
      <c r="CJ317" s="161"/>
      <c r="CK317" s="161"/>
      <c r="CL317" s="161"/>
      <c r="CM317" s="161"/>
      <c r="CN317" s="161"/>
      <c r="CO317" s="161"/>
      <c r="CP317" s="161"/>
      <c r="CQ317" s="161"/>
      <c r="CR317" s="161"/>
      <c r="CS317" s="161"/>
      <c r="CT317" s="161"/>
      <c r="CU317" s="161"/>
      <c r="CV317" s="161"/>
      <c r="CW317" s="161"/>
      <c r="CX317" s="161"/>
      <c r="CY317" s="161"/>
      <c r="CZ317" s="161"/>
      <c r="DA317" s="161"/>
      <c r="DB317" s="161"/>
      <c r="DC317" s="161"/>
      <c r="DD317" s="161"/>
      <c r="DE317" s="161"/>
      <c r="DF317" s="161"/>
      <c r="DG317" s="161"/>
      <c r="DH317" s="161"/>
      <c r="DI317" s="161"/>
      <c r="DJ317" s="161"/>
      <c r="DK317" s="177"/>
      <c r="DL317" s="177"/>
      <c r="DM317" s="177"/>
      <c r="DN317" s="177"/>
      <c r="DO317" s="177"/>
      <c r="DP317" s="177"/>
      <c r="DQ317" s="177"/>
      <c r="DR317" s="177"/>
      <c r="DS317" s="177"/>
      <c r="DT317" s="177"/>
      <c r="DU317" s="177"/>
      <c r="DV317" s="177"/>
      <c r="DW317" s="177"/>
      <c r="DX317" s="177"/>
      <c r="DY317" s="177"/>
      <c r="DZ317" s="177"/>
      <c r="EA317" s="177"/>
      <c r="EB317" s="177"/>
      <c r="EC317" s="177"/>
      <c r="ED317" s="177"/>
      <c r="EF317" s="161"/>
      <c r="EH317" s="161"/>
      <c r="EM317" s="161"/>
      <c r="EN317" s="161"/>
      <c r="EO317" s="161"/>
      <c r="EP317" s="161"/>
      <c r="FL317" s="161"/>
      <c r="FM317" s="161"/>
      <c r="FN317" s="161"/>
      <c r="FO317" s="161"/>
      <c r="FP317" s="161"/>
      <c r="FQ317" s="161"/>
      <c r="FR317" s="161"/>
      <c r="FS317" s="161"/>
      <c r="FT317" s="161"/>
      <c r="FU317" s="161"/>
      <c r="FV317" s="161"/>
      <c r="FW317" s="161"/>
      <c r="FX317" s="161"/>
      <c r="FY317" s="161"/>
      <c r="FZ317" s="161"/>
      <c r="GA317" s="161"/>
      <c r="GB317" s="161"/>
      <c r="GC317" s="177"/>
      <c r="GD317" s="161"/>
      <c r="GE317" s="177"/>
    </row>
    <row r="318" spans="1:187">
      <c r="A318" s="161"/>
      <c r="B318" s="161"/>
      <c r="C318" s="161"/>
      <c r="D318" s="161"/>
      <c r="E318" s="161"/>
      <c r="F318" s="161"/>
      <c r="G318" s="161"/>
      <c r="H318" s="161"/>
      <c r="I318" s="161"/>
      <c r="J318" s="161"/>
      <c r="K318" s="161"/>
      <c r="L318" s="161"/>
      <c r="M318" s="161"/>
      <c r="N318" s="161"/>
      <c r="O318" s="161"/>
      <c r="P318" s="161"/>
      <c r="Q318" s="161"/>
      <c r="R318" s="161"/>
      <c r="S318" s="161"/>
      <c r="T318" s="161"/>
      <c r="U318" s="161"/>
      <c r="V318" s="161"/>
      <c r="W318" s="161"/>
      <c r="X318" s="161"/>
      <c r="Y318" s="161"/>
      <c r="Z318" s="161"/>
      <c r="AA318" s="161"/>
      <c r="AB318" s="161"/>
      <c r="AC318" s="161"/>
      <c r="AD318" s="161"/>
      <c r="AE318" s="161"/>
      <c r="AF318" s="161"/>
      <c r="AG318" s="161"/>
      <c r="AH318" s="161"/>
      <c r="AI318" s="161"/>
      <c r="AJ318" s="161"/>
      <c r="AK318" s="161"/>
      <c r="AL318" s="161"/>
      <c r="AM318" s="161"/>
      <c r="AN318" s="161"/>
      <c r="AO318" s="161"/>
      <c r="AP318" s="161"/>
      <c r="AQ318" s="161"/>
      <c r="AR318" s="161"/>
      <c r="AS318" s="161"/>
      <c r="AT318" s="161"/>
      <c r="AU318" s="161"/>
      <c r="AV318" s="161"/>
      <c r="AW318" s="161"/>
      <c r="AX318" s="161"/>
      <c r="AY318" s="161"/>
      <c r="AZ318" s="161"/>
      <c r="BA318" s="161"/>
      <c r="BB318" s="161"/>
      <c r="BC318" s="161"/>
      <c r="BD318" s="161"/>
      <c r="BE318" s="161"/>
      <c r="BF318" s="161"/>
      <c r="BG318" s="161"/>
      <c r="BH318" s="161"/>
      <c r="BI318" s="161"/>
      <c r="BJ318" s="161"/>
      <c r="BK318" s="161"/>
      <c r="BL318" s="161"/>
      <c r="BM318" s="161"/>
      <c r="BN318" s="161"/>
      <c r="BO318" s="161"/>
      <c r="BP318" s="161"/>
      <c r="BQ318" s="161"/>
      <c r="BR318" s="161"/>
      <c r="BS318" s="161"/>
      <c r="BT318" s="161"/>
      <c r="BU318" s="161"/>
      <c r="BV318" s="161"/>
      <c r="BW318" s="161"/>
      <c r="BX318" s="161"/>
      <c r="BY318" s="161"/>
      <c r="BZ318" s="161"/>
      <c r="CA318" s="161"/>
      <c r="CB318" s="161"/>
      <c r="CC318" s="161"/>
      <c r="CD318" s="161"/>
      <c r="CE318" s="161"/>
      <c r="CF318" s="161"/>
      <c r="CG318" s="161"/>
      <c r="CH318" s="161"/>
      <c r="CI318" s="161"/>
      <c r="CJ318" s="161"/>
      <c r="CK318" s="161"/>
      <c r="CL318" s="161"/>
      <c r="CM318" s="161"/>
      <c r="CN318" s="161"/>
      <c r="CO318" s="161"/>
      <c r="CP318" s="161"/>
      <c r="CQ318" s="161"/>
      <c r="CR318" s="161"/>
      <c r="CS318" s="161"/>
      <c r="CT318" s="161"/>
      <c r="CU318" s="161"/>
      <c r="CV318" s="161"/>
      <c r="CW318" s="161"/>
      <c r="CX318" s="161"/>
      <c r="CY318" s="161"/>
      <c r="CZ318" s="161"/>
      <c r="DA318" s="161"/>
      <c r="DB318" s="161"/>
      <c r="DC318" s="161"/>
      <c r="DD318" s="161"/>
      <c r="DE318" s="161"/>
      <c r="DF318" s="161"/>
      <c r="DG318" s="161"/>
      <c r="DH318" s="161"/>
      <c r="DI318" s="161"/>
      <c r="DJ318" s="161"/>
      <c r="DK318" s="177"/>
      <c r="DL318" s="177"/>
      <c r="DM318" s="177"/>
      <c r="DN318" s="177"/>
      <c r="DO318" s="177"/>
      <c r="DP318" s="177"/>
      <c r="DQ318" s="177"/>
      <c r="DR318" s="177"/>
      <c r="DS318" s="177"/>
      <c r="DT318" s="177"/>
      <c r="DU318" s="177"/>
      <c r="DV318" s="177"/>
      <c r="DW318" s="177"/>
      <c r="DX318" s="177"/>
      <c r="DY318" s="177"/>
      <c r="DZ318" s="177"/>
      <c r="EA318" s="177"/>
      <c r="EB318" s="177"/>
      <c r="EC318" s="177"/>
      <c r="ED318" s="177"/>
      <c r="EF318" s="161"/>
      <c r="EH318" s="161"/>
      <c r="EM318" s="161"/>
      <c r="EN318" s="161"/>
      <c r="EO318" s="161"/>
      <c r="EP318" s="161"/>
      <c r="FL318" s="161"/>
      <c r="FM318" s="161"/>
      <c r="FN318" s="161"/>
      <c r="FO318" s="161"/>
      <c r="FP318" s="161"/>
      <c r="FQ318" s="161"/>
      <c r="FR318" s="161"/>
      <c r="FS318" s="161"/>
      <c r="FT318" s="161"/>
      <c r="FU318" s="161"/>
      <c r="FV318" s="161"/>
      <c r="FW318" s="161"/>
      <c r="FX318" s="161"/>
      <c r="FY318" s="161"/>
      <c r="FZ318" s="161"/>
      <c r="GA318" s="161"/>
      <c r="GB318" s="161"/>
      <c r="GC318" s="177"/>
      <c r="GD318" s="161"/>
      <c r="GE318" s="177"/>
    </row>
    <row r="319" spans="1:187">
      <c r="A319" s="161"/>
      <c r="B319" s="161"/>
      <c r="C319" s="161"/>
      <c r="D319" s="161"/>
      <c r="E319" s="161"/>
      <c r="F319" s="161"/>
      <c r="G319" s="161"/>
      <c r="H319" s="161"/>
      <c r="I319" s="161"/>
      <c r="J319" s="161"/>
      <c r="K319" s="161"/>
      <c r="L319" s="161"/>
      <c r="M319" s="161"/>
      <c r="N319" s="161"/>
      <c r="O319" s="161"/>
      <c r="P319" s="161"/>
      <c r="Q319" s="161"/>
      <c r="R319" s="161"/>
      <c r="S319" s="161"/>
      <c r="T319" s="161"/>
      <c r="U319" s="161"/>
      <c r="V319" s="161"/>
      <c r="W319" s="161"/>
      <c r="X319" s="161"/>
      <c r="Y319" s="161"/>
      <c r="Z319" s="161"/>
      <c r="AA319" s="161"/>
      <c r="AB319" s="161"/>
      <c r="AC319" s="161"/>
      <c r="AD319" s="161"/>
      <c r="AE319" s="161"/>
      <c r="AF319" s="161"/>
      <c r="AG319" s="161"/>
      <c r="AH319" s="161"/>
      <c r="AI319" s="161"/>
      <c r="AJ319" s="161"/>
      <c r="AK319" s="161"/>
      <c r="AL319" s="161"/>
      <c r="AM319" s="161"/>
      <c r="AN319" s="161"/>
      <c r="AO319" s="161"/>
      <c r="AP319" s="161"/>
      <c r="AQ319" s="161"/>
      <c r="AR319" s="161"/>
      <c r="AS319" s="161"/>
      <c r="AT319" s="161"/>
      <c r="AU319" s="161"/>
      <c r="AV319" s="161"/>
      <c r="AW319" s="161"/>
      <c r="AX319" s="161"/>
      <c r="AY319" s="161"/>
      <c r="AZ319" s="161"/>
      <c r="BA319" s="161"/>
      <c r="BB319" s="161"/>
      <c r="BC319" s="161"/>
      <c r="BD319" s="161"/>
      <c r="BE319" s="161"/>
      <c r="BF319" s="161"/>
      <c r="BG319" s="161"/>
      <c r="BH319" s="161"/>
      <c r="BI319" s="161"/>
      <c r="BJ319" s="161"/>
      <c r="BK319" s="161"/>
      <c r="BL319" s="161"/>
      <c r="BM319" s="161"/>
      <c r="BN319" s="161"/>
      <c r="BO319" s="161"/>
      <c r="BP319" s="161"/>
      <c r="BQ319" s="161"/>
      <c r="BR319" s="161"/>
      <c r="BS319" s="161"/>
      <c r="BT319" s="161"/>
      <c r="BU319" s="161"/>
      <c r="BV319" s="161"/>
      <c r="BW319" s="161"/>
      <c r="BX319" s="161"/>
      <c r="BY319" s="161"/>
      <c r="BZ319" s="161"/>
      <c r="CA319" s="161"/>
      <c r="CB319" s="161"/>
      <c r="CC319" s="161"/>
      <c r="CD319" s="161"/>
      <c r="CE319" s="161"/>
      <c r="CF319" s="161"/>
      <c r="CG319" s="161"/>
      <c r="CH319" s="161"/>
      <c r="CI319" s="161"/>
      <c r="CJ319" s="161"/>
      <c r="CK319" s="161"/>
      <c r="CL319" s="161"/>
      <c r="CM319" s="161"/>
      <c r="CN319" s="161"/>
      <c r="CO319" s="161"/>
      <c r="CP319" s="161"/>
      <c r="CQ319" s="161"/>
      <c r="CR319" s="161"/>
      <c r="CS319" s="161"/>
      <c r="CT319" s="161"/>
      <c r="CU319" s="161"/>
      <c r="CV319" s="161"/>
      <c r="CW319" s="161"/>
      <c r="CX319" s="161"/>
      <c r="CY319" s="161"/>
      <c r="CZ319" s="161"/>
      <c r="DA319" s="161"/>
      <c r="DB319" s="161"/>
      <c r="DC319" s="161"/>
      <c r="DD319" s="161"/>
      <c r="DE319" s="161"/>
      <c r="DF319" s="161"/>
      <c r="DG319" s="161"/>
      <c r="DH319" s="161"/>
      <c r="DI319" s="161"/>
      <c r="DJ319" s="161"/>
      <c r="DK319" s="177"/>
      <c r="DL319" s="177"/>
      <c r="DM319" s="177"/>
      <c r="DN319" s="177"/>
      <c r="DO319" s="177"/>
      <c r="DP319" s="177"/>
      <c r="DQ319" s="177"/>
      <c r="DR319" s="177"/>
      <c r="DS319" s="177"/>
      <c r="DT319" s="177"/>
      <c r="DU319" s="177"/>
      <c r="DV319" s="177"/>
      <c r="DW319" s="177"/>
      <c r="DX319" s="177"/>
      <c r="DY319" s="177"/>
      <c r="DZ319" s="177"/>
      <c r="EA319" s="177"/>
      <c r="EB319" s="177"/>
      <c r="EC319" s="177"/>
      <c r="ED319" s="177"/>
      <c r="EF319" s="161"/>
      <c r="EH319" s="161"/>
      <c r="EM319" s="161"/>
      <c r="EN319" s="161"/>
      <c r="EO319" s="161"/>
      <c r="EP319" s="161"/>
      <c r="FL319" s="161"/>
      <c r="FM319" s="161"/>
      <c r="FN319" s="161"/>
      <c r="FO319" s="161"/>
      <c r="FP319" s="161"/>
      <c r="FQ319" s="161"/>
      <c r="FR319" s="161"/>
      <c r="FS319" s="161"/>
      <c r="FT319" s="161"/>
      <c r="FU319" s="161"/>
      <c r="FV319" s="161"/>
      <c r="FW319" s="161"/>
      <c r="FX319" s="161"/>
      <c r="FY319" s="161"/>
      <c r="FZ319" s="161"/>
      <c r="GA319" s="161"/>
      <c r="GB319" s="161"/>
      <c r="GC319" s="177"/>
      <c r="GD319" s="161"/>
      <c r="GE319" s="177"/>
    </row>
    <row r="320" spans="1:187">
      <c r="A320" s="161"/>
      <c r="B320" s="161"/>
      <c r="C320" s="161"/>
      <c r="D320" s="161"/>
      <c r="E320" s="161"/>
      <c r="F320" s="161"/>
      <c r="G320" s="161"/>
      <c r="H320" s="161"/>
      <c r="I320" s="161"/>
      <c r="J320" s="161"/>
      <c r="K320" s="161"/>
      <c r="L320" s="161"/>
      <c r="M320" s="161"/>
      <c r="N320" s="161"/>
      <c r="O320" s="161"/>
      <c r="P320" s="161"/>
      <c r="Q320" s="161"/>
      <c r="R320" s="161"/>
      <c r="S320" s="161"/>
      <c r="T320" s="161"/>
      <c r="U320" s="161"/>
      <c r="V320" s="161"/>
      <c r="W320" s="161"/>
      <c r="X320" s="161"/>
      <c r="Y320" s="161"/>
      <c r="Z320" s="161"/>
      <c r="AA320" s="161"/>
      <c r="AB320" s="161"/>
      <c r="AC320" s="161"/>
      <c r="AD320" s="161"/>
      <c r="AE320" s="161"/>
      <c r="AF320" s="161"/>
      <c r="AG320" s="161"/>
      <c r="AH320" s="161"/>
      <c r="AI320" s="161"/>
      <c r="AJ320" s="161"/>
      <c r="AK320" s="161"/>
      <c r="AL320" s="161"/>
      <c r="AM320" s="161"/>
      <c r="AN320" s="161"/>
      <c r="AO320" s="161"/>
      <c r="AP320" s="161"/>
      <c r="AQ320" s="161"/>
      <c r="AR320" s="161"/>
      <c r="AS320" s="161"/>
      <c r="AT320" s="161"/>
      <c r="AU320" s="161"/>
      <c r="AV320" s="161"/>
      <c r="AW320" s="161"/>
      <c r="AX320" s="161"/>
      <c r="AY320" s="161"/>
      <c r="AZ320" s="161"/>
      <c r="BA320" s="161"/>
      <c r="BB320" s="161"/>
      <c r="BC320" s="161"/>
      <c r="BD320" s="161"/>
      <c r="BE320" s="161"/>
      <c r="BF320" s="161"/>
      <c r="BG320" s="161"/>
      <c r="BH320" s="161"/>
      <c r="BI320" s="161"/>
      <c r="BJ320" s="161"/>
      <c r="BK320" s="161"/>
      <c r="BL320" s="161"/>
      <c r="BM320" s="161"/>
      <c r="BN320" s="161"/>
      <c r="BO320" s="161"/>
      <c r="BP320" s="161"/>
      <c r="BQ320" s="161"/>
      <c r="BR320" s="161"/>
      <c r="BS320" s="161"/>
      <c r="BT320" s="161"/>
      <c r="BU320" s="161"/>
      <c r="BV320" s="161"/>
      <c r="BW320" s="161"/>
      <c r="BX320" s="161"/>
      <c r="BY320" s="161"/>
      <c r="BZ320" s="161"/>
      <c r="CA320" s="161"/>
      <c r="CB320" s="161"/>
      <c r="CC320" s="161"/>
      <c r="CD320" s="161"/>
      <c r="CE320" s="161"/>
      <c r="CF320" s="161"/>
      <c r="CG320" s="161"/>
      <c r="CH320" s="161"/>
      <c r="CI320" s="161"/>
      <c r="CJ320" s="161"/>
      <c r="CK320" s="161"/>
      <c r="CL320" s="161"/>
      <c r="CM320" s="161"/>
      <c r="CN320" s="161"/>
      <c r="CO320" s="161"/>
      <c r="CP320" s="161"/>
      <c r="CQ320" s="161"/>
      <c r="CR320" s="161"/>
      <c r="CS320" s="161"/>
      <c r="CT320" s="161"/>
      <c r="CU320" s="161"/>
      <c r="CV320" s="161"/>
      <c r="CW320" s="161"/>
      <c r="CX320" s="161"/>
      <c r="CY320" s="161"/>
      <c r="CZ320" s="161"/>
      <c r="DA320" s="161"/>
      <c r="DB320" s="161"/>
      <c r="DC320" s="161"/>
      <c r="DD320" s="161"/>
      <c r="DE320" s="161"/>
      <c r="DF320" s="161"/>
      <c r="DG320" s="161"/>
      <c r="DH320" s="161"/>
      <c r="DI320" s="161"/>
      <c r="DJ320" s="161"/>
      <c r="DK320" s="177"/>
      <c r="DL320" s="177"/>
      <c r="DM320" s="177"/>
      <c r="DN320" s="177"/>
      <c r="DO320" s="177"/>
      <c r="DP320" s="177"/>
      <c r="DQ320" s="177"/>
      <c r="DR320" s="177"/>
      <c r="DS320" s="177"/>
      <c r="DT320" s="177"/>
      <c r="DU320" s="177"/>
      <c r="DV320" s="177"/>
      <c r="DW320" s="177"/>
      <c r="DX320" s="177"/>
      <c r="DY320" s="177"/>
      <c r="DZ320" s="177"/>
      <c r="EA320" s="177"/>
      <c r="EB320" s="177"/>
      <c r="EC320" s="177"/>
      <c r="ED320" s="177"/>
      <c r="EF320" s="161"/>
      <c r="EH320" s="161"/>
      <c r="EM320" s="161"/>
      <c r="EN320" s="161"/>
      <c r="EO320" s="161"/>
      <c r="EP320" s="161"/>
      <c r="FL320" s="161"/>
      <c r="FM320" s="161"/>
      <c r="FN320" s="161"/>
      <c r="FO320" s="161"/>
      <c r="FP320" s="161"/>
      <c r="FQ320" s="161"/>
      <c r="FR320" s="161"/>
      <c r="FS320" s="161"/>
      <c r="FT320" s="161"/>
      <c r="FU320" s="161"/>
      <c r="FV320" s="161"/>
      <c r="FW320" s="161"/>
      <c r="FX320" s="161"/>
      <c r="FY320" s="161"/>
      <c r="FZ320" s="161"/>
      <c r="GA320" s="161"/>
      <c r="GB320" s="161"/>
      <c r="GC320" s="177"/>
      <c r="GD320" s="161"/>
      <c r="GE320" s="177"/>
    </row>
  </sheetData>
  <phoneticPr fontId="122" type="noConversion"/>
  <pageMargins left="0.70866141732283472" right="0.70866141732283472" top="0.74803149606299213" bottom="0.74803149606299213" header="0.31496062992125984" footer="0.31496062992125984"/>
  <pageSetup paperSize="9" scale="34" fitToHeight="2"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D006B-4634-475E-B1DC-1E78D6B7BAE6}">
  <dimension ref="B1:BM192"/>
  <sheetViews>
    <sheetView showGridLines="0" topLeftCell="B1" zoomScale="72" zoomScaleNormal="72" workbookViewId="0">
      <pane xSplit="1" topLeftCell="C1" activePane="topRight" state="frozen"/>
      <selection activeCell="B1" sqref="B1"/>
      <selection pane="topRight" activeCell="AF193" sqref="AF193"/>
    </sheetView>
  </sheetViews>
  <sheetFormatPr defaultColWidth="8.7109375" defaultRowHeight="15" outlineLevelRow="1"/>
  <cols>
    <col min="1" max="1" width="2.7109375" style="161" customWidth="1"/>
    <col min="2" max="2" width="33.5703125" style="161" customWidth="1"/>
    <col min="3" max="13" width="10.7109375" style="161" customWidth="1"/>
    <col min="14" max="14" width="8.7109375" style="161"/>
    <col min="15" max="37" width="8.7109375" style="161" customWidth="1"/>
    <col min="38" max="38" width="8.42578125" style="161" customWidth="1"/>
    <col min="39" max="39" width="20.7109375" style="161" bestFit="1" customWidth="1"/>
    <col min="40" max="40" width="9.7109375" style="161" customWidth="1"/>
    <col min="41" max="42" width="9.7109375" style="161" hidden="1" customWidth="1"/>
    <col min="43" max="46" width="9.7109375" style="161" customWidth="1"/>
    <col min="47" max="58" width="8.7109375" style="161" customWidth="1"/>
    <col min="59" max="16384" width="8.7109375" style="161"/>
  </cols>
  <sheetData>
    <row r="1" spans="2:65" ht="15.75" thickBot="1">
      <c r="B1" s="159" t="s">
        <v>514</v>
      </c>
      <c r="C1" s="160"/>
      <c r="D1" s="160"/>
      <c r="E1" s="160"/>
      <c r="F1" s="160"/>
      <c r="G1" s="160"/>
      <c r="H1" s="160"/>
      <c r="I1" s="160"/>
      <c r="J1" s="160"/>
      <c r="K1" s="160"/>
      <c r="L1" s="160"/>
      <c r="M1" s="160"/>
      <c r="N1" s="160"/>
      <c r="O1" s="160"/>
      <c r="P1" s="160"/>
      <c r="Q1" s="160"/>
      <c r="R1" s="160"/>
      <c r="S1" s="160"/>
      <c r="T1" s="160"/>
      <c r="U1" s="160"/>
      <c r="V1" s="160"/>
    </row>
    <row r="2" spans="2:65" ht="15.75">
      <c r="B2" s="248"/>
      <c r="E2" s="261"/>
      <c r="F2" s="261"/>
      <c r="G2" s="261"/>
      <c r="H2" s="261"/>
      <c r="I2" s="261"/>
      <c r="M2" s="261"/>
      <c r="N2" s="261"/>
      <c r="W2" s="160"/>
      <c r="X2" s="160"/>
      <c r="Y2" s="261" t="s">
        <v>515</v>
      </c>
      <c r="AM2" s="248"/>
      <c r="AN2" s="261"/>
      <c r="AO2" s="261" t="s">
        <v>515</v>
      </c>
      <c r="AP2" s="261"/>
      <c r="AQ2" s="991" t="s">
        <v>516</v>
      </c>
      <c r="AR2" s="992"/>
      <c r="AV2" s="261" t="s">
        <v>515</v>
      </c>
      <c r="AW2" s="261" t="s">
        <v>516</v>
      </c>
      <c r="AX2" s="261" t="s">
        <v>517</v>
      </c>
      <c r="BJ2" s="694" t="s">
        <v>515</v>
      </c>
      <c r="BK2" s="695" t="s">
        <v>516</v>
      </c>
      <c r="BL2" s="693"/>
    </row>
    <row r="3" spans="2:65" ht="15.75">
      <c r="B3" s="885" t="s">
        <v>11</v>
      </c>
      <c r="C3" s="886" t="str">
        <f t="shared" ref="C3:I3" si="0">O29</f>
        <v>1Q22</v>
      </c>
      <c r="D3" s="886" t="str">
        <f t="shared" si="0"/>
        <v>2Q22</v>
      </c>
      <c r="E3" s="886" t="str">
        <f t="shared" si="0"/>
        <v>3Q22</v>
      </c>
      <c r="F3" s="886" t="str">
        <f t="shared" si="0"/>
        <v>4Q22</v>
      </c>
      <c r="G3" s="886" t="str">
        <f t="shared" si="0"/>
        <v>1Q23</v>
      </c>
      <c r="H3" s="886" t="str">
        <f t="shared" si="0"/>
        <v>2Q23</v>
      </c>
      <c r="I3" s="886" t="str">
        <f t="shared" si="0"/>
        <v>3Q23</v>
      </c>
      <c r="J3" s="886" t="s">
        <v>418</v>
      </c>
      <c r="K3" s="886" t="s">
        <v>419</v>
      </c>
      <c r="L3" s="886" t="str">
        <f>Quarts!BM4</f>
        <v>2Q24</v>
      </c>
      <c r="M3" s="886" t="str">
        <f>Quarts!BN4</f>
        <v>3Q24</v>
      </c>
      <c r="N3" s="886" t="str">
        <f>Quarts!BO4</f>
        <v>4Q24</v>
      </c>
      <c r="O3" s="886" t="str">
        <f>Quarts!BP4</f>
        <v>1Q25</v>
      </c>
      <c r="P3" s="886" t="str">
        <f>Quarts!BQ4</f>
        <v>2Q25</v>
      </c>
      <c r="Q3" s="886" t="str">
        <f>Quarts!BR4</f>
        <v>3Q25</v>
      </c>
      <c r="R3" s="886" t="str">
        <f>Quarts!BS4</f>
        <v>4Q25</v>
      </c>
      <c r="S3" s="886" t="str">
        <f>Quarts!BT4</f>
        <v>1Q26</v>
      </c>
      <c r="W3" s="163"/>
      <c r="X3" s="163"/>
      <c r="Y3" s="886" t="str">
        <f>Quarts!GD4</f>
        <v>Q4 25e</v>
      </c>
      <c r="Z3" s="163"/>
      <c r="AA3" s="163"/>
      <c r="AB3" s="163"/>
      <c r="AM3" s="885" t="s">
        <v>11</v>
      </c>
      <c r="AN3" s="886" t="str">
        <f>S3</f>
        <v>1Q26</v>
      </c>
      <c r="AO3" s="886" t="str">
        <f>Y3</f>
        <v>Q4 25e</v>
      </c>
      <c r="AP3" s="887" t="s">
        <v>518</v>
      </c>
      <c r="AQ3" s="993" t="s">
        <v>3305</v>
      </c>
      <c r="AR3" s="994" t="s">
        <v>518</v>
      </c>
      <c r="AS3" s="886" t="str">
        <f>O3</f>
        <v>1Q25</v>
      </c>
      <c r="AT3" s="887" t="s">
        <v>518</v>
      </c>
      <c r="AU3" s="164"/>
      <c r="AV3" s="887" t="s">
        <v>439</v>
      </c>
      <c r="AW3" s="887" t="s">
        <v>439</v>
      </c>
      <c r="AX3" s="887" t="s">
        <v>516</v>
      </c>
      <c r="AY3" s="164"/>
      <c r="AZ3" s="164"/>
      <c r="BA3" s="663" t="s">
        <v>3304</v>
      </c>
      <c r="BB3" s="164"/>
      <c r="BC3" s="163"/>
      <c r="BJ3" s="696" t="s">
        <v>431</v>
      </c>
      <c r="BK3" s="697" t="s">
        <v>431</v>
      </c>
      <c r="BL3" s="888" t="s">
        <v>519</v>
      </c>
      <c r="BM3" s="165"/>
    </row>
    <row r="4" spans="2:65" ht="15.75">
      <c r="B4" s="250" t="s">
        <v>43</v>
      </c>
      <c r="C4" s="401">
        <f>Quarts!BD72</f>
        <v>6562.4260000000004</v>
      </c>
      <c r="D4" s="401">
        <f>Quarts!BE72</f>
        <v>6681.1859999999997</v>
      </c>
      <c r="E4" s="401">
        <f>Quarts!BF72</f>
        <v>6736.8850000000002</v>
      </c>
      <c r="F4" s="401">
        <f>Quarts!BG72</f>
        <v>7175.058</v>
      </c>
      <c r="G4" s="401">
        <f>Quarts!BH72</f>
        <v>7152.1880000000001</v>
      </c>
      <c r="H4" s="401">
        <f>Quarts!BI72</f>
        <v>7373.6940000000004</v>
      </c>
      <c r="I4" s="401">
        <f>Quarts!BJ72</f>
        <v>7490.7309999999998</v>
      </c>
      <c r="J4" s="401">
        <f>Quarts!BK72</f>
        <v>7853.9269999999997</v>
      </c>
      <c r="K4" s="401">
        <f>Quarts!BL72</f>
        <v>7984.6030000000001</v>
      </c>
      <c r="L4" s="401">
        <f>Quarts!BM72</f>
        <v>8135.7120000000004</v>
      </c>
      <c r="M4" s="401">
        <f>Quarts!BN72</f>
        <v>8215.8770000000004</v>
      </c>
      <c r="N4" s="401">
        <f>Quarts!BO72</f>
        <v>8504.6560000000009</v>
      </c>
      <c r="O4" s="401">
        <f>Quarts!BP72</f>
        <v>8607.0949999999993</v>
      </c>
      <c r="P4" s="401">
        <f>Quarts!BQ72</f>
        <v>8699.5190000000002</v>
      </c>
      <c r="Q4" s="401">
        <f>Quarts!BR72</f>
        <v>8921.018</v>
      </c>
      <c r="R4" s="401">
        <f>Quarts!BS72</f>
        <v>9202.0789999999997</v>
      </c>
      <c r="S4" s="401">
        <f>Quarts!BT72</f>
        <v>9356.7919999999995</v>
      </c>
      <c r="Y4" s="401">
        <f>Quarts!GD72</f>
        <v>9251.108188000002</v>
      </c>
      <c r="AM4" s="249" t="s">
        <v>43</v>
      </c>
      <c r="AN4" s="317">
        <f>S4</f>
        <v>9356.7919999999995</v>
      </c>
      <c r="AO4" s="317">
        <f>Y4</f>
        <v>9251.108188000002</v>
      </c>
      <c r="AP4" s="450">
        <f>AN4/AO4-1</f>
        <v>1.1423908341822608E-2</v>
      </c>
      <c r="AQ4" s="995">
        <f>BB4</f>
        <v>9356.7919999999995</v>
      </c>
      <c r="AR4" s="996">
        <f>AN4/AQ4-1</f>
        <v>0</v>
      </c>
      <c r="AS4" s="317">
        <f>O4</f>
        <v>8607.0949999999993</v>
      </c>
      <c r="AT4" s="450">
        <f>AN4/AS4-1</f>
        <v>8.7102210443825712E-2</v>
      </c>
      <c r="AU4" s="167"/>
      <c r="AV4" s="319">
        <f>AO4/AN4-1</f>
        <v>-1.1294876705605694E-2</v>
      </c>
      <c r="AW4" s="319">
        <f>AQ4/AN4-1</f>
        <v>0</v>
      </c>
      <c r="AX4" s="319">
        <f>AO4/AQ4-1</f>
        <v>-1.1294876705605694E-2</v>
      </c>
      <c r="AY4" s="167"/>
      <c r="AZ4" s="167"/>
      <c r="BA4" s="664" cm="1">
        <f t="array" ref="BA4">_xll.VAData("MHSDF_MX",BA3, "Total revenue", "Consensus", "CD", "IMPL","","")</f>
        <v>9356.7919999999995</v>
      </c>
      <c r="BB4" s="707">
        <f>BA4</f>
        <v>9356.7919999999995</v>
      </c>
      <c r="BC4" s="320"/>
      <c r="BD4" s="320"/>
      <c r="BE4" s="320"/>
      <c r="BJ4" s="405">
        <f>Quarts!FO72</f>
        <v>7638.7077108040739</v>
      </c>
      <c r="BK4" s="406">
        <v>7768</v>
      </c>
      <c r="BL4" s="402">
        <f>J4/BK4-1</f>
        <v>1.1061663233779662E-2</v>
      </c>
      <c r="BM4" s="167"/>
    </row>
    <row r="5" spans="2:65" ht="15.75">
      <c r="B5" s="248" t="s">
        <v>520</v>
      </c>
      <c r="C5" s="320">
        <f>Quarts!BD104</f>
        <v>6022.0550000000003</v>
      </c>
      <c r="D5" s="320">
        <f>Quarts!BE104</f>
        <v>6104.3189999999995</v>
      </c>
      <c r="E5" s="320">
        <f>Quarts!BF104</f>
        <v>6133.61</v>
      </c>
      <c r="F5" s="320">
        <f>Quarts!BG104</f>
        <v>6308</v>
      </c>
      <c r="G5" s="320">
        <f>Quarts!BH104</f>
        <v>6516.4530000000004</v>
      </c>
      <c r="H5" s="320">
        <f>Quarts!BI104</f>
        <v>6717.518</v>
      </c>
      <c r="I5" s="320">
        <f>Quarts!BJ104</f>
        <v>6907.5460000000003</v>
      </c>
      <c r="J5" s="320">
        <f>Quarts!BK104</f>
        <v>7167.9380000000001</v>
      </c>
      <c r="K5" s="320">
        <f>Quarts!BL104</f>
        <v>7330.2929999999997</v>
      </c>
      <c r="L5" s="320">
        <f>Quarts!BM104</f>
        <v>7450.0069999999996</v>
      </c>
      <c r="M5" s="320">
        <f>Quarts!BN104</f>
        <v>7590.4260000000004</v>
      </c>
      <c r="N5" s="320">
        <f>Quarts!BO104</f>
        <v>7956.1660000000002</v>
      </c>
      <c r="O5" s="842">
        <f>Quarts!BP87</f>
        <v>7193.5940000000001</v>
      </c>
      <c r="P5" s="842">
        <f>Quarts!BQ87</f>
        <v>7394.1329999999998</v>
      </c>
      <c r="Q5" s="842">
        <f>Quarts!BR87</f>
        <v>7594.7259999999997</v>
      </c>
      <c r="R5" s="842">
        <f>Quarts!BS87</f>
        <v>7821.14</v>
      </c>
      <c r="S5" s="842">
        <f>Quarts!BT87</f>
        <v>8005.0209999999997</v>
      </c>
      <c r="Y5" s="320">
        <f>Quarts!GD87</f>
        <v>7880.3313460000036</v>
      </c>
      <c r="AM5" s="248" t="s">
        <v>521</v>
      </c>
      <c r="AN5" s="320">
        <f>S5</f>
        <v>8005.0209999999997</v>
      </c>
      <c r="AO5" s="320">
        <f>Y5</f>
        <v>7880.3313460000036</v>
      </c>
      <c r="AP5" s="453">
        <f>AN5/AO5-1</f>
        <v>1.5822894815620714E-2</v>
      </c>
      <c r="AQ5" s="997">
        <f>BB5</f>
        <v>8005.0209999999997</v>
      </c>
      <c r="AR5" s="998">
        <f>AN5/AQ5-1</f>
        <v>0</v>
      </c>
      <c r="AS5" s="320">
        <f>O5</f>
        <v>7193.5940000000001</v>
      </c>
      <c r="AT5" s="453">
        <f t="shared" ref="AT5:AT20" si="1">AN5/AS5-1</f>
        <v>0.1127985538244165</v>
      </c>
      <c r="AU5" s="167"/>
      <c r="AV5" s="322">
        <f>AO5/AN5-1</f>
        <v>-1.5576430592748713E-2</v>
      </c>
      <c r="AW5" s="449">
        <f>AQ5/AN5-1</f>
        <v>0</v>
      </c>
      <c r="AX5" s="449">
        <f>AO5/AQ5-1</f>
        <v>-1.5576430592748713E-2</v>
      </c>
      <c r="AY5" s="167"/>
      <c r="AZ5" s="167"/>
      <c r="BA5" s="664" cm="1">
        <f t="array" ref="BA5">_xll.VAData("MHSDF_MX", BA3, "Total revenue - Mass market", "Consensus", "CD", "","","")</f>
        <v>8005.0209999999997</v>
      </c>
      <c r="BB5" s="707">
        <f>BA5</f>
        <v>8005.0209999999997</v>
      </c>
      <c r="BC5" s="320"/>
      <c r="BD5" s="320"/>
      <c r="BE5" s="320"/>
      <c r="BJ5" s="407">
        <f>Quarts!FO104</f>
        <v>7038.8037108040735</v>
      </c>
      <c r="BK5" s="408">
        <f>2740+2697+662+746+215</f>
        <v>7060</v>
      </c>
      <c r="BL5" s="321">
        <f>J5/BK5-1</f>
        <v>1.5288668555240914E-2</v>
      </c>
      <c r="BM5" s="167"/>
    </row>
    <row r="6" spans="2:65" ht="15.75">
      <c r="B6" s="249" t="s">
        <v>522</v>
      </c>
      <c r="C6" s="317">
        <f>C4-C5</f>
        <v>540.37100000000009</v>
      </c>
      <c r="D6" s="317">
        <f t="shared" ref="D6:I6" si="2">D4-D5</f>
        <v>576.86700000000019</v>
      </c>
      <c r="E6" s="317">
        <f t="shared" si="2"/>
        <v>603.27500000000055</v>
      </c>
      <c r="F6" s="317">
        <f t="shared" si="2"/>
        <v>867.05799999999999</v>
      </c>
      <c r="G6" s="317">
        <f t="shared" si="2"/>
        <v>635.73499999999967</v>
      </c>
      <c r="H6" s="317">
        <f t="shared" si="2"/>
        <v>656.17600000000039</v>
      </c>
      <c r="I6" s="317">
        <f t="shared" si="2"/>
        <v>583.18499999999949</v>
      </c>
      <c r="J6" s="317">
        <f t="shared" ref="J6:S6" si="3">J4-J5</f>
        <v>685.98899999999958</v>
      </c>
      <c r="K6" s="317">
        <f t="shared" si="3"/>
        <v>654.3100000000004</v>
      </c>
      <c r="L6" s="317">
        <f t="shared" si="3"/>
        <v>685.70500000000084</v>
      </c>
      <c r="M6" s="317">
        <f t="shared" si="3"/>
        <v>625.45100000000002</v>
      </c>
      <c r="N6" s="317">
        <f t="shared" si="3"/>
        <v>548.49000000000069</v>
      </c>
      <c r="O6" s="317">
        <f t="shared" si="3"/>
        <v>1413.5009999999993</v>
      </c>
      <c r="P6" s="317">
        <f t="shared" si="3"/>
        <v>1305.3860000000004</v>
      </c>
      <c r="Q6" s="317">
        <f t="shared" si="3"/>
        <v>1326.2920000000004</v>
      </c>
      <c r="R6" s="317">
        <f t="shared" si="3"/>
        <v>1380.9389999999994</v>
      </c>
      <c r="S6" s="317">
        <f t="shared" si="3"/>
        <v>1351.7709999999997</v>
      </c>
      <c r="Y6" s="317">
        <f>Y4-Y5</f>
        <v>1370.7768419999984</v>
      </c>
      <c r="AM6" s="249"/>
      <c r="AN6" s="317"/>
      <c r="AO6" s="317"/>
      <c r="AP6" s="451"/>
      <c r="AQ6" s="995"/>
      <c r="AR6" s="999"/>
      <c r="AS6" s="317"/>
      <c r="AT6" s="451"/>
      <c r="AU6" s="167"/>
      <c r="AV6" s="319"/>
      <c r="AW6" s="319"/>
      <c r="AX6" s="319"/>
      <c r="AY6" s="167"/>
      <c r="AZ6" s="167"/>
      <c r="BA6" s="664"/>
      <c r="BB6" s="320"/>
      <c r="BC6" s="320"/>
      <c r="BD6" s="320"/>
      <c r="BE6" s="320"/>
      <c r="BJ6" s="409">
        <f>BJ4-BJ5</f>
        <v>599.90400000000045</v>
      </c>
      <c r="BK6" s="410">
        <f>BK4-BK5</f>
        <v>708</v>
      </c>
      <c r="BL6" s="318">
        <f>J6/BK6-1</f>
        <v>-3.1088983050848062E-2</v>
      </c>
      <c r="BM6" s="167"/>
    </row>
    <row r="7" spans="2:65" ht="15.75">
      <c r="B7" s="262" t="s">
        <v>295</v>
      </c>
      <c r="C7" s="403">
        <f>Quarts!BD140</f>
        <v>3228.4879999999998</v>
      </c>
      <c r="D7" s="403">
        <f>Quarts!BE140</f>
        <v>3257.6019999999999</v>
      </c>
      <c r="E7" s="403">
        <f>Quarts!BF140</f>
        <v>3168.0259999999998</v>
      </c>
      <c r="F7" s="403">
        <f>Quarts!BG140</f>
        <v>3114.9029999999998</v>
      </c>
      <c r="G7" s="403">
        <f>Quarts!BH140</f>
        <v>3268.6950000000002</v>
      </c>
      <c r="H7" s="403">
        <f>Quarts!BI140</f>
        <v>3287.3739999999998</v>
      </c>
      <c r="I7" s="403">
        <f>Quarts!BJ140</f>
        <v>3306.2489999999998</v>
      </c>
      <c r="J7" s="403">
        <f>Quarts!BK140</f>
        <v>3457.6759999999999</v>
      </c>
      <c r="K7" s="403">
        <f>Quarts!BL140</f>
        <v>3680.6039999999998</v>
      </c>
      <c r="L7" s="403">
        <f>Quarts!BM140</f>
        <v>3605.53</v>
      </c>
      <c r="M7" s="403">
        <f>Quarts!BN140</f>
        <v>3578.777</v>
      </c>
      <c r="N7" s="1005">
        <v>3515.9</v>
      </c>
      <c r="O7" s="403">
        <f>Quarts!BP140</f>
        <v>3983.6610000000001</v>
      </c>
      <c r="P7" s="403">
        <f>Quarts!BQ140</f>
        <v>3953.5949999999998</v>
      </c>
      <c r="Q7" s="403">
        <f>Quarts!BR140</f>
        <v>3945.53</v>
      </c>
      <c r="R7" s="403">
        <f>Quarts!BS140</f>
        <v>4053.248</v>
      </c>
      <c r="S7" s="403">
        <f>Quarts!BT140</f>
        <v>4322.3559999999998</v>
      </c>
      <c r="Y7" s="403">
        <f>Quarts!GD140</f>
        <v>4261.4744728250043</v>
      </c>
      <c r="AM7" s="248" t="s">
        <v>295</v>
      </c>
      <c r="AN7" s="320">
        <f>S7</f>
        <v>4322.3559999999998</v>
      </c>
      <c r="AO7" s="320">
        <f>Y7</f>
        <v>4261.4744728250043</v>
      </c>
      <c r="AP7" s="453">
        <f>AN7/AO7-1</f>
        <v>1.4286493457424276E-2</v>
      </c>
      <c r="AQ7" s="997">
        <f>BB7</f>
        <v>4322.3557499999997</v>
      </c>
      <c r="AR7" s="998">
        <f t="shared" ref="AR7:AR22" si="4">AN7/AQ7-1</f>
        <v>5.7838830169743005E-8</v>
      </c>
      <c r="AS7" s="320">
        <f>O7</f>
        <v>3983.6610000000001</v>
      </c>
      <c r="AT7" s="453">
        <f t="shared" si="1"/>
        <v>8.502103969188135E-2</v>
      </c>
      <c r="AU7" s="167"/>
      <c r="AV7" s="322">
        <f>AO7/AN7-1</f>
        <v>-1.4085264419449794E-2</v>
      </c>
      <c r="AW7" s="322">
        <f>AQ7/AN7-1</f>
        <v>-5.7838826839073931E-8</v>
      </c>
      <c r="AX7" s="322">
        <f>AO7/AQ7-1</f>
        <v>-1.4085207395294841E-2</v>
      </c>
      <c r="AY7" s="167"/>
      <c r="AZ7" s="167"/>
      <c r="BA7" s="664" cm="1">
        <f t="array" ref="BA7">_xll.VAData("MHSDF_MX",BA3, "EBITDA", "Consensus", "CD", "IMPL","","")</f>
        <v>4322.3557499999997</v>
      </c>
      <c r="BB7" s="707">
        <f>BA7</f>
        <v>4322.3557499999997</v>
      </c>
      <c r="BC7" s="320"/>
      <c r="BD7" s="320"/>
      <c r="BE7" s="320"/>
      <c r="BJ7" s="411">
        <f>Quarts!FO140</f>
        <v>3265.6787251928654</v>
      </c>
      <c r="BK7" s="412">
        <v>3356</v>
      </c>
      <c r="BL7" s="404">
        <f>I7/BK7-1</f>
        <v>-1.4824493444576925E-2</v>
      </c>
      <c r="BM7" s="167"/>
    </row>
    <row r="8" spans="2:65" ht="15.75">
      <c r="B8" s="249" t="s">
        <v>45</v>
      </c>
      <c r="C8" s="319">
        <f t="shared" ref="C8:I8" si="5">C7/C4</f>
        <v>0.49196562368855656</v>
      </c>
      <c r="D8" s="319">
        <f t="shared" si="5"/>
        <v>0.48757840299611477</v>
      </c>
      <c r="E8" s="319">
        <f t="shared" si="5"/>
        <v>0.47025086519956921</v>
      </c>
      <c r="F8" s="319">
        <f t="shared" si="5"/>
        <v>0.4341293129616513</v>
      </c>
      <c r="G8" s="319">
        <f t="shared" si="5"/>
        <v>0.45702028526095795</v>
      </c>
      <c r="H8" s="319">
        <f t="shared" si="5"/>
        <v>0.44582457585031321</v>
      </c>
      <c r="I8" s="319">
        <f t="shared" si="5"/>
        <v>0.44137868520442131</v>
      </c>
      <c r="J8" s="319">
        <f t="shared" ref="J8:S8" si="6">J7/J4</f>
        <v>0.44024804406763651</v>
      </c>
      <c r="K8" s="319">
        <f t="shared" si="6"/>
        <v>0.46096268029856963</v>
      </c>
      <c r="L8" s="319">
        <f t="shared" si="6"/>
        <v>0.44317325883708764</v>
      </c>
      <c r="M8" s="319">
        <f t="shared" si="6"/>
        <v>0.43559281620209261</v>
      </c>
      <c r="N8" s="319">
        <f t="shared" si="6"/>
        <v>0.41340884334416345</v>
      </c>
      <c r="O8" s="319">
        <f t="shared" si="6"/>
        <v>0.46283455683944469</v>
      </c>
      <c r="P8" s="319">
        <f t="shared" si="6"/>
        <v>0.45446133286219614</v>
      </c>
      <c r="Q8" s="319">
        <f t="shared" si="6"/>
        <v>0.44227351631842915</v>
      </c>
      <c r="R8" s="319">
        <f t="shared" si="6"/>
        <v>0.44047089793512967</v>
      </c>
      <c r="S8" s="319">
        <f t="shared" si="6"/>
        <v>0.46194849687798983</v>
      </c>
      <c r="Y8" s="319">
        <f>Y7/Y4</f>
        <v>0.4606447558739763</v>
      </c>
      <c r="AM8" s="249" t="s">
        <v>45</v>
      </c>
      <c r="AN8" s="319">
        <f>S8</f>
        <v>0.46194849687798983</v>
      </c>
      <c r="AO8" s="319">
        <f>Y8</f>
        <v>0.4606447558739763</v>
      </c>
      <c r="AP8" s="451">
        <f>AN8/AO8-1</f>
        <v>2.8302525696617398E-3</v>
      </c>
      <c r="AQ8" s="1000">
        <f>AQ7/AQ4</f>
        <v>0.46194847015943069</v>
      </c>
      <c r="AR8" s="999">
        <f t="shared" si="4"/>
        <v>5.7838830169743005E-8</v>
      </c>
      <c r="AS8" s="319">
        <f>O8</f>
        <v>0.46283455683944469</v>
      </c>
      <c r="AT8" s="451">
        <f t="shared" si="1"/>
        <v>-1.9144204951019317E-3</v>
      </c>
      <c r="AU8" s="167"/>
      <c r="AV8" s="319"/>
      <c r="AW8" s="319"/>
      <c r="AX8" s="319">
        <f>AO8/AQ8-1</f>
        <v>-2.8222071717316499E-3</v>
      </c>
      <c r="AY8" s="167"/>
      <c r="AZ8" s="167"/>
      <c r="BA8" s="664"/>
      <c r="BB8" s="320"/>
      <c r="BC8" s="320"/>
      <c r="BD8" s="320"/>
      <c r="BE8" s="320"/>
      <c r="BJ8" s="413">
        <f>BJ7/BJ4</f>
        <v>0.42751717290791719</v>
      </c>
      <c r="BK8" s="414">
        <f>BK7/BK4</f>
        <v>0.43202883625128735</v>
      </c>
      <c r="BL8" s="319"/>
      <c r="BM8" s="167"/>
    </row>
    <row r="9" spans="2:65" ht="15.75" hidden="1" outlineLevel="1">
      <c r="B9" s="248" t="s">
        <v>523</v>
      </c>
      <c r="C9" s="320">
        <f>Quarts!BD117</f>
        <v>3060.01</v>
      </c>
      <c r="D9" s="320">
        <f>Quarts!BE117</f>
        <v>3065.346</v>
      </c>
      <c r="E9" s="320">
        <f>Quarts!BF117</f>
        <v>2980.1610000000001</v>
      </c>
      <c r="F9" s="320">
        <f>Quarts!BG117</f>
        <v>2958</v>
      </c>
      <c r="G9" s="320">
        <f>Quarts!BH117</f>
        <v>3084.652</v>
      </c>
      <c r="H9" s="320">
        <f>Quarts!BI117</f>
        <v>3093.5590000000002</v>
      </c>
      <c r="I9" s="320">
        <f>Quarts!BJ117</f>
        <v>3139.6759999999999</v>
      </c>
      <c r="J9" s="320">
        <f>Quarts!BK117</f>
        <v>3295.3020000000001</v>
      </c>
      <c r="K9" s="320">
        <f>Quarts!BL117</f>
        <v>3466.7629999999999</v>
      </c>
      <c r="L9" s="320">
        <f>Quarts!BM117</f>
        <v>3453.886</v>
      </c>
      <c r="M9" s="320">
        <f>Quarts!BN117</f>
        <v>3429.002</v>
      </c>
      <c r="N9" s="320">
        <f>Quarts!BO117</f>
        <v>3621.17</v>
      </c>
      <c r="O9" s="320">
        <f>Quarts!BP117</f>
        <v>3765.2433949999995</v>
      </c>
      <c r="P9" s="320">
        <f>Quarts!BQ117</f>
        <v>0</v>
      </c>
      <c r="Q9" s="320">
        <f>Quarts!BR117</f>
        <v>0</v>
      </c>
      <c r="R9" s="320">
        <f>Quarts!BS117</f>
        <v>0</v>
      </c>
      <c r="S9" s="320">
        <f>Quarts!BT117</f>
        <v>0</v>
      </c>
      <c r="Y9" s="320">
        <f>Quarts!GD117</f>
        <v>11690.481865025005</v>
      </c>
      <c r="AM9" s="248" t="s">
        <v>523</v>
      </c>
      <c r="AN9" s="320"/>
      <c r="AO9" s="320">
        <f>Y9</f>
        <v>11690.481865025005</v>
      </c>
      <c r="AP9" s="453">
        <f>AN9/AO9-1</f>
        <v>-1</v>
      </c>
      <c r="AQ9" s="997"/>
      <c r="AR9" s="998"/>
      <c r="AS9" s="320">
        <f>O9</f>
        <v>3765.2433949999995</v>
      </c>
      <c r="AT9" s="453">
        <f t="shared" si="1"/>
        <v>-1</v>
      </c>
      <c r="AU9" s="167"/>
      <c r="AV9" s="322" t="e">
        <f>AO9/AN9-1</f>
        <v>#DIV/0!</v>
      </c>
      <c r="AW9" s="322"/>
      <c r="AX9" s="322"/>
      <c r="AY9" s="167"/>
      <c r="AZ9" s="167"/>
      <c r="BA9" s="664"/>
      <c r="BB9" s="320"/>
      <c r="BC9" s="320"/>
      <c r="BD9" s="320"/>
      <c r="BE9" s="320"/>
      <c r="BJ9" s="407">
        <f>Quarts!FO117</f>
        <v>3117.109725192865</v>
      </c>
      <c r="BK9" s="408">
        <f>BK7-BK11</f>
        <v>3156</v>
      </c>
      <c r="BL9" s="321">
        <f>J9/BK9-1</f>
        <v>4.4138783269962012E-2</v>
      </c>
      <c r="BM9" s="167"/>
    </row>
    <row r="10" spans="2:65" ht="15.75" hidden="1" outlineLevel="1">
      <c r="B10" s="249" t="s">
        <v>45</v>
      </c>
      <c r="C10" s="319">
        <f>Quarts!BD118</f>
        <v>0.50813385131819622</v>
      </c>
      <c r="D10" s="319">
        <f>Quarts!BE118</f>
        <v>0.50216019182483751</v>
      </c>
      <c r="E10" s="319">
        <f>Quarts!BF118</f>
        <v>0.48587389807959752</v>
      </c>
      <c r="F10" s="319">
        <f>Quarts!BG118</f>
        <v>0.46892834495878249</v>
      </c>
      <c r="G10" s="319">
        <f>Quarts!BH118</f>
        <v>0.47336365350904852</v>
      </c>
      <c r="H10" s="319">
        <f>Quarts!BI118</f>
        <v>0.46052113295416552</v>
      </c>
      <c r="I10" s="319">
        <f>Quarts!BJ118</f>
        <v>0.45452842442163971</v>
      </c>
      <c r="J10" s="319">
        <f>Quarts!BK118</f>
        <v>0.4597280277814903</v>
      </c>
      <c r="K10" s="319">
        <f>Quarts!BL118</f>
        <v>0.47293648425785983</v>
      </c>
      <c r="L10" s="319">
        <f>Quarts!BM118</f>
        <v>0.46360842345517261</v>
      </c>
      <c r="M10" s="319">
        <f>Quarts!BN118</f>
        <v>0.45175356429270236</v>
      </c>
      <c r="N10" s="319">
        <f>Quarts!BO118</f>
        <v>0.45514007626286329</v>
      </c>
      <c r="O10" s="319">
        <f>Quarts!BP118</f>
        <v>0.47499999999999998</v>
      </c>
      <c r="P10" s="319">
        <f>Quarts!BQ118</f>
        <v>0.47499999999999998</v>
      </c>
      <c r="Q10" s="319">
        <f>Quarts!BR118</f>
        <v>0.47</v>
      </c>
      <c r="R10" s="319" t="e">
        <f>Quarts!BS118</f>
        <v>#DIV/0!</v>
      </c>
      <c r="S10" s="319" t="e">
        <f>Quarts!BT118</f>
        <v>#DIV/0!</v>
      </c>
      <c r="Y10" s="319">
        <f>Quarts!GD118</f>
        <v>1.3594153272816207</v>
      </c>
      <c r="AM10" s="249" t="s">
        <v>45</v>
      </c>
      <c r="AN10" s="319"/>
      <c r="AO10" s="319">
        <f>Y10</f>
        <v>1.3594153272816207</v>
      </c>
      <c r="AP10" s="451">
        <f>AN10/AO10-1</f>
        <v>-1</v>
      </c>
      <c r="AQ10" s="1000"/>
      <c r="AR10" s="999"/>
      <c r="AS10" s="319">
        <f>O10</f>
        <v>0.47499999999999998</v>
      </c>
      <c r="AT10" s="451">
        <f t="shared" si="1"/>
        <v>-1</v>
      </c>
      <c r="AU10" s="167"/>
      <c r="AV10" s="319" t="e">
        <f>AO10/AN10-1</f>
        <v>#DIV/0!</v>
      </c>
      <c r="AW10" s="319"/>
      <c r="AX10" s="319"/>
      <c r="AY10" s="167"/>
      <c r="AZ10" s="167"/>
      <c r="BA10" s="664"/>
      <c r="BB10" s="320"/>
      <c r="BC10" s="320"/>
      <c r="BD10" s="320"/>
      <c r="BE10" s="320"/>
      <c r="BJ10" s="413">
        <f>Quarts!FO118</f>
        <v>0.44284651955961191</v>
      </c>
      <c r="BK10" s="414">
        <f>BK9/BK5</f>
        <v>0.44702549575070821</v>
      </c>
      <c r="BL10" s="318"/>
      <c r="BM10" s="167"/>
    </row>
    <row r="11" spans="2:65" ht="15.75" hidden="1" outlineLevel="1">
      <c r="B11" s="248" t="s">
        <v>524</v>
      </c>
      <c r="C11" s="320">
        <f>C7-C9</f>
        <v>168.47799999999961</v>
      </c>
      <c r="D11" s="320">
        <f t="shared" ref="D11:I11" si="7">D7-D9</f>
        <v>192.25599999999986</v>
      </c>
      <c r="E11" s="320">
        <f t="shared" si="7"/>
        <v>187.86499999999978</v>
      </c>
      <c r="F11" s="320">
        <f t="shared" si="7"/>
        <v>156.90299999999979</v>
      </c>
      <c r="G11" s="320">
        <f t="shared" si="7"/>
        <v>184.04300000000012</v>
      </c>
      <c r="H11" s="320">
        <f t="shared" si="7"/>
        <v>193.8149999999996</v>
      </c>
      <c r="I11" s="320">
        <f t="shared" si="7"/>
        <v>166.57299999999987</v>
      </c>
      <c r="J11" s="320">
        <f t="shared" ref="J11:O11" si="8">J7-J9</f>
        <v>162.3739999999998</v>
      </c>
      <c r="K11" s="320">
        <f t="shared" si="8"/>
        <v>213.84099999999989</v>
      </c>
      <c r="L11" s="320">
        <f t="shared" si="8"/>
        <v>151.64400000000023</v>
      </c>
      <c r="M11" s="320">
        <f t="shared" si="8"/>
        <v>149.77500000000009</v>
      </c>
      <c r="N11" s="320">
        <f t="shared" si="8"/>
        <v>-105.26999999999998</v>
      </c>
      <c r="O11" s="320">
        <f t="shared" si="8"/>
        <v>218.41760500000055</v>
      </c>
      <c r="P11" s="320"/>
      <c r="Q11" s="320"/>
      <c r="R11" s="320"/>
      <c r="S11" s="320"/>
      <c r="Y11" s="320"/>
      <c r="AM11" s="260"/>
      <c r="AN11" s="449"/>
      <c r="AO11" s="449"/>
      <c r="AP11" s="452"/>
      <c r="AQ11" s="1001"/>
      <c r="AR11" s="1002"/>
      <c r="AS11" s="320"/>
      <c r="AT11" s="452"/>
      <c r="AU11" s="167"/>
      <c r="AV11" s="449"/>
      <c r="AW11" s="449"/>
      <c r="AX11" s="449"/>
      <c r="AY11" s="167"/>
      <c r="AZ11" s="167"/>
      <c r="BA11" s="664"/>
      <c r="BB11" s="320"/>
      <c r="BC11" s="320"/>
      <c r="BD11" s="320"/>
      <c r="BE11" s="320"/>
      <c r="BJ11" s="407">
        <f>BJ7-BJ9</f>
        <v>148.56900000000041</v>
      </c>
      <c r="BK11" s="408">
        <v>200</v>
      </c>
      <c r="BL11" s="321">
        <f>J11/BK11-1</f>
        <v>-0.18813000000000102</v>
      </c>
      <c r="BM11" s="167"/>
    </row>
    <row r="12" spans="2:65" ht="15.75" hidden="1" outlineLevel="1">
      <c r="B12" s="249" t="s">
        <v>45</v>
      </c>
      <c r="C12" s="319">
        <f t="shared" ref="C12:I12" si="9">C11/C6</f>
        <v>0.31178209045266969</v>
      </c>
      <c r="D12" s="319">
        <f t="shared" si="9"/>
        <v>0.33327612777295251</v>
      </c>
      <c r="E12" s="319">
        <f t="shared" si="9"/>
        <v>0.31140856160125913</v>
      </c>
      <c r="F12" s="319">
        <f t="shared" si="9"/>
        <v>0.18096021258093437</v>
      </c>
      <c r="G12" s="319">
        <f t="shared" si="9"/>
        <v>0.28949640966755047</v>
      </c>
      <c r="H12" s="319">
        <f t="shared" si="9"/>
        <v>0.29537044939162588</v>
      </c>
      <c r="I12" s="319">
        <f t="shared" si="9"/>
        <v>0.28562634498486761</v>
      </c>
      <c r="J12" s="319">
        <f t="shared" ref="J12:S12" si="10">J11/J6</f>
        <v>0.23670058849340134</v>
      </c>
      <c r="K12" s="319">
        <f t="shared" si="10"/>
        <v>0.32681909186776875</v>
      </c>
      <c r="L12" s="319">
        <f t="shared" si="10"/>
        <v>0.22115049474628309</v>
      </c>
      <c r="M12" s="319">
        <f t="shared" si="10"/>
        <v>0.23946720046814232</v>
      </c>
      <c r="N12" s="319">
        <f t="shared" si="10"/>
        <v>-0.19192692665317482</v>
      </c>
      <c r="O12" s="319">
        <f t="shared" si="10"/>
        <v>0.15452242693850282</v>
      </c>
      <c r="P12" s="319">
        <f t="shared" si="10"/>
        <v>0</v>
      </c>
      <c r="Q12" s="319">
        <f t="shared" si="10"/>
        <v>0</v>
      </c>
      <c r="R12" s="319">
        <f t="shared" si="10"/>
        <v>0</v>
      </c>
      <c r="S12" s="319">
        <f t="shared" si="10"/>
        <v>0</v>
      </c>
      <c r="Y12" s="319">
        <f>Y11/Y6</f>
        <v>0</v>
      </c>
      <c r="AM12" s="249"/>
      <c r="AN12" s="319"/>
      <c r="AO12" s="319"/>
      <c r="AP12" s="451"/>
      <c r="AQ12" s="1000"/>
      <c r="AR12" s="999"/>
      <c r="AS12" s="319"/>
      <c r="AT12" s="451"/>
      <c r="AU12" s="167"/>
      <c r="AV12" s="319"/>
      <c r="AW12" s="319"/>
      <c r="AX12" s="319"/>
      <c r="AY12" s="167"/>
      <c r="AZ12" s="167"/>
      <c r="BA12" s="664"/>
      <c r="BB12" s="320"/>
      <c r="BC12" s="320"/>
      <c r="BD12" s="320"/>
      <c r="BE12" s="320"/>
      <c r="BJ12" s="413">
        <f>BJ11/BJ6</f>
        <v>0.24765462473995889</v>
      </c>
      <c r="BK12" s="414">
        <f>BK11/BK6</f>
        <v>0.2824858757062147</v>
      </c>
      <c r="BL12" s="319"/>
      <c r="BM12" s="167"/>
    </row>
    <row r="13" spans="2:65" ht="15.75" collapsed="1">
      <c r="B13" s="248"/>
      <c r="C13" s="320"/>
      <c r="D13" s="320"/>
      <c r="E13" s="320"/>
      <c r="F13" s="320"/>
      <c r="G13" s="320"/>
      <c r="H13" s="320"/>
      <c r="I13" s="320"/>
      <c r="J13" s="320"/>
      <c r="K13" s="320"/>
      <c r="L13" s="320"/>
      <c r="M13" s="320"/>
      <c r="N13" s="320"/>
      <c r="O13" s="320"/>
      <c r="P13" s="320"/>
      <c r="Q13" s="320"/>
      <c r="R13" s="320"/>
      <c r="S13" s="320"/>
      <c r="Y13" s="320"/>
      <c r="AM13" s="248"/>
      <c r="AN13" s="320"/>
      <c r="AO13" s="320"/>
      <c r="AP13" s="453"/>
      <c r="AQ13" s="997"/>
      <c r="AR13" s="998"/>
      <c r="AS13" s="320"/>
      <c r="AT13" s="453"/>
      <c r="AU13" s="167"/>
      <c r="AV13" s="322"/>
      <c r="AW13" s="322"/>
      <c r="AX13" s="322"/>
      <c r="AY13" s="167"/>
      <c r="AZ13" s="167"/>
      <c r="BA13" s="664"/>
      <c r="BB13" s="320"/>
      <c r="BC13" s="320"/>
      <c r="BD13" s="320"/>
      <c r="BE13" s="320"/>
      <c r="BJ13" s="407"/>
      <c r="BK13" s="408"/>
      <c r="BL13" s="320"/>
      <c r="BM13" s="167"/>
    </row>
    <row r="14" spans="2:65" ht="15.75">
      <c r="B14" s="249" t="s">
        <v>46</v>
      </c>
      <c r="C14" s="317">
        <f>Quarts!BD197</f>
        <v>1788.7689999999998</v>
      </c>
      <c r="D14" s="317">
        <f>Quarts!BE197</f>
        <v>1720.8249999999998</v>
      </c>
      <c r="E14" s="317">
        <f>Quarts!BF197</f>
        <v>1574.1219999999998</v>
      </c>
      <c r="F14" s="317">
        <f>Quarts!BG197</f>
        <v>1445.0849999999998</v>
      </c>
      <c r="G14" s="317">
        <f>Quarts!BH197</f>
        <v>1433.9940000000001</v>
      </c>
      <c r="H14" s="317">
        <f>Quarts!BI197</f>
        <v>1675.8729999999998</v>
      </c>
      <c r="I14" s="317">
        <f>Quarts!BJ197</f>
        <v>1462.7429999999997</v>
      </c>
      <c r="J14" s="317">
        <f>Quarts!BK197</f>
        <v>1548.1699999999998</v>
      </c>
      <c r="K14" s="317">
        <f>Quarts!BL197</f>
        <v>1682.8679999999997</v>
      </c>
      <c r="L14" s="317">
        <f>Quarts!BM197</f>
        <v>1572.9580000000003</v>
      </c>
      <c r="M14" s="317">
        <f>Quarts!BN197</f>
        <v>1429.3020000000001</v>
      </c>
      <c r="N14" s="317">
        <f>Quarts!BO197</f>
        <v>1487.1009999999997</v>
      </c>
      <c r="O14" s="317">
        <f>Quarts!BP197</f>
        <v>1689.0500000000002</v>
      </c>
      <c r="P14" s="317">
        <f>Quarts!BQ197</f>
        <v>1620.8139999999999</v>
      </c>
      <c r="Q14" s="317">
        <f>Quarts!BR197</f>
        <v>1504.5100000000002</v>
      </c>
      <c r="R14" s="317">
        <f>Quarts!BS197</f>
        <v>1585.7640000000001</v>
      </c>
      <c r="S14" s="317">
        <f>Quarts!BT197</f>
        <v>1808.8539999999998</v>
      </c>
      <c r="Y14" s="317">
        <f>Quarts!GD197</f>
        <v>1585.7639999999988</v>
      </c>
      <c r="AM14" s="249" t="s">
        <v>46</v>
      </c>
      <c r="AN14" s="317">
        <f t="shared" ref="AN14:AN20" si="11">S14</f>
        <v>1808.8539999999998</v>
      </c>
      <c r="AO14" s="317"/>
      <c r="AP14" s="451"/>
      <c r="AQ14" s="995">
        <f t="shared" ref="AQ14:AQ20" si="12">BB14</f>
        <v>1808.85375</v>
      </c>
      <c r="AR14" s="999">
        <f t="shared" si="4"/>
        <v>1.3820907285300166E-7</v>
      </c>
      <c r="AS14" s="317">
        <f t="shared" ref="AS14:AS20" si="13">O14</f>
        <v>1689.0500000000002</v>
      </c>
      <c r="AT14" s="451">
        <f t="shared" si="1"/>
        <v>7.0929812616559396E-2</v>
      </c>
      <c r="AU14" s="167"/>
      <c r="AV14" s="319">
        <f t="shared" ref="AV14:AV20" si="14">AO14/AN14-1</f>
        <v>-1</v>
      </c>
      <c r="AW14" s="319">
        <f t="shared" ref="AW14:AW20" si="15">AQ14/AN14-1</f>
        <v>-1.3820905375716563E-7</v>
      </c>
      <c r="AX14" s="319">
        <f t="shared" ref="AX14:AX20" si="16">AO14/AQ14-1</f>
        <v>-1</v>
      </c>
      <c r="AY14" s="167"/>
      <c r="AZ14" s="167"/>
      <c r="BA14" s="664" cm="1">
        <f t="array" ref="BA14">_xll.VAData("MHSDF_MX", BA3, "Operating income/(loss)", "Consensus", "CD", "IMPL","","")</f>
        <v>1808.85375</v>
      </c>
      <c r="BB14" s="707">
        <f>BA14</f>
        <v>1808.85375</v>
      </c>
      <c r="BC14" s="320"/>
      <c r="BD14" s="320"/>
      <c r="BE14" s="320"/>
      <c r="BJ14" s="409">
        <f>Quarts!FO197</f>
        <v>1380.7846572574733</v>
      </c>
      <c r="BK14" s="410">
        <v>1662.2</v>
      </c>
      <c r="BL14" s="317"/>
      <c r="BM14" s="167"/>
    </row>
    <row r="15" spans="2:65" ht="15.75">
      <c r="B15" s="248" t="s">
        <v>525</v>
      </c>
      <c r="C15" s="320">
        <f>Quarts!BD200</f>
        <v>88.037999999999982</v>
      </c>
      <c r="D15" s="320">
        <f>Quarts!BE200</f>
        <v>129.08600000000001</v>
      </c>
      <c r="E15" s="320">
        <f>Quarts!BF200</f>
        <v>416.762</v>
      </c>
      <c r="F15" s="320">
        <f>Quarts!BG200</f>
        <v>561.65</v>
      </c>
      <c r="G15" s="320">
        <f>Quarts!BH200</f>
        <v>239.06299999999999</v>
      </c>
      <c r="H15" s="320">
        <f>Quarts!BI200</f>
        <v>452.85700000000003</v>
      </c>
      <c r="I15" s="320">
        <f>Quarts!BJ200</f>
        <v>653.94100000000003</v>
      </c>
      <c r="J15" s="320">
        <f>Quarts!BK200</f>
        <v>588.45899999999995</v>
      </c>
      <c r="K15" s="320">
        <f>Quarts!BL200</f>
        <v>538.78899999999999</v>
      </c>
      <c r="L15" s="320">
        <f>Quarts!BM200</f>
        <v>668.74199999999996</v>
      </c>
      <c r="M15" s="320">
        <f>Quarts!BN200</f>
        <v>693.38199999999995</v>
      </c>
      <c r="N15" s="320">
        <f>Quarts!BO200</f>
        <v>684.00800000000004</v>
      </c>
      <c r="O15" s="320">
        <f>Quarts!BP200</f>
        <v>610.298</v>
      </c>
      <c r="P15" s="320">
        <f>Quarts!BQ200</f>
        <v>482.56200000000001</v>
      </c>
      <c r="Q15" s="320">
        <f>Quarts!BR200</f>
        <v>548.04999999999995</v>
      </c>
      <c r="R15" s="320">
        <f>Quarts!BS200</f>
        <v>475.548</v>
      </c>
      <c r="S15" s="320">
        <f>Quarts!BT200</f>
        <v>554.91399999999999</v>
      </c>
      <c r="Y15" s="320">
        <f>Quarts!GD200</f>
        <v>463.61399999999992</v>
      </c>
      <c r="AM15" s="248" t="s">
        <v>525</v>
      </c>
      <c r="AN15" s="320">
        <f t="shared" si="11"/>
        <v>554.91399999999999</v>
      </c>
      <c r="AO15" s="320"/>
      <c r="AP15" s="453"/>
      <c r="AQ15" s="997">
        <f t="shared" si="12"/>
        <v>554.74199999999996</v>
      </c>
      <c r="AR15" s="998">
        <f t="shared" si="4"/>
        <v>3.1005404314088381E-4</v>
      </c>
      <c r="AS15" s="320">
        <f t="shared" si="13"/>
        <v>610.298</v>
      </c>
      <c r="AT15" s="453">
        <f t="shared" si="1"/>
        <v>-9.0749109451448318E-2</v>
      </c>
      <c r="AU15" s="167"/>
      <c r="AV15" s="322">
        <f t="shared" si="14"/>
        <v>-1</v>
      </c>
      <c r="AW15" s="322">
        <f t="shared" si="15"/>
        <v>-3.0995793942845129E-4</v>
      </c>
      <c r="AX15" s="322">
        <f t="shared" si="16"/>
        <v>-1</v>
      </c>
      <c r="AY15" s="167"/>
      <c r="AZ15" s="167"/>
      <c r="BA15" s="664">
        <f>BD15-BC15-BE15</f>
        <v>554.74199999999996</v>
      </c>
      <c r="BB15" s="707">
        <f t="shared" ref="BB15:BB20" si="17">BA15</f>
        <v>554.74199999999996</v>
      </c>
      <c r="BC15" s="664" cm="1">
        <f t="array" ref="BC15">_xll.VAData("MHSDF_MX", BA3, "Interest Income", "Consensus", "CD", "IMPL","","")</f>
        <v>96.418999999999997</v>
      </c>
      <c r="BD15" s="664" cm="1">
        <f t="array" ref="BD15">_xll.VAData("MHSDF_MX", BA3, "Interest Expense", "Consensus", "CD", "IMPL","","")</f>
        <v>590.22299999999996</v>
      </c>
      <c r="BE15" s="664" cm="1">
        <f t="array" ref="BE15">_xll.VAData("MHSDF_MX", BA3, "Net exchange loss profit", "Consensus", "CD", "IMPL","","")</f>
        <v>-60.938000000000002</v>
      </c>
      <c r="BJ15" s="407">
        <f>Quarts!FO200</f>
        <v>558.60257845391732</v>
      </c>
      <c r="BK15" s="408">
        <v>559.6</v>
      </c>
      <c r="BL15" s="320"/>
      <c r="BM15" s="167"/>
    </row>
    <row r="16" spans="2:65" ht="15.75">
      <c r="B16" s="249" t="s">
        <v>48</v>
      </c>
      <c r="C16" s="317">
        <f>Quarts!BD202</f>
        <v>1676.5669999999998</v>
      </c>
      <c r="D16" s="317">
        <f>Quarts!BE202</f>
        <v>1591.7599999999998</v>
      </c>
      <c r="E16" s="317">
        <f>Quarts!BF202</f>
        <v>1227.492</v>
      </c>
      <c r="F16" s="317">
        <f>Quarts!BG202</f>
        <v>854.12099999999975</v>
      </c>
      <c r="G16" s="317">
        <f>Quarts!BH202</f>
        <v>1208.7270000000003</v>
      </c>
      <c r="H16" s="317">
        <f>Quarts!BI202</f>
        <v>1316.6659999999999</v>
      </c>
      <c r="I16" s="317">
        <f>Quarts!BJ202</f>
        <v>828.19899999999961</v>
      </c>
      <c r="J16" s="317">
        <f>Quarts!BK202</f>
        <v>984.68899999999996</v>
      </c>
      <c r="K16" s="317">
        <f>Quarts!BL202</f>
        <v>1164.3169999999998</v>
      </c>
      <c r="L16" s="317">
        <f>Quarts!BM202</f>
        <v>913.95300000000043</v>
      </c>
      <c r="M16" s="317">
        <f>Quarts!BN202</f>
        <v>786.02200000000028</v>
      </c>
      <c r="N16" s="317">
        <f>Quarts!BO202</f>
        <v>808.61599999999953</v>
      </c>
      <c r="O16" s="317">
        <f>Quarts!BP202</f>
        <v>1107.9360000000001</v>
      </c>
      <c r="P16" s="317">
        <f>Quarts!BQ202</f>
        <v>1174.4949999999999</v>
      </c>
      <c r="Q16" s="317">
        <f>Quarts!BR202</f>
        <v>956.99600000000032</v>
      </c>
      <c r="R16" s="317">
        <f>Quarts!BS202</f>
        <v>1091.4560000000001</v>
      </c>
      <c r="S16" s="317">
        <f>Quarts!BT202</f>
        <v>1276.8919999999998</v>
      </c>
      <c r="W16" s="454"/>
      <c r="Y16" s="317">
        <f>Quarts!GD202</f>
        <v>0</v>
      </c>
      <c r="AM16" s="249" t="s">
        <v>48</v>
      </c>
      <c r="AN16" s="317">
        <f t="shared" si="11"/>
        <v>1276.8919999999998</v>
      </c>
      <c r="AO16" s="317"/>
      <c r="AP16" s="451"/>
      <c r="AQ16" s="995">
        <f t="shared" si="12"/>
        <v>1277.06375</v>
      </c>
      <c r="AR16" s="999">
        <f t="shared" si="4"/>
        <v>-1.3448819606709517E-4</v>
      </c>
      <c r="AS16" s="317">
        <f t="shared" si="13"/>
        <v>1107.9360000000001</v>
      </c>
      <c r="AT16" s="451">
        <f t="shared" si="1"/>
        <v>0.15249617306414787</v>
      </c>
      <c r="AU16" s="167"/>
      <c r="AV16" s="319">
        <f t="shared" si="14"/>
        <v>-1</v>
      </c>
      <c r="AW16" s="319">
        <f t="shared" si="15"/>
        <v>1.3450628557487576E-4</v>
      </c>
      <c r="AX16" s="319">
        <f t="shared" si="16"/>
        <v>-1</v>
      </c>
      <c r="AY16" s="167"/>
      <c r="AZ16" s="167"/>
      <c r="BA16" s="664" cm="1">
        <f t="array" ref="BA16">_xll.VAData("MHSDF_MX", BA3, "Income/(loss) before income taxes", "Consensus", "CD", "IMPL","","")</f>
        <v>1277.06375</v>
      </c>
      <c r="BB16" s="707">
        <f t="shared" si="17"/>
        <v>1277.06375</v>
      </c>
      <c r="BC16" s="320"/>
      <c r="BD16" s="320"/>
      <c r="BE16" s="320"/>
      <c r="BJ16" s="409">
        <f>Quarts!FO202</f>
        <v>845.33907880355594</v>
      </c>
      <c r="BK16" s="410">
        <v>1117.5</v>
      </c>
      <c r="BL16" s="317"/>
      <c r="BM16" s="167"/>
    </row>
    <row r="17" spans="2:65" ht="15.75">
      <c r="B17" s="248" t="s">
        <v>511</v>
      </c>
      <c r="C17" s="320">
        <f>Quarts!BD204</f>
        <v>452.673</v>
      </c>
      <c r="D17" s="320">
        <f>Quarts!BE204</f>
        <v>515.87400000000002</v>
      </c>
      <c r="E17" s="320">
        <f>Quarts!BF204</f>
        <v>374.47199999999998</v>
      </c>
      <c r="F17" s="320">
        <f>Quarts!BG204</f>
        <v>271.96199999999999</v>
      </c>
      <c r="G17" s="320">
        <f>Quarts!BH204</f>
        <v>362.61799999999999</v>
      </c>
      <c r="H17" s="320">
        <f>Quarts!BI204</f>
        <v>395</v>
      </c>
      <c r="I17" s="320">
        <f>Quarts!BJ204</f>
        <v>248.46</v>
      </c>
      <c r="J17" s="320">
        <f>Quarts!BK204</f>
        <v>295.40699999999998</v>
      </c>
      <c r="K17" s="320">
        <f>Quarts!BL204</f>
        <v>349.29500000000002</v>
      </c>
      <c r="L17" s="320">
        <f>Quarts!BM204</f>
        <v>274.18599999999998</v>
      </c>
      <c r="M17" s="320">
        <f>Quarts!BN204</f>
        <v>227.578</v>
      </c>
      <c r="N17" s="320">
        <f>Quarts!BO204</f>
        <v>243.483</v>
      </c>
      <c r="O17" s="320">
        <f>Quarts!BP204</f>
        <v>332.13799999999998</v>
      </c>
      <c r="P17" s="320">
        <f>Quarts!BQ204</f>
        <v>352.59100000000001</v>
      </c>
      <c r="Q17" s="320">
        <f>Quarts!BR204</f>
        <v>287.09800000000001</v>
      </c>
      <c r="R17" s="320">
        <f>Quarts!BS204</f>
        <v>327.43299999999999</v>
      </c>
      <c r="S17" s="320">
        <f>Quarts!BT204</f>
        <v>383.06700000000001</v>
      </c>
      <c r="W17" s="455"/>
      <c r="Y17" s="320">
        <f>Quarts!GD204</f>
        <v>0</v>
      </c>
      <c r="AM17" s="248" t="s">
        <v>511</v>
      </c>
      <c r="AN17" s="320">
        <f t="shared" si="11"/>
        <v>383.06700000000001</v>
      </c>
      <c r="AO17" s="320"/>
      <c r="AP17" s="453"/>
      <c r="AQ17" s="997">
        <f t="shared" si="12"/>
        <v>383.06700000000001</v>
      </c>
      <c r="AR17" s="998">
        <f t="shared" si="4"/>
        <v>0</v>
      </c>
      <c r="AS17" s="320">
        <f t="shared" si="13"/>
        <v>332.13799999999998</v>
      </c>
      <c r="AT17" s="453">
        <f t="shared" si="1"/>
        <v>0.15333686600148133</v>
      </c>
      <c r="AU17" s="167"/>
      <c r="AV17" s="322">
        <f t="shared" si="14"/>
        <v>-1</v>
      </c>
      <c r="AW17" s="322">
        <f t="shared" si="15"/>
        <v>0</v>
      </c>
      <c r="AX17" s="322">
        <f t="shared" si="16"/>
        <v>-1</v>
      </c>
      <c r="AY17" s="167"/>
      <c r="AZ17" s="167"/>
      <c r="BA17" s="664" cm="1">
        <f t="array" ref="BA17">_xll.VAData("MHSDF_MX", BA3, "Provision/(benefit) for income taxes", "Consensus", "CD", "IMPL","","")</f>
        <v>383.06700000000001</v>
      </c>
      <c r="BB17" s="707">
        <f t="shared" si="17"/>
        <v>383.06700000000001</v>
      </c>
      <c r="BC17" s="320"/>
      <c r="BD17" s="320"/>
      <c r="BE17" s="320"/>
      <c r="BJ17" s="407">
        <f>Quarts!FO204</f>
        <v>249.09063442910195</v>
      </c>
      <c r="BK17" s="408">
        <v>338.2</v>
      </c>
      <c r="BL17" s="320"/>
      <c r="BM17" s="167"/>
    </row>
    <row r="18" spans="2:65" ht="15.75">
      <c r="B18" s="249" t="s">
        <v>103</v>
      </c>
      <c r="C18" s="317">
        <f>Quarts!BD207</f>
        <v>-53.978000000000002</v>
      </c>
      <c r="D18" s="317">
        <f>Quarts!BE207</f>
        <v>-59.320999999999998</v>
      </c>
      <c r="E18" s="317">
        <f>Quarts!BF207</f>
        <v>-30.018000000000001</v>
      </c>
      <c r="F18" s="317">
        <f>Quarts!BG207</f>
        <v>-25.094000000000001</v>
      </c>
      <c r="G18" s="317">
        <f>Quarts!BH207</f>
        <v>-49.494</v>
      </c>
      <c r="H18" s="317">
        <f>Quarts!BI207</f>
        <v>-53.862000000000002</v>
      </c>
      <c r="I18" s="317">
        <f>Quarts!BJ207</f>
        <v>-48.415999999999997</v>
      </c>
      <c r="J18" s="317">
        <f>Quarts!BK207</f>
        <v>-41.360999999999997</v>
      </c>
      <c r="K18" s="317">
        <f>Quarts!BL207</f>
        <v>-13.743</v>
      </c>
      <c r="L18" s="317">
        <f>Quarts!BM207</f>
        <v>-68.438999999999993</v>
      </c>
      <c r="M18" s="317">
        <f>Quarts!BN207</f>
        <v>-58.188000000000002</v>
      </c>
      <c r="N18" s="317">
        <f>Quarts!BO207</f>
        <v>-41.356000000000002</v>
      </c>
      <c r="O18" s="317">
        <f>Quarts!BP207</f>
        <v>-52.503</v>
      </c>
      <c r="P18" s="317">
        <f>Quarts!BQ207</f>
        <v>-54.250999999999998</v>
      </c>
      <c r="Q18" s="317">
        <f>Quarts!BR207</f>
        <v>-42.073999999999998</v>
      </c>
      <c r="R18" s="317">
        <f>Quarts!BS207</f>
        <v>-43.244</v>
      </c>
      <c r="S18" s="317">
        <f>Quarts!BT207</f>
        <v>-52.725999999999999</v>
      </c>
      <c r="Y18" s="317">
        <f>Quarts!GD207</f>
        <v>0</v>
      </c>
      <c r="AM18" s="249" t="s">
        <v>103</v>
      </c>
      <c r="AN18" s="317">
        <f t="shared" si="11"/>
        <v>-52.725999999999999</v>
      </c>
      <c r="AO18" s="317"/>
      <c r="AP18" s="451"/>
      <c r="AQ18" s="995">
        <f t="shared" si="12"/>
        <v>-52.725749999999998</v>
      </c>
      <c r="AR18" s="999">
        <f t="shared" si="4"/>
        <v>4.7415162420794132E-6</v>
      </c>
      <c r="AS18" s="317">
        <f t="shared" si="13"/>
        <v>-52.503</v>
      </c>
      <c r="AT18" s="451">
        <f t="shared" si="1"/>
        <v>4.2473763403996223E-3</v>
      </c>
      <c r="AU18" s="167"/>
      <c r="AV18" s="319">
        <f t="shared" si="14"/>
        <v>-1</v>
      </c>
      <c r="AW18" s="319">
        <f t="shared" si="15"/>
        <v>-4.7414937601741869E-6</v>
      </c>
      <c r="AX18" s="451">
        <f t="shared" si="16"/>
        <v>-1</v>
      </c>
      <c r="AY18" s="167"/>
      <c r="AZ18" s="167"/>
      <c r="BA18" s="664" cm="1">
        <f t="array" ref="BA18">-_xll.VAData("MHSDF_MX", BA3, "Minority interest, net of taxes", "Consensus", "CD", "IMPL","","")</f>
        <v>-52.725749999999998</v>
      </c>
      <c r="BB18" s="707">
        <f t="shared" si="17"/>
        <v>-52.725749999999998</v>
      </c>
      <c r="BC18" s="320"/>
      <c r="BD18" s="320"/>
      <c r="BE18" s="320"/>
      <c r="BJ18" s="409">
        <f>Quarts!FO207</f>
        <v>-52.722000000000001</v>
      </c>
      <c r="BK18" s="410">
        <v>-39.5</v>
      </c>
      <c r="BL18" s="317"/>
      <c r="BM18" s="167"/>
    </row>
    <row r="19" spans="2:65" ht="15.75">
      <c r="B19" s="248" t="s">
        <v>50</v>
      </c>
      <c r="C19" s="320">
        <f>Quarts!BD208</f>
        <v>1169.9159999999997</v>
      </c>
      <c r="D19" s="320">
        <f>Quarts!BE208</f>
        <v>1016.5649999999997</v>
      </c>
      <c r="E19" s="320">
        <f>Quarts!BF208</f>
        <v>823.00199999999995</v>
      </c>
      <c r="F19" s="320">
        <f>Quarts!BG208</f>
        <v>557.06499999999971</v>
      </c>
      <c r="G19" s="320">
        <f>Quarts!BH208</f>
        <v>796.61500000000035</v>
      </c>
      <c r="H19" s="320">
        <f>Quarts!BI208</f>
        <v>867.80399999999997</v>
      </c>
      <c r="I19" s="320">
        <f>Quarts!BJ208</f>
        <v>531.32299999999964</v>
      </c>
      <c r="J19" s="320">
        <f>Quarts!BK208</f>
        <v>647.92099999999994</v>
      </c>
      <c r="K19" s="320">
        <f>Quarts!BL208</f>
        <v>879.47799999999984</v>
      </c>
      <c r="L19" s="320">
        <f>Quarts!BM208</f>
        <v>571.32800000000054</v>
      </c>
      <c r="M19" s="320">
        <f>Quarts!BN208</f>
        <v>500.25600000000031</v>
      </c>
      <c r="N19" s="320">
        <f>Quarts!BO208</f>
        <v>523.77699999999959</v>
      </c>
      <c r="O19" s="320">
        <f>Quarts!BP208</f>
        <v>723.29500000000019</v>
      </c>
      <c r="P19" s="320">
        <f>Quarts!BQ208</f>
        <v>767.65299999999991</v>
      </c>
      <c r="Q19" s="320">
        <f>Quarts!BR208</f>
        <v>627.82400000000041</v>
      </c>
      <c r="R19" s="320">
        <f>Quarts!BS208</f>
        <v>720.77900000000011</v>
      </c>
      <c r="S19" s="320">
        <f>Quarts!BT208</f>
        <v>841.09899999999982</v>
      </c>
      <c r="Y19" s="320">
        <f>Quarts!GD208</f>
        <v>0</v>
      </c>
      <c r="AM19" s="248" t="s">
        <v>50</v>
      </c>
      <c r="AN19" s="320">
        <f t="shared" si="11"/>
        <v>841.09899999999982</v>
      </c>
      <c r="AO19" s="320"/>
      <c r="AP19" s="453"/>
      <c r="AQ19" s="997">
        <f t="shared" si="12"/>
        <v>841.27099999999973</v>
      </c>
      <c r="AR19" s="998">
        <f t="shared" si="4"/>
        <v>-2.0445254858414419E-4</v>
      </c>
      <c r="AS19" s="320">
        <f t="shared" si="13"/>
        <v>723.29500000000019</v>
      </c>
      <c r="AT19" s="453">
        <f t="shared" si="1"/>
        <v>0.16287130423962504</v>
      </c>
      <c r="AU19" s="167"/>
      <c r="AV19" s="322">
        <f t="shared" si="14"/>
        <v>-1</v>
      </c>
      <c r="AW19" s="322">
        <f t="shared" si="15"/>
        <v>2.0449435797686988E-4</v>
      </c>
      <c r="AX19" s="322">
        <f t="shared" si="16"/>
        <v>-1</v>
      </c>
      <c r="AY19" s="167"/>
      <c r="AZ19" s="167"/>
      <c r="BA19" s="664" cm="1">
        <f t="array" ref="BA19">_xll.VAData("MHSDF_MX", BA3, "Net income/(loss)", "Consensus", "CD", "IMPL","","")</f>
        <v>841.27099999999973</v>
      </c>
      <c r="BB19" s="707">
        <f t="shared" si="17"/>
        <v>841.27099999999973</v>
      </c>
      <c r="BC19" s="320"/>
      <c r="BD19" s="320"/>
      <c r="BE19" s="320"/>
      <c r="BJ19" s="407">
        <f>Quarts!FO208</f>
        <v>543.52644437445406</v>
      </c>
      <c r="BK19" s="408">
        <v>739.7</v>
      </c>
      <c r="BL19" s="321">
        <f>I19/BK19-1</f>
        <v>-0.28170474516696009</v>
      </c>
      <c r="BM19" s="167"/>
    </row>
    <row r="20" spans="2:65" ht="15.75">
      <c r="B20" s="889" t="s">
        <v>147</v>
      </c>
      <c r="C20" s="890">
        <f>Quarts!BD159</f>
        <v>2340</v>
      </c>
      <c r="D20" s="890">
        <f>Quarts!BE159</f>
        <v>2796</v>
      </c>
      <c r="E20" s="890">
        <f>Quarts!BF159</f>
        <v>2744.5770000000002</v>
      </c>
      <c r="F20" s="890">
        <f>Quarts!BG159</f>
        <v>3955</v>
      </c>
      <c r="G20" s="890">
        <f>Quarts!BH159</f>
        <v>2235</v>
      </c>
      <c r="H20" s="890">
        <f>Quarts!BI159</f>
        <v>2930</v>
      </c>
      <c r="I20" s="890">
        <f>Quarts!BJ159</f>
        <v>3794</v>
      </c>
      <c r="J20" s="890">
        <f>Quarts!BK159</f>
        <v>3990</v>
      </c>
      <c r="K20" s="890">
        <f>Quarts!BL159</f>
        <v>2354</v>
      </c>
      <c r="L20" s="890">
        <f>Quarts!BM159</f>
        <v>2747.8359999999998</v>
      </c>
      <c r="M20" s="890">
        <f>Quarts!BN159</f>
        <v>2754.819</v>
      </c>
      <c r="N20" s="890">
        <f>Quarts!BO159</f>
        <v>2483</v>
      </c>
      <c r="O20" s="890">
        <f>Quarts!BP159</f>
        <v>2308</v>
      </c>
      <c r="P20" s="890">
        <f>Quarts!BQ159</f>
        <v>1910.212</v>
      </c>
      <c r="Q20" s="890">
        <f>Quarts!BR159</f>
        <v>2377</v>
      </c>
      <c r="R20" s="890">
        <f>Quarts!BS159</f>
        <v>2592.1799999999998</v>
      </c>
      <c r="S20" s="890">
        <f>Quarts!BT159</f>
        <v>1989</v>
      </c>
      <c r="Y20" s="890" t="e">
        <f>Quarts!#REF!</f>
        <v>#REF!</v>
      </c>
      <c r="AM20" s="889" t="s">
        <v>147</v>
      </c>
      <c r="AN20" s="890">
        <f t="shared" si="11"/>
        <v>1989</v>
      </c>
      <c r="AO20" s="890" t="e">
        <f>Y20</f>
        <v>#REF!</v>
      </c>
      <c r="AP20" s="891" t="e">
        <f>AN20/AO20-1</f>
        <v>#REF!</v>
      </c>
      <c r="AQ20" s="1003">
        <f t="shared" si="12"/>
        <v>1913.991125</v>
      </c>
      <c r="AR20" s="1004">
        <f t="shared" si="4"/>
        <v>3.9189771582666122E-2</v>
      </c>
      <c r="AS20" s="890">
        <f t="shared" si="13"/>
        <v>2308</v>
      </c>
      <c r="AT20" s="891">
        <f t="shared" si="1"/>
        <v>-0.13821490467937614</v>
      </c>
      <c r="AU20" s="167"/>
      <c r="AV20" s="892" t="e">
        <f t="shared" si="14"/>
        <v>#REF!</v>
      </c>
      <c r="AW20" s="892">
        <f t="shared" si="15"/>
        <v>-3.7711852689793823E-2</v>
      </c>
      <c r="AX20" s="892" t="e">
        <f t="shared" si="16"/>
        <v>#REF!</v>
      </c>
      <c r="AY20" s="167"/>
      <c r="AZ20" s="167"/>
      <c r="BA20" s="664" cm="1">
        <f t="array" ref="BA20">_xll.VAData("MHSDF_MX", BA3, "Acquisition of properties, networks and equipment", "Consensus", "CD", "IMPL","","")</f>
        <v>1913.991125</v>
      </c>
      <c r="BB20" s="707">
        <f t="shared" si="17"/>
        <v>1913.991125</v>
      </c>
      <c r="BC20" s="320"/>
      <c r="BD20" s="320"/>
      <c r="BE20" s="320"/>
      <c r="BJ20" s="415">
        <f>Quarts!FO159</f>
        <v>3718.6496038687419</v>
      </c>
      <c r="BK20" s="416">
        <v>3067</v>
      </c>
      <c r="BL20" s="890"/>
      <c r="BM20" s="167"/>
    </row>
    <row r="21" spans="2:65" ht="15.75">
      <c r="B21" s="248"/>
      <c r="C21" s="248"/>
      <c r="D21" s="248"/>
      <c r="E21" s="248"/>
      <c r="F21" s="248"/>
      <c r="G21" s="248"/>
      <c r="H21" s="248"/>
      <c r="I21" s="248"/>
      <c r="J21" s="248"/>
      <c r="K21" s="248"/>
      <c r="L21" s="248"/>
      <c r="M21" s="248"/>
      <c r="N21" s="248"/>
      <c r="O21" s="248"/>
      <c r="P21" s="248"/>
      <c r="Q21" s="248"/>
      <c r="R21" s="248"/>
      <c r="S21" s="248"/>
      <c r="W21" s="167"/>
      <c r="X21" s="166"/>
      <c r="Y21" s="248"/>
      <c r="Z21" s="167"/>
      <c r="AA21" s="167"/>
      <c r="AN21" s="167"/>
      <c r="AO21" s="167"/>
      <c r="AP21" s="167"/>
      <c r="AQ21" s="167"/>
      <c r="AS21" s="167"/>
      <c r="AT21" s="167"/>
      <c r="AU21" s="167"/>
      <c r="AV21" s="167"/>
      <c r="AW21" s="167"/>
      <c r="AX21" s="167"/>
      <c r="AY21" s="167"/>
      <c r="AZ21" s="167"/>
      <c r="BA21" s="320"/>
      <c r="BB21" s="320"/>
      <c r="BC21" s="320"/>
      <c r="BD21" s="320"/>
      <c r="BE21" s="320"/>
      <c r="BF21" s="167"/>
      <c r="BG21" s="167"/>
      <c r="BH21" s="167"/>
      <c r="BI21" s="167"/>
      <c r="BJ21" s="417"/>
      <c r="BK21" s="418"/>
      <c r="BL21" s="248"/>
      <c r="BM21" s="167"/>
    </row>
    <row r="22" spans="2:65" ht="15.75">
      <c r="B22" s="419" t="s">
        <v>526</v>
      </c>
      <c r="C22" s="249"/>
      <c r="D22" s="249"/>
      <c r="E22" s="249"/>
      <c r="F22" s="249"/>
      <c r="G22" s="249"/>
      <c r="H22" s="249"/>
      <c r="I22" s="249"/>
      <c r="J22" s="249"/>
      <c r="K22" s="249"/>
      <c r="L22" s="249"/>
      <c r="M22" s="249"/>
      <c r="N22" s="249"/>
      <c r="O22" s="249"/>
      <c r="P22" s="249"/>
      <c r="Q22" s="249"/>
      <c r="R22" s="249"/>
      <c r="S22" s="249"/>
      <c r="W22" s="167"/>
      <c r="X22" s="166"/>
      <c r="Y22" s="249"/>
      <c r="Z22" s="167"/>
      <c r="AA22" s="167"/>
      <c r="AM22" s="248" t="s">
        <v>92</v>
      </c>
      <c r="AN22" s="320">
        <f>AN7-AN20</f>
        <v>2333.3559999999998</v>
      </c>
      <c r="AO22" s="320" t="e">
        <f>AO7-AO20</f>
        <v>#REF!</v>
      </c>
      <c r="AP22" s="453" t="e">
        <f>AN22/AO22-1</f>
        <v>#REF!</v>
      </c>
      <c r="AQ22" s="320">
        <f>AQ7-AQ20</f>
        <v>2408.3646249999997</v>
      </c>
      <c r="AR22" s="990">
        <f t="shared" si="4"/>
        <v>-3.1145045156939166E-2</v>
      </c>
      <c r="AS22" s="167"/>
      <c r="AT22" s="167"/>
      <c r="AU22" s="167"/>
      <c r="AV22" s="167"/>
      <c r="AW22" s="167"/>
      <c r="AX22" s="167"/>
      <c r="AY22" s="167"/>
      <c r="AZ22" s="167"/>
      <c r="BA22" s="320"/>
      <c r="BB22" s="320"/>
      <c r="BC22" s="320"/>
      <c r="BD22" s="320"/>
      <c r="BE22" s="320"/>
      <c r="BF22" s="167"/>
      <c r="BG22" s="167"/>
      <c r="BH22" s="167"/>
      <c r="BI22" s="167"/>
      <c r="BJ22" s="420"/>
      <c r="BK22" s="421"/>
      <c r="BL22" s="249"/>
      <c r="BM22" s="167"/>
    </row>
    <row r="23" spans="2:65" ht="15.75">
      <c r="B23" s="248" t="s">
        <v>343</v>
      </c>
      <c r="C23" s="259">
        <f>Quarts!BD13</f>
        <v>2.1779999999998836</v>
      </c>
      <c r="D23" s="259">
        <f>Quarts!BE13</f>
        <v>1.4800000000000182</v>
      </c>
      <c r="E23" s="259">
        <f>Quarts!BF13</f>
        <v>48.710000000000036</v>
      </c>
      <c r="F23" s="259">
        <f>Quarts!BG13</f>
        <v>83.42699999999968</v>
      </c>
      <c r="G23" s="259">
        <f>Quarts!BH13</f>
        <v>86.297000000000025</v>
      </c>
      <c r="H23" s="259">
        <f>Quarts!BI13</f>
        <v>83.932000000000244</v>
      </c>
      <c r="I23" s="259">
        <f>Quarts!BJ13</f>
        <v>43.041999999999916</v>
      </c>
      <c r="J23" s="259">
        <f>Quarts!BK13</f>
        <v>25.204000000000178</v>
      </c>
      <c r="K23" s="259">
        <f>Quarts!BL13</f>
        <v>14.848999999999705</v>
      </c>
      <c r="L23" s="259">
        <f>Quarts!BM13</f>
        <v>-60.010999999999967</v>
      </c>
      <c r="M23" s="259">
        <f>Quarts!BN13</f>
        <v>-12.291999999999916</v>
      </c>
      <c r="N23" s="259">
        <f>Quarts!BO13</f>
        <v>-7.4789999999998145</v>
      </c>
      <c r="O23" s="259">
        <f>Quarts!BP13</f>
        <v>-20.86200000000008</v>
      </c>
      <c r="P23" s="259">
        <f>Quarts!BQ13</f>
        <v>45.125</v>
      </c>
      <c r="Q23" s="259">
        <f>Quarts!BR13</f>
        <v>120.62899999999991</v>
      </c>
      <c r="R23" s="259">
        <f>Quarts!BS13</f>
        <v>35.570000000000164</v>
      </c>
      <c r="S23" s="259">
        <f>Quarts!BT13</f>
        <v>47.49599999999964</v>
      </c>
      <c r="W23" s="167"/>
      <c r="X23" s="166"/>
      <c r="Y23" s="259">
        <f>Quarts!GD13</f>
        <v>55.108000000000175</v>
      </c>
      <c r="Z23" s="167"/>
      <c r="AA23" s="167"/>
      <c r="AN23" s="167"/>
      <c r="AO23" s="167"/>
      <c r="AP23" s="167"/>
      <c r="AQ23" s="167"/>
      <c r="AR23" s="167"/>
      <c r="AS23" s="167"/>
      <c r="AT23" s="167"/>
      <c r="AU23" s="167"/>
      <c r="AV23" s="167"/>
      <c r="AW23" s="167"/>
      <c r="AX23" s="167"/>
      <c r="AY23" s="167"/>
      <c r="AZ23" s="167"/>
      <c r="BA23" s="320"/>
      <c r="BB23" s="320"/>
      <c r="BC23" s="320"/>
      <c r="BD23" s="320"/>
      <c r="BE23" s="320"/>
      <c r="BF23" s="167"/>
      <c r="BG23" s="167"/>
      <c r="BH23" s="167"/>
      <c r="BI23" s="167"/>
      <c r="BJ23" s="422">
        <f>Quarts!FO13</f>
        <v>51.728999999999814</v>
      </c>
      <c r="BK23" s="418"/>
      <c r="BL23" s="248"/>
      <c r="BM23" s="167"/>
    </row>
    <row r="24" spans="2:65" ht="15.75">
      <c r="B24" s="249" t="s">
        <v>527</v>
      </c>
      <c r="C24" s="423">
        <f>Quarts!BD20</f>
        <v>59.403999999999996</v>
      </c>
      <c r="D24" s="423">
        <f>Quarts!BE20</f>
        <v>19.177999999999884</v>
      </c>
      <c r="E24" s="423">
        <f>Quarts!BF20</f>
        <v>100.65700000000015</v>
      </c>
      <c r="F24" s="423">
        <f>Quarts!BG20</f>
        <v>124.72799999999961</v>
      </c>
      <c r="G24" s="423">
        <f>Quarts!BH20</f>
        <v>147.30500000000029</v>
      </c>
      <c r="H24" s="423">
        <f>Quarts!BI20</f>
        <v>163.3119999999999</v>
      </c>
      <c r="I24" s="423">
        <f>Quarts!BJ20</f>
        <v>117.12700000000041</v>
      </c>
      <c r="J24" s="423">
        <f>Quarts!BK20</f>
        <v>155.94799999999941</v>
      </c>
      <c r="K24" s="423">
        <f>Quarts!BL20</f>
        <v>151.32999999999993</v>
      </c>
      <c r="L24" s="423">
        <f>Quarts!BM20</f>
        <v>90.765000000000327</v>
      </c>
      <c r="M24" s="423">
        <f>Quarts!BN20</f>
        <v>181.80000000000018</v>
      </c>
      <c r="N24" s="423">
        <f>Quarts!BO20</f>
        <v>166.5029999999997</v>
      </c>
      <c r="O24" s="423">
        <f>Quarts!BP20</f>
        <v>100.15099999999984</v>
      </c>
      <c r="P24" s="423">
        <f>Quarts!BQ20</f>
        <v>132.44500000000062</v>
      </c>
      <c r="Q24" s="423">
        <f>Quarts!BR20</f>
        <v>128.54199999999946</v>
      </c>
      <c r="R24" s="423">
        <f>Quarts!BS20</f>
        <v>132.63100000000031</v>
      </c>
      <c r="S24" s="423">
        <f>Quarts!BT20</f>
        <v>101.26299999999992</v>
      </c>
      <c r="W24" s="167"/>
      <c r="X24" s="166"/>
      <c r="Y24" s="423">
        <f>Quarts!GD20</f>
        <v>118.86200000000008</v>
      </c>
      <c r="Z24" s="167"/>
      <c r="AA24" s="167"/>
      <c r="AM24" s="167"/>
      <c r="AN24" s="167"/>
      <c r="AO24" s="167"/>
      <c r="AP24" s="167"/>
      <c r="AQ24" s="167"/>
      <c r="AR24" s="167"/>
      <c r="AS24" s="167"/>
      <c r="AT24" s="167"/>
      <c r="AU24" s="167"/>
      <c r="AV24" s="167"/>
      <c r="AW24" s="167"/>
      <c r="AX24" s="167"/>
      <c r="AY24" s="167"/>
      <c r="AZ24" s="320"/>
      <c r="BA24" s="320"/>
      <c r="BB24" s="320"/>
      <c r="BC24" s="320"/>
      <c r="BD24" s="320"/>
      <c r="BE24" s="167"/>
      <c r="BF24" s="167"/>
      <c r="BG24" s="167"/>
      <c r="BH24" s="167"/>
      <c r="BI24" s="167"/>
      <c r="BJ24" s="424">
        <f>Quarts!FO20</f>
        <v>132.2559999999994</v>
      </c>
      <c r="BK24" s="421"/>
      <c r="BL24" s="249"/>
      <c r="BM24" s="167"/>
    </row>
    <row r="25" spans="2:65" ht="15.75">
      <c r="B25" s="425" t="s">
        <v>528</v>
      </c>
      <c r="C25" s="259"/>
      <c r="D25" s="259"/>
      <c r="E25" s="259"/>
      <c r="F25" s="259"/>
      <c r="G25" s="259"/>
      <c r="H25" s="259"/>
      <c r="I25" s="259"/>
      <c r="J25" s="259"/>
      <c r="K25" s="259"/>
      <c r="L25" s="259"/>
      <c r="M25" s="259"/>
      <c r="N25" s="259"/>
      <c r="O25" s="259"/>
      <c r="P25" s="259"/>
      <c r="Q25" s="259"/>
      <c r="R25" s="259"/>
      <c r="S25" s="259"/>
      <c r="W25" s="167"/>
      <c r="X25" s="166"/>
      <c r="Y25" s="259"/>
      <c r="Z25" s="167"/>
      <c r="AA25" s="167"/>
      <c r="AM25" s="167"/>
      <c r="AN25" s="167"/>
      <c r="AO25" s="167"/>
      <c r="AP25" s="167"/>
      <c r="AQ25" s="167"/>
      <c r="AR25" s="167"/>
      <c r="AS25" s="167"/>
      <c r="AT25" s="167"/>
      <c r="AU25" s="167"/>
      <c r="AV25" s="167"/>
      <c r="AW25" s="167"/>
      <c r="AX25" s="167"/>
      <c r="AY25" s="167"/>
      <c r="AZ25" s="320"/>
      <c r="BA25" s="320"/>
      <c r="BB25" s="320"/>
      <c r="BC25" s="320"/>
      <c r="BD25" s="320"/>
      <c r="BE25" s="167"/>
      <c r="BF25" s="167"/>
      <c r="BG25" s="167"/>
      <c r="BH25" s="167"/>
      <c r="BI25" s="167"/>
      <c r="BJ25" s="422"/>
      <c r="BK25" s="418"/>
      <c r="BL25" s="248"/>
      <c r="BM25" s="167"/>
    </row>
    <row r="26" spans="2:65" ht="15.75">
      <c r="B26" s="249" t="s">
        <v>343</v>
      </c>
      <c r="C26" s="423">
        <f>Quarts!BD50</f>
        <v>229</v>
      </c>
      <c r="D26" s="423">
        <f>Quarts!BE50</f>
        <v>230.7</v>
      </c>
      <c r="E26" s="423">
        <f>Quarts!BF50</f>
        <v>229.3</v>
      </c>
      <c r="F26" s="423">
        <f>Quarts!BG50</f>
        <v>232.8</v>
      </c>
      <c r="G26" s="423">
        <f>Quarts!BH50</f>
        <v>233.9</v>
      </c>
      <c r="H26" s="423">
        <f>Quarts!BI50</f>
        <v>232.7</v>
      </c>
      <c r="I26" s="423">
        <f>Quarts!BJ50</f>
        <v>232.4</v>
      </c>
      <c r="J26" s="423">
        <f>Quarts!BK50</f>
        <v>240.7</v>
      </c>
      <c r="K26" s="423">
        <f>Quarts!BL50</f>
        <v>238.5</v>
      </c>
      <c r="L26" s="423">
        <f>Quarts!BM50</f>
        <v>239.2</v>
      </c>
      <c r="M26" s="423">
        <f>Quarts!BN50</f>
        <v>241</v>
      </c>
      <c r="N26" s="423">
        <f>Quarts!BO50</f>
        <v>245.25</v>
      </c>
      <c r="O26" s="423">
        <f>Quarts!BP50</f>
        <v>0</v>
      </c>
      <c r="P26" s="423">
        <f>Quarts!BQ50</f>
        <v>0</v>
      </c>
      <c r="Q26" s="423">
        <f>Quarts!BR50</f>
        <v>0</v>
      </c>
      <c r="R26" s="423">
        <f>Quarts!BS50</f>
        <v>0</v>
      </c>
      <c r="S26" s="423">
        <f>Quarts!BT50</f>
        <v>0</v>
      </c>
      <c r="Y26" s="423">
        <f>Quarts!GD50</f>
        <v>0</v>
      </c>
      <c r="BJ26" s="424">
        <f>Quarts!FO50</f>
        <v>234.22639747858452</v>
      </c>
      <c r="BK26" s="421"/>
      <c r="BL26" s="249"/>
    </row>
    <row r="27" spans="2:65" ht="16.5" thickBot="1">
      <c r="B27" s="893" t="s">
        <v>529</v>
      </c>
      <c r="C27" s="894">
        <f>Quarts!BD51</f>
        <v>188.4</v>
      </c>
      <c r="D27" s="894">
        <f>Quarts!BE51</f>
        <v>194</v>
      </c>
      <c r="E27" s="894">
        <f>Quarts!BF51</f>
        <v>187.8</v>
      </c>
      <c r="F27" s="894">
        <f>Quarts!BG51</f>
        <v>188.2</v>
      </c>
      <c r="G27" s="894">
        <f>Quarts!BH51</f>
        <v>189.3</v>
      </c>
      <c r="H27" s="894">
        <f>Quarts!BI51</f>
        <v>192.3</v>
      </c>
      <c r="I27" s="894">
        <f>Quarts!BJ51</f>
        <v>193.4</v>
      </c>
      <c r="J27" s="894">
        <f>Quarts!BK51</f>
        <v>197.6</v>
      </c>
      <c r="K27" s="894">
        <f>Quarts!BL51</f>
        <v>198.7</v>
      </c>
      <c r="L27" s="894">
        <f>Quarts!BM51</f>
        <v>202.9</v>
      </c>
      <c r="M27" s="894">
        <f>Quarts!BN51</f>
        <v>205</v>
      </c>
      <c r="N27" s="894">
        <f>Quarts!BO51</f>
        <v>210</v>
      </c>
      <c r="O27" s="894">
        <f>Quarts!BP51</f>
        <v>0</v>
      </c>
      <c r="P27" s="894">
        <f>Quarts!BQ51</f>
        <v>0</v>
      </c>
      <c r="Q27" s="894">
        <f>Quarts!BR51</f>
        <v>0</v>
      </c>
      <c r="R27" s="894">
        <f>Quarts!BS51</f>
        <v>0</v>
      </c>
      <c r="S27" s="894">
        <f>Quarts!BT51</f>
        <v>0</v>
      </c>
      <c r="Y27" s="894">
        <f>Quarts!GD51</f>
        <v>0</v>
      </c>
      <c r="BJ27" s="426">
        <f>Quarts!FO51</f>
        <v>194.75301311310156</v>
      </c>
      <c r="BK27" s="427"/>
      <c r="BL27" s="893"/>
    </row>
    <row r="28" spans="2:65">
      <c r="B28" s="160"/>
    </row>
    <row r="29" spans="2:65">
      <c r="B29" s="705" t="s">
        <v>530</v>
      </c>
      <c r="C29" s="895" t="str">
        <f>Quarts!CY4</f>
        <v>1Q19</v>
      </c>
      <c r="D29" s="895" t="str">
        <f>Quarts!CZ4</f>
        <v>2Q19</v>
      </c>
      <c r="E29" s="895" t="str">
        <f>Quarts!DA4</f>
        <v>3Q19</v>
      </c>
      <c r="F29" s="895" t="str">
        <f>Quarts!DB4</f>
        <v>4Q19</v>
      </c>
      <c r="G29" s="895" t="str">
        <f>Quarts!DC4</f>
        <v>1Q20</v>
      </c>
      <c r="H29" s="895" t="str">
        <f>Quarts!DD4</f>
        <v>2Q20</v>
      </c>
      <c r="I29" s="895" t="str">
        <f>Quarts!DE4</f>
        <v>3Q20</v>
      </c>
      <c r="J29" s="895" t="str">
        <f>Quarts!DF4</f>
        <v>4Q20</v>
      </c>
      <c r="K29" s="895" t="str">
        <f>Quarts!DG4</f>
        <v>1Q21</v>
      </c>
      <c r="L29" s="895" t="str">
        <f>Quarts!DH4</f>
        <v>2Q21</v>
      </c>
      <c r="M29" s="895" t="str">
        <f>Quarts!DI4</f>
        <v>3Q21</v>
      </c>
      <c r="N29" s="895" t="str">
        <f>Quarts!DJ4</f>
        <v>4Q21</v>
      </c>
      <c r="O29" s="895" t="str">
        <f>Quarts!DK4</f>
        <v>1Q22</v>
      </c>
      <c r="P29" s="895" t="str">
        <f>Quarts!DL4</f>
        <v>2Q22</v>
      </c>
      <c r="Q29" s="895" t="str">
        <f>Quarts!DM4</f>
        <v>3Q22</v>
      </c>
      <c r="R29" s="895" t="str">
        <f>Quarts!DN4</f>
        <v>4Q22</v>
      </c>
      <c r="S29" s="895" t="str">
        <f>Quarts!DO4</f>
        <v>1Q23</v>
      </c>
      <c r="T29" s="895" t="str">
        <f>Quarts!DP4</f>
        <v>2Q23</v>
      </c>
      <c r="U29" s="895" t="str">
        <f>Quarts!DQ4</f>
        <v>3Q23</v>
      </c>
      <c r="V29" s="895" t="str">
        <f>Quarts!DR4</f>
        <v>4Q23</v>
      </c>
      <c r="W29" s="895" t="str">
        <f>Quarts!DS4</f>
        <v>1Q24</v>
      </c>
      <c r="X29" s="895" t="str">
        <f>Quarts!DT4</f>
        <v>2Q24</v>
      </c>
      <c r="Y29" s="895" t="str">
        <f>Quarts!DU4</f>
        <v>3Q24</v>
      </c>
      <c r="Z29" s="895" t="str">
        <f>Quarts!DV4</f>
        <v>4Q24</v>
      </c>
      <c r="AA29" s="895" t="str">
        <f>Quarts!DW4</f>
        <v>1Q25</v>
      </c>
      <c r="AB29" s="895" t="str">
        <f>Quarts!DX4</f>
        <v>2Q25</v>
      </c>
      <c r="AC29" s="895" t="str">
        <f>Quarts!DY4</f>
        <v>3Q25</v>
      </c>
      <c r="AD29" s="895" t="str">
        <f>Quarts!DZ4</f>
        <v>4Q25</v>
      </c>
      <c r="AE29" s="895" t="str">
        <f>Quarts!EA4</f>
        <v>1Q26</v>
      </c>
      <c r="AQ29" s="168"/>
    </row>
    <row r="30" spans="2:65">
      <c r="B30" s="160" t="str">
        <f>Quarts!B67</f>
        <v>Video</v>
      </c>
      <c r="C30" s="169">
        <f>Quarts!CY67</f>
        <v>0.10121463290468902</v>
      </c>
      <c r="D30" s="169">
        <f>Quarts!CZ67</f>
        <v>0.11936874139816256</v>
      </c>
      <c r="E30" s="169">
        <f>Quarts!DA67</f>
        <v>0.10050480615971358</v>
      </c>
      <c r="F30" s="169">
        <f>Quarts!DB67</f>
        <v>9.1636257879438743E-2</v>
      </c>
      <c r="G30" s="169">
        <f>Quarts!DC67</f>
        <v>6.7547796293370155E-2</v>
      </c>
      <c r="H30" s="169">
        <f>Quarts!DD67</f>
        <v>1.6909721287870383E-2</v>
      </c>
      <c r="I30" s="169">
        <f>Quarts!DE67</f>
        <v>2.5048897777005141E-2</v>
      </c>
      <c r="J30" s="169">
        <f>Quarts!DF67</f>
        <v>1.6341089986141366E-2</v>
      </c>
      <c r="K30" s="169">
        <f>Quarts!DG67</f>
        <v>2.1514025582938245E-3</v>
      </c>
      <c r="L30" s="169">
        <f>Quarts!DH67</f>
        <v>2.7408497154435718E-2</v>
      </c>
      <c r="M30" s="169">
        <f>Quarts!DI67</f>
        <v>1.8036152392816973E-2</v>
      </c>
      <c r="N30" s="169">
        <f>Quarts!DJ67</f>
        <v>5.3894562254654499E-2</v>
      </c>
      <c r="O30" s="169">
        <f>Quarts!DK67</f>
        <v>3.6268570385733501E-2</v>
      </c>
      <c r="P30" s="169">
        <f>Quarts!DL67</f>
        <v>4.8643730827354403E-2</v>
      </c>
      <c r="Q30" s="169">
        <f>Quarts!DM67</f>
        <v>4.7829089471333353E-2</v>
      </c>
      <c r="R30" s="169">
        <f>Quarts!DN67</f>
        <v>3.4905405240624354E-2</v>
      </c>
      <c r="S30" s="169">
        <f>Quarts!DO67</f>
        <v>7.2700624448368334E-2</v>
      </c>
      <c r="T30" s="169">
        <f>Quarts!DP67</f>
        <v>8.3019640661369909E-2</v>
      </c>
      <c r="U30" s="169">
        <f>Quarts!DQ67</f>
        <v>9.8607889166678619E-2</v>
      </c>
      <c r="V30" s="169">
        <f>Quarts!DR67</f>
        <v>0.11006967461008554</v>
      </c>
      <c r="W30" s="169">
        <f>Quarts!DS67</f>
        <v>7.5259843666011905E-2</v>
      </c>
      <c r="X30" s="169">
        <f>Quarts!DT67</f>
        <v>5.3620083762739412E-2</v>
      </c>
      <c r="Y30" s="774">
        <f>Quarts!DU67</f>
        <v>3.5776266144538216E-2</v>
      </c>
      <c r="Z30" s="774">
        <f>Quarts!DV67</f>
        <v>6.2131600243571228E-3</v>
      </c>
      <c r="AA30" s="774">
        <f>Quarts!DW67</f>
        <v>-1</v>
      </c>
      <c r="AB30" s="774">
        <f>Quarts!DX67</f>
        <v>-1</v>
      </c>
      <c r="AC30" s="774">
        <f>Quarts!DY67</f>
        <v>-1</v>
      </c>
      <c r="AD30" s="774">
        <f>Quarts!DZ67</f>
        <v>-1</v>
      </c>
      <c r="AE30" s="774" t="e">
        <f>Quarts!EA67</f>
        <v>#DIV/0!</v>
      </c>
    </row>
    <row r="31" spans="2:65">
      <c r="B31" s="160" t="str">
        <f>Quarts!B68</f>
        <v>Internet</v>
      </c>
      <c r="C31" s="169">
        <f>Quarts!CY68</f>
        <v>0.10039157377189012</v>
      </c>
      <c r="D31" s="169">
        <f>Quarts!CZ68</f>
        <v>9.6909268096738055E-2</v>
      </c>
      <c r="E31" s="169">
        <f>Quarts!DA68</f>
        <v>8.8751768397329789E-2</v>
      </c>
      <c r="F31" s="169">
        <f>Quarts!DB68</f>
        <v>8.5343079421891233E-2</v>
      </c>
      <c r="G31" s="169">
        <f>Quarts!DC68</f>
        <v>8.3463070725136257E-2</v>
      </c>
      <c r="H31" s="169">
        <f>Quarts!DD68</f>
        <v>6.2126002196344121E-2</v>
      </c>
      <c r="I31" s="169">
        <f>Quarts!DE68</f>
        <v>8.5478677991341678E-2</v>
      </c>
      <c r="J31" s="169">
        <f>Quarts!DF68</f>
        <v>0.10713325258318496</v>
      </c>
      <c r="K31" s="169">
        <f>Quarts!DG68</f>
        <v>0.13282540593314152</v>
      </c>
      <c r="L31" s="169">
        <f>Quarts!DH68</f>
        <v>0.16700440086968271</v>
      </c>
      <c r="M31" s="169">
        <f>Quarts!DI68</f>
        <v>0.14293787757847731</v>
      </c>
      <c r="N31" s="169">
        <f>Quarts!DJ68</f>
        <v>0.12876813957488809</v>
      </c>
      <c r="O31" s="169">
        <f>Quarts!DK68</f>
        <v>0.10534108301937084</v>
      </c>
      <c r="P31" s="169">
        <f>Quarts!DL68</f>
        <v>0.11886839823434037</v>
      </c>
      <c r="Q31" s="169">
        <f>Quarts!DM68</f>
        <v>8.3020919827339279E-2</v>
      </c>
      <c r="R31" s="169">
        <f>Quarts!DN68</f>
        <v>7.7800374569915842E-2</v>
      </c>
      <c r="S31" s="169">
        <f>Quarts!DO68</f>
        <v>9.5257445536249152E-2</v>
      </c>
      <c r="T31" s="169">
        <f>Quarts!DP68</f>
        <v>0.10906520015791021</v>
      </c>
      <c r="U31" s="169">
        <f>Quarts!DQ68</f>
        <v>0.17125054115765881</v>
      </c>
      <c r="V31" s="169">
        <f>Quarts!DR68</f>
        <v>0.19629860111644937</v>
      </c>
      <c r="W31" s="169">
        <f>Quarts!DS68</f>
        <v>0.19563473410171239</v>
      </c>
      <c r="X31" s="169">
        <f>Quarts!DT68</f>
        <v>0.18836336169111068</v>
      </c>
      <c r="Y31" s="774">
        <f>Quarts!DU68</f>
        <v>0.1887435400711539</v>
      </c>
      <c r="Z31" s="774">
        <f>Quarts!DV68</f>
        <v>0.19666670991418278</v>
      </c>
      <c r="AA31" s="774">
        <f>Quarts!DW68</f>
        <v>-1</v>
      </c>
      <c r="AB31" s="774">
        <f>Quarts!DX68</f>
        <v>-1</v>
      </c>
      <c r="AC31" s="774">
        <f>Quarts!DY68</f>
        <v>-1</v>
      </c>
      <c r="AD31" s="774">
        <f>Quarts!DZ68</f>
        <v>-1</v>
      </c>
      <c r="AE31" s="774" t="e">
        <f>Quarts!EA68</f>
        <v>#DIV/0!</v>
      </c>
    </row>
    <row r="32" spans="2:65">
      <c r="B32" s="705" t="str">
        <f>Quarts!B69</f>
        <v>Voice</v>
      </c>
      <c r="C32" s="896">
        <f>Quarts!CY69</f>
        <v>-4.5594728095510129E-2</v>
      </c>
      <c r="D32" s="896">
        <f>Quarts!CZ69</f>
        <v>-3.4479941566645023E-2</v>
      </c>
      <c r="E32" s="896">
        <f>Quarts!DA69</f>
        <v>-5.5875725164312717E-2</v>
      </c>
      <c r="F32" s="896">
        <f>Quarts!DB69</f>
        <v>-1.2080778805402925E-2</v>
      </c>
      <c r="G32" s="896">
        <f>Quarts!DC69</f>
        <v>0.18858184986528959</v>
      </c>
      <c r="H32" s="896">
        <f>Quarts!DD69</f>
        <v>9.9768401358484526E-2</v>
      </c>
      <c r="I32" s="896">
        <f>Quarts!DE69</f>
        <v>0.14316257588773684</v>
      </c>
      <c r="J32" s="896">
        <f>Quarts!DF69</f>
        <v>0.16464587044458412</v>
      </c>
      <c r="K32" s="896">
        <f>Quarts!DG69</f>
        <v>0.24390809140824588</v>
      </c>
      <c r="L32" s="896">
        <f>Quarts!DH69</f>
        <v>0.3224345531904933</v>
      </c>
      <c r="M32" s="896">
        <f>Quarts!DI69</f>
        <v>0.27758968985743326</v>
      </c>
      <c r="N32" s="896">
        <f>Quarts!DJ69</f>
        <v>0.26015393392927311</v>
      </c>
      <c r="O32" s="896">
        <f>Quarts!DK69</f>
        <v>0.18993549119591124</v>
      </c>
      <c r="P32" s="896">
        <f>Quarts!DL69</f>
        <v>9.8724309008630051E-2</v>
      </c>
      <c r="Q32" s="896">
        <f>Quarts!DM69</f>
        <v>-2.0757460937546379E-2</v>
      </c>
      <c r="R32" s="896">
        <f>Quarts!DN69</f>
        <v>-4.2261489980296219E-2</v>
      </c>
      <c r="S32" s="896">
        <f>Quarts!DO69</f>
        <v>-5.0049355136911777E-2</v>
      </c>
      <c r="T32" s="896">
        <f>Quarts!DP69</f>
        <v>1.3848509119047225E-2</v>
      </c>
      <c r="U32" s="896">
        <f>Quarts!DQ69</f>
        <v>0.10702415678133859</v>
      </c>
      <c r="V32" s="896">
        <f>Quarts!DR69</f>
        <v>9.8131577488858479E-2</v>
      </c>
      <c r="W32" s="896">
        <f>Quarts!DS69</f>
        <v>0.11128995405153974</v>
      </c>
      <c r="X32" s="896">
        <f>Quarts!DT69</f>
        <v>0.1176409451752285</v>
      </c>
      <c r="Y32" s="897">
        <f>Quarts!DU69</f>
        <v>0.12586111253512255</v>
      </c>
      <c r="Z32" s="897">
        <f>Quarts!DV69</f>
        <v>0.14167573568237191</v>
      </c>
      <c r="AA32" s="897">
        <f>Quarts!DW69</f>
        <v>-1</v>
      </c>
      <c r="AB32" s="897">
        <f>Quarts!DX69</f>
        <v>-1</v>
      </c>
      <c r="AC32" s="897">
        <f>Quarts!DY69</f>
        <v>-1</v>
      </c>
      <c r="AD32" s="897">
        <f>Quarts!DZ69</f>
        <v>-1</v>
      </c>
      <c r="AE32" s="897" t="e">
        <f>Quarts!EA69</f>
        <v>#DIV/0!</v>
      </c>
    </row>
    <row r="33" spans="2:43">
      <c r="B33" s="160" t="s">
        <v>531</v>
      </c>
      <c r="C33" s="169">
        <f>Quarts!CY104</f>
        <v>9.2518063498788106E-2</v>
      </c>
      <c r="D33" s="169">
        <f>Quarts!CZ104</f>
        <v>0.11523843993953453</v>
      </c>
      <c r="E33" s="169">
        <f>Quarts!DA104</f>
        <v>9.4150262390909623E-2</v>
      </c>
      <c r="F33" s="169">
        <f>Quarts!DB104</f>
        <v>7.4444788946657736E-2</v>
      </c>
      <c r="G33" s="169">
        <f>Quarts!DC104</f>
        <v>7.9387117621714909E-2</v>
      </c>
      <c r="H33" s="169">
        <f>Quarts!DD104</f>
        <v>1.350615526185317E-2</v>
      </c>
      <c r="I33" s="169">
        <f>Quarts!DE104</f>
        <v>6.7481874999999913E-2</v>
      </c>
      <c r="J33" s="169">
        <f>Quarts!DF104</f>
        <v>8.5060236050259919E-2</v>
      </c>
      <c r="K33" s="169">
        <f>Quarts!DG104</f>
        <v>8.9488805042994501E-2</v>
      </c>
      <c r="L33" s="169">
        <f>Quarts!DH104</f>
        <v>0.11933043688411837</v>
      </c>
      <c r="M33" s="169">
        <f>Quarts!DI104</f>
        <v>9.7694672021168438E-2</v>
      </c>
      <c r="N33" s="169">
        <f>Quarts!DJ104</f>
        <v>0.12241253664376783</v>
      </c>
      <c r="O33" s="169">
        <f>Quarts!DK104</f>
        <v>0.10316272509113578</v>
      </c>
      <c r="P33" s="169">
        <f>Quarts!DL104</f>
        <v>0.10106764069264051</v>
      </c>
      <c r="Q33" s="169">
        <f>Quarts!DM104</f>
        <v>9.0518041451565612E-2</v>
      </c>
      <c r="R33" s="169">
        <f>Quarts!DN104</f>
        <v>6.6835881134052588E-2</v>
      </c>
      <c r="S33" s="169">
        <f>Quarts!DO104</f>
        <v>8.2097888511479811E-2</v>
      </c>
      <c r="T33" s="169">
        <f>Quarts!DP104</f>
        <v>0.10045330199814262</v>
      </c>
      <c r="U33" s="169">
        <f>Quarts!DQ104</f>
        <v>0.12617952559748669</v>
      </c>
      <c r="V33" s="169">
        <f>Quarts!DR104</f>
        <v>0.1363249841471148</v>
      </c>
      <c r="W33" s="169">
        <f>Quarts!DS104</f>
        <v>0.12489002836358964</v>
      </c>
      <c r="X33" s="169">
        <f>Quarts!DT104</f>
        <v>0.10904161328633566</v>
      </c>
      <c r="Y33" s="169">
        <f>Quarts!DU104</f>
        <v>9.8860000353236943E-2</v>
      </c>
      <c r="Z33" s="169">
        <f>Quarts!DV104</f>
        <v>0.10996579490503411</v>
      </c>
      <c r="AA33" s="169">
        <f>Quarts!DW104</f>
        <v>8.1379448270348709E-2</v>
      </c>
      <c r="AB33" s="169">
        <f>Quarts!DX104</f>
        <v>-1</v>
      </c>
      <c r="AC33" s="169">
        <f>Quarts!DY104</f>
        <v>-1</v>
      </c>
      <c r="AD33" s="169">
        <f>Quarts!DZ104</f>
        <v>-1</v>
      </c>
      <c r="AE33" s="169">
        <f>Quarts!EA104</f>
        <v>-1</v>
      </c>
    </row>
    <row r="34" spans="2:43">
      <c r="B34" s="160"/>
    </row>
    <row r="35" spans="2:43" outlineLevel="1">
      <c r="B35" s="705" t="s">
        <v>532</v>
      </c>
    </row>
    <row r="36" spans="2:43" outlineLevel="1">
      <c r="B36" s="170" t="s">
        <v>347</v>
      </c>
    </row>
    <row r="37" spans="2:43" outlineLevel="1"/>
    <row r="38" spans="2:43" outlineLevel="1">
      <c r="B38" s="160"/>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Q38" s="171"/>
    </row>
    <row r="39" spans="2:43" outlineLevel="1">
      <c r="B39" s="705" t="s">
        <v>533</v>
      </c>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Q39" s="171"/>
    </row>
    <row r="40" spans="2:43" outlineLevel="1">
      <c r="B40" s="160" t="str">
        <f>Quarts!B76</f>
        <v xml:space="preserve"> - Metrocarrier</v>
      </c>
      <c r="C40" s="172"/>
      <c r="D40" s="172"/>
      <c r="E40" s="172"/>
      <c r="F40" s="172"/>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72"/>
      <c r="AQ40" s="172"/>
    </row>
    <row r="41" spans="2:43" outlineLevel="1">
      <c r="B41" s="160" t="str">
        <f>Quarts!B77</f>
        <v xml:space="preserve"> - MCM</v>
      </c>
      <c r="C41" s="172"/>
      <c r="D41" s="172"/>
      <c r="E41" s="172"/>
      <c r="F41" s="172"/>
      <c r="G41" s="172"/>
      <c r="H41" s="172"/>
      <c r="I41" s="172"/>
      <c r="J41" s="172"/>
      <c r="K41" s="172"/>
      <c r="L41" s="172"/>
      <c r="M41" s="172"/>
      <c r="N41" s="172"/>
      <c r="O41" s="172"/>
      <c r="P41" s="172"/>
      <c r="Q41" s="172"/>
      <c r="R41" s="172"/>
      <c r="S41" s="172"/>
      <c r="T41" s="172"/>
      <c r="U41" s="172"/>
      <c r="V41" s="172"/>
      <c r="W41" s="172"/>
      <c r="X41" s="172"/>
      <c r="Y41" s="172"/>
      <c r="Z41" s="172"/>
      <c r="AA41" s="172"/>
      <c r="AB41" s="172"/>
      <c r="AC41" s="172"/>
      <c r="AD41" s="172"/>
      <c r="AE41" s="172"/>
      <c r="AQ41" s="172"/>
    </row>
    <row r="42" spans="2:43" outlineLevel="1">
      <c r="B42" s="160" t="str">
        <f>Quarts!B79</f>
        <v xml:space="preserve"> - Ho1a</v>
      </c>
      <c r="C42" s="172"/>
      <c r="D42" s="172"/>
      <c r="E42" s="172"/>
      <c r="F42" s="172"/>
      <c r="G42" s="172"/>
      <c r="H42" s="172"/>
      <c r="I42" s="172"/>
      <c r="J42" s="172"/>
      <c r="K42" s="172"/>
      <c r="L42" s="172"/>
      <c r="M42" s="172"/>
      <c r="N42" s="172"/>
      <c r="O42" s="172"/>
      <c r="P42" s="172"/>
      <c r="Q42" s="172"/>
      <c r="R42" s="172"/>
      <c r="S42" s="172"/>
      <c r="T42" s="172"/>
      <c r="U42" s="172"/>
      <c r="V42" s="172"/>
      <c r="W42" s="172"/>
      <c r="X42" s="172"/>
      <c r="Y42" s="172"/>
      <c r="Z42" s="172"/>
      <c r="AA42" s="172"/>
      <c r="AB42" s="172"/>
      <c r="AC42" s="172"/>
      <c r="AD42" s="172"/>
      <c r="AE42" s="172"/>
      <c r="AQ42" s="172"/>
    </row>
    <row r="43" spans="2:43" outlineLevel="1">
      <c r="B43" s="705" t="str">
        <f>Quarts!B80</f>
        <v xml:space="preserve"> - PCTV</v>
      </c>
      <c r="C43" s="172"/>
      <c r="D43" s="172"/>
      <c r="E43" s="172"/>
      <c r="F43" s="172"/>
      <c r="G43" s="172"/>
      <c r="H43" s="172"/>
      <c r="I43" s="172"/>
      <c r="J43" s="172"/>
      <c r="K43" s="172"/>
      <c r="L43" s="172"/>
      <c r="M43" s="172"/>
      <c r="N43" s="172"/>
      <c r="O43" s="172"/>
      <c r="P43" s="172"/>
      <c r="Q43" s="172"/>
      <c r="R43" s="172"/>
      <c r="S43" s="172"/>
      <c r="T43" s="172"/>
      <c r="U43" s="172"/>
      <c r="V43" s="172"/>
      <c r="W43" s="172"/>
      <c r="X43" s="172"/>
      <c r="Y43" s="172"/>
      <c r="Z43" s="172"/>
      <c r="AA43" s="172"/>
      <c r="AB43" s="172"/>
      <c r="AC43" s="172"/>
      <c r="AD43" s="172"/>
      <c r="AE43" s="172"/>
      <c r="AQ43" s="172"/>
    </row>
    <row r="44" spans="2:43" outlineLevel="1">
      <c r="B44" s="160" t="s">
        <v>39</v>
      </c>
      <c r="C44" s="172"/>
      <c r="D44" s="172"/>
      <c r="E44" s="172"/>
      <c r="F44" s="172"/>
      <c r="G44" s="172"/>
      <c r="H44" s="172"/>
      <c r="I44" s="172"/>
      <c r="J44" s="172"/>
      <c r="K44" s="172"/>
      <c r="L44" s="172"/>
      <c r="M44" s="172"/>
      <c r="N44" s="172"/>
      <c r="O44" s="172"/>
      <c r="P44" s="172"/>
      <c r="Q44" s="172"/>
      <c r="R44" s="172"/>
      <c r="S44" s="172"/>
      <c r="T44" s="172"/>
      <c r="U44" s="172"/>
      <c r="V44" s="172"/>
      <c r="W44" s="172"/>
      <c r="X44" s="172"/>
      <c r="Y44" s="172"/>
      <c r="Z44" s="172"/>
      <c r="AA44" s="172"/>
      <c r="AB44" s="172"/>
      <c r="AC44" s="172"/>
      <c r="AD44" s="172"/>
      <c r="AE44" s="172"/>
      <c r="AQ44" s="172"/>
    </row>
    <row r="45" spans="2:43" outlineLevel="1"/>
    <row r="46" spans="2:43" outlineLevel="1"/>
    <row r="47" spans="2:43">
      <c r="B47" s="705" t="s">
        <v>526</v>
      </c>
      <c r="C47" s="898" t="str">
        <f t="shared" ref="C47:O47" si="18">C29</f>
        <v>1Q19</v>
      </c>
      <c r="D47" s="898" t="str">
        <f t="shared" si="18"/>
        <v>2Q19</v>
      </c>
      <c r="E47" s="898" t="str">
        <f t="shared" si="18"/>
        <v>3Q19</v>
      </c>
      <c r="F47" s="898" t="str">
        <f t="shared" si="18"/>
        <v>4Q19</v>
      </c>
      <c r="G47" s="898" t="str">
        <f t="shared" si="18"/>
        <v>1Q20</v>
      </c>
      <c r="H47" s="898" t="str">
        <f t="shared" si="18"/>
        <v>2Q20</v>
      </c>
      <c r="I47" s="898" t="str">
        <f t="shared" si="18"/>
        <v>3Q20</v>
      </c>
      <c r="J47" s="898" t="str">
        <f t="shared" si="18"/>
        <v>4Q20</v>
      </c>
      <c r="K47" s="898" t="str">
        <f t="shared" si="18"/>
        <v>1Q21</v>
      </c>
      <c r="L47" s="898" t="str">
        <f t="shared" si="18"/>
        <v>2Q21</v>
      </c>
      <c r="M47" s="898" t="str">
        <f t="shared" si="18"/>
        <v>3Q21</v>
      </c>
      <c r="N47" s="898" t="str">
        <f t="shared" si="18"/>
        <v>4Q21</v>
      </c>
      <c r="O47" s="898" t="str">
        <f t="shared" si="18"/>
        <v>1Q22</v>
      </c>
      <c r="P47" s="898" t="str">
        <f t="shared" ref="P47:AE47" si="19">P29</f>
        <v>2Q22</v>
      </c>
      <c r="Q47" s="898" t="str">
        <f t="shared" si="19"/>
        <v>3Q22</v>
      </c>
      <c r="R47" s="898" t="str">
        <f t="shared" si="19"/>
        <v>4Q22</v>
      </c>
      <c r="S47" s="898" t="str">
        <f t="shared" si="19"/>
        <v>1Q23</v>
      </c>
      <c r="T47" s="898" t="str">
        <f t="shared" si="19"/>
        <v>2Q23</v>
      </c>
      <c r="U47" s="898" t="str">
        <f t="shared" si="19"/>
        <v>3Q23</v>
      </c>
      <c r="V47" s="898" t="str">
        <f t="shared" si="19"/>
        <v>4Q23</v>
      </c>
      <c r="W47" s="898" t="str">
        <f t="shared" si="19"/>
        <v>1Q24</v>
      </c>
      <c r="X47" s="898" t="str">
        <f t="shared" si="19"/>
        <v>2Q24</v>
      </c>
      <c r="Y47" s="898" t="str">
        <f t="shared" si="19"/>
        <v>3Q24</v>
      </c>
      <c r="Z47" s="898" t="str">
        <f t="shared" si="19"/>
        <v>4Q24</v>
      </c>
      <c r="AA47" s="898" t="str">
        <f t="shared" si="19"/>
        <v>1Q25</v>
      </c>
      <c r="AB47" s="898" t="str">
        <f t="shared" si="19"/>
        <v>2Q25</v>
      </c>
      <c r="AC47" s="898" t="str">
        <f t="shared" si="19"/>
        <v>3Q25</v>
      </c>
      <c r="AD47" s="898" t="str">
        <f t="shared" si="19"/>
        <v>4Q25</v>
      </c>
      <c r="AE47" s="898" t="str">
        <f t="shared" si="19"/>
        <v>1Q26</v>
      </c>
    </row>
    <row r="48" spans="2:43">
      <c r="B48" s="160" t="s">
        <v>36</v>
      </c>
      <c r="C48" s="173">
        <f>Quarts!AR13</f>
        <v>-5.3840000000000146</v>
      </c>
      <c r="D48" s="173">
        <f>Quarts!AS13</f>
        <v>20.760999999999967</v>
      </c>
      <c r="E48" s="173">
        <f>Quarts!AT13</f>
        <v>6.4389999999998508</v>
      </c>
      <c r="F48" s="173">
        <f>Quarts!AU13</f>
        <v>0.79799999999977445</v>
      </c>
      <c r="G48" s="173">
        <f>Quarts!AV13</f>
        <v>8.705000000000382</v>
      </c>
      <c r="H48" s="173">
        <f>Quarts!AW13</f>
        <v>27.896999999999935</v>
      </c>
      <c r="I48" s="173">
        <f>Quarts!AX13</f>
        <v>100.07200000000012</v>
      </c>
      <c r="J48" s="173">
        <f>Quarts!AY13</f>
        <v>51.174999999999727</v>
      </c>
      <c r="K48" s="173">
        <f>Quarts!AZ13</f>
        <v>23.619999999999891</v>
      </c>
      <c r="L48" s="173">
        <f>Quarts!BA13</f>
        <v>21.733000000000175</v>
      </c>
      <c r="M48" s="173">
        <f>Quarts!BB13</f>
        <v>58.19399999999996</v>
      </c>
      <c r="N48" s="173">
        <f>Quarts!BC13</f>
        <v>23.626000000000204</v>
      </c>
      <c r="O48" s="173">
        <f>Quarts!BD13</f>
        <v>2.1779999999998836</v>
      </c>
      <c r="P48" s="173">
        <f>Quarts!BE13</f>
        <v>1.4800000000000182</v>
      </c>
      <c r="Q48" s="173">
        <f>Quarts!BF13</f>
        <v>48.710000000000036</v>
      </c>
      <c r="R48" s="173">
        <f>Quarts!BG13</f>
        <v>83.42699999999968</v>
      </c>
      <c r="S48" s="173">
        <f>Quarts!BH13</f>
        <v>86.297000000000025</v>
      </c>
      <c r="T48" s="173">
        <f>Quarts!BI13</f>
        <v>83.932000000000244</v>
      </c>
      <c r="U48" s="173">
        <f>Quarts!BJ13</f>
        <v>43.041999999999916</v>
      </c>
      <c r="V48" s="173">
        <f>Quarts!BK13</f>
        <v>25.204000000000178</v>
      </c>
      <c r="W48" s="173">
        <f>Quarts!BL13</f>
        <v>14.848999999999705</v>
      </c>
      <c r="X48" s="173">
        <f>Quarts!BM13</f>
        <v>-60.010999999999967</v>
      </c>
      <c r="Y48" s="173">
        <f>Quarts!BN13</f>
        <v>-12.291999999999916</v>
      </c>
      <c r="Z48" s="173">
        <f>Quarts!BO13</f>
        <v>-7.4789999999998145</v>
      </c>
      <c r="AA48" s="173">
        <f>Quarts!BP13</f>
        <v>-20.86200000000008</v>
      </c>
      <c r="AB48" s="173">
        <f>Quarts!BQ13</f>
        <v>45.125</v>
      </c>
      <c r="AC48" s="173">
        <f>Quarts!BR13</f>
        <v>120.62899999999991</v>
      </c>
      <c r="AD48" s="173">
        <f>Quarts!BS13</f>
        <v>35.570000000000164</v>
      </c>
      <c r="AE48" s="173">
        <f>Quarts!BT13</f>
        <v>47.49599999999964</v>
      </c>
    </row>
    <row r="49" spans="2:38">
      <c r="B49" s="160" t="s">
        <v>38</v>
      </c>
      <c r="C49" s="173">
        <f>Quarts!AR20</f>
        <v>11.197000000000116</v>
      </c>
      <c r="D49" s="173">
        <f>Quarts!AS20</f>
        <v>69.363000000000284</v>
      </c>
      <c r="E49" s="173">
        <f>Quarts!AT20</f>
        <v>44.036999999999807</v>
      </c>
      <c r="F49" s="173">
        <f>Quarts!AU20</f>
        <v>30.628000000000156</v>
      </c>
      <c r="G49" s="173">
        <f>Quarts!AV20</f>
        <v>48.752999999999702</v>
      </c>
      <c r="H49" s="173">
        <f>Quarts!AW20</f>
        <v>83.019000000000233</v>
      </c>
      <c r="I49" s="173">
        <f>Quarts!AX20</f>
        <v>184.5949999999998</v>
      </c>
      <c r="J49" s="173">
        <f>Quarts!AY20</f>
        <v>96.329000000000178</v>
      </c>
      <c r="K49" s="173">
        <f>Quarts!AZ20</f>
        <v>79.415999999999713</v>
      </c>
      <c r="L49" s="173">
        <f>Quarts!BA20</f>
        <v>58.160000000000309</v>
      </c>
      <c r="M49" s="173">
        <f>Quarts!BB20</f>
        <v>105.01199999999972</v>
      </c>
      <c r="N49" s="173">
        <f>Quarts!BC20</f>
        <v>80.981000000000222</v>
      </c>
      <c r="O49" s="173">
        <f>Quarts!BD20</f>
        <v>59.403999999999996</v>
      </c>
      <c r="P49" s="173">
        <f>Quarts!BE20</f>
        <v>19.177999999999884</v>
      </c>
      <c r="Q49" s="173">
        <f>Quarts!BF20</f>
        <v>100.65700000000015</v>
      </c>
      <c r="R49" s="173">
        <f>Quarts!BG20</f>
        <v>124.72799999999961</v>
      </c>
      <c r="S49" s="173">
        <f>Quarts!BH20</f>
        <v>147.30500000000029</v>
      </c>
      <c r="T49" s="173">
        <f>Quarts!BI20</f>
        <v>163.3119999999999</v>
      </c>
      <c r="U49" s="173">
        <f>Quarts!BJ20</f>
        <v>117.12700000000041</v>
      </c>
      <c r="V49" s="173">
        <f>Quarts!BK20</f>
        <v>155.94799999999941</v>
      </c>
      <c r="W49" s="173">
        <f>Quarts!BL20</f>
        <v>151.32999999999993</v>
      </c>
      <c r="X49" s="173">
        <f>Quarts!BM20</f>
        <v>90.765000000000327</v>
      </c>
      <c r="Y49" s="173">
        <f>Quarts!BN20</f>
        <v>181.80000000000018</v>
      </c>
      <c r="Z49" s="173">
        <f>Quarts!BO20</f>
        <v>166.5029999999997</v>
      </c>
      <c r="AA49" s="173">
        <f>Quarts!BP20</f>
        <v>100.15099999999984</v>
      </c>
      <c r="AB49" s="173">
        <f>Quarts!BQ20</f>
        <v>132.44500000000062</v>
      </c>
      <c r="AC49" s="173">
        <f>Quarts!BR20</f>
        <v>128.54199999999946</v>
      </c>
      <c r="AD49" s="173">
        <f>Quarts!BS20</f>
        <v>132.63100000000031</v>
      </c>
      <c r="AE49" s="173">
        <f>Quarts!BT20</f>
        <v>101.26299999999992</v>
      </c>
    </row>
    <row r="50" spans="2:38">
      <c r="B50" s="705" t="s">
        <v>40</v>
      </c>
      <c r="C50" s="899">
        <f>Quarts!AR25</f>
        <v>93.718999999999824</v>
      </c>
      <c r="D50" s="899">
        <f>Quarts!AS25</f>
        <v>81.50200000000018</v>
      </c>
      <c r="E50" s="899">
        <f>Quarts!AT25</f>
        <v>84.897999999999911</v>
      </c>
      <c r="F50" s="899">
        <f>Quarts!AU25</f>
        <v>57.538000000000011</v>
      </c>
      <c r="G50" s="899">
        <f>Quarts!AV25</f>
        <v>55.963000000000193</v>
      </c>
      <c r="H50" s="899">
        <f>Quarts!AW25</f>
        <v>81.598999999999705</v>
      </c>
      <c r="I50" s="899">
        <f>Quarts!AX25</f>
        <v>243.48100000000022</v>
      </c>
      <c r="J50" s="899">
        <f>Quarts!AY25</f>
        <v>115.21699999999964</v>
      </c>
      <c r="K50" s="899">
        <f>Quarts!AZ25</f>
        <v>100.67900000000009</v>
      </c>
      <c r="L50" s="899">
        <f>Quarts!BA25</f>
        <v>78.423000000000229</v>
      </c>
      <c r="M50" s="899">
        <f>Quarts!BB25</f>
        <v>128.63999999999987</v>
      </c>
      <c r="N50" s="899">
        <f>Quarts!BC25</f>
        <v>96.579000000000178</v>
      </c>
      <c r="O50" s="899">
        <f>Quarts!BD25</f>
        <v>58.096999999999753</v>
      </c>
      <c r="P50" s="899">
        <f>Quarts!BE25</f>
        <v>45.121000000000095</v>
      </c>
      <c r="Q50" s="899">
        <f>Quarts!BF25</f>
        <v>128.92599999999993</v>
      </c>
      <c r="R50" s="899">
        <f>Quarts!BG25</f>
        <v>140.86200000000008</v>
      </c>
      <c r="S50" s="899">
        <f>Quarts!BH25</f>
        <v>174.46199999999999</v>
      </c>
      <c r="T50" s="899">
        <f>Quarts!BI25</f>
        <v>184.279</v>
      </c>
      <c r="U50" s="899">
        <f>Quarts!BJ25</f>
        <v>143.56700000000001</v>
      </c>
      <c r="V50" s="899">
        <f>Quarts!BK25</f>
        <v>175.62199999999984</v>
      </c>
      <c r="W50" s="899">
        <f>Quarts!BL25</f>
        <v>173.11699999999973</v>
      </c>
      <c r="X50" s="899">
        <f>Quarts!BM25</f>
        <v>110.21300000000065</v>
      </c>
      <c r="Y50" s="899">
        <f>Quarts!BN25</f>
        <v>226.58299999999963</v>
      </c>
      <c r="Z50" s="899">
        <f>Quarts!BO25</f>
        <v>174.98800000000028</v>
      </c>
      <c r="AA50" s="899">
        <f>Quarts!BP25</f>
        <v>83.743999999999687</v>
      </c>
      <c r="AB50" s="899">
        <f>Quarts!BQ25</f>
        <v>133.69999999999982</v>
      </c>
      <c r="AC50" s="899">
        <f>Quarts!BR25</f>
        <v>97.944000000000415</v>
      </c>
      <c r="AD50" s="899">
        <f>Quarts!BS25</f>
        <v>56.407000000000153</v>
      </c>
      <c r="AE50" s="899">
        <f>Quarts!BT25</f>
        <v>64.944999999999709</v>
      </c>
    </row>
    <row r="51" spans="2:38">
      <c r="B51" s="160" t="s">
        <v>336</v>
      </c>
      <c r="C51" s="173">
        <f t="shared" ref="C51:O51" si="20">SUM(C48:C50)</f>
        <v>99.531999999999925</v>
      </c>
      <c r="D51" s="173">
        <f t="shared" si="20"/>
        <v>171.62600000000043</v>
      </c>
      <c r="E51" s="173">
        <f t="shared" si="20"/>
        <v>135.37399999999957</v>
      </c>
      <c r="F51" s="173">
        <f t="shared" si="20"/>
        <v>88.963999999999942</v>
      </c>
      <c r="G51" s="173">
        <f t="shared" si="20"/>
        <v>113.42100000000028</v>
      </c>
      <c r="H51" s="173">
        <f t="shared" si="20"/>
        <v>192.51499999999987</v>
      </c>
      <c r="I51" s="173">
        <f t="shared" si="20"/>
        <v>528.14800000000014</v>
      </c>
      <c r="J51" s="173">
        <f t="shared" si="20"/>
        <v>262.72099999999955</v>
      </c>
      <c r="K51" s="173">
        <f t="shared" si="20"/>
        <v>203.71499999999969</v>
      </c>
      <c r="L51" s="173">
        <f t="shared" si="20"/>
        <v>158.31600000000071</v>
      </c>
      <c r="M51" s="173">
        <f t="shared" si="20"/>
        <v>291.84599999999955</v>
      </c>
      <c r="N51" s="173">
        <f t="shared" si="20"/>
        <v>201.1860000000006</v>
      </c>
      <c r="O51" s="173">
        <f t="shared" si="20"/>
        <v>119.67899999999963</v>
      </c>
      <c r="P51" s="173">
        <f t="shared" ref="P51:AE51" si="21">SUM(P48:P50)</f>
        <v>65.778999999999996</v>
      </c>
      <c r="Q51" s="173">
        <f t="shared" si="21"/>
        <v>278.29300000000012</v>
      </c>
      <c r="R51" s="173">
        <f t="shared" si="21"/>
        <v>349.01699999999937</v>
      </c>
      <c r="S51" s="173">
        <f t="shared" si="21"/>
        <v>408.06400000000031</v>
      </c>
      <c r="T51" s="173">
        <f t="shared" si="21"/>
        <v>431.52300000000014</v>
      </c>
      <c r="U51" s="173">
        <f t="shared" si="21"/>
        <v>303.73600000000033</v>
      </c>
      <c r="V51" s="173">
        <f t="shared" si="21"/>
        <v>356.77399999999943</v>
      </c>
      <c r="W51" s="173">
        <f t="shared" si="21"/>
        <v>339.29599999999937</v>
      </c>
      <c r="X51" s="173">
        <f t="shared" si="21"/>
        <v>140.96700000000101</v>
      </c>
      <c r="Y51" s="173">
        <f t="shared" si="21"/>
        <v>396.09099999999989</v>
      </c>
      <c r="Z51" s="173">
        <f t="shared" si="21"/>
        <v>334.01200000000017</v>
      </c>
      <c r="AA51" s="173">
        <f t="shared" si="21"/>
        <v>163.03299999999945</v>
      </c>
      <c r="AB51" s="173">
        <f t="shared" si="21"/>
        <v>311.27000000000044</v>
      </c>
      <c r="AC51" s="173">
        <f t="shared" si="21"/>
        <v>347.11499999999978</v>
      </c>
      <c r="AD51" s="173">
        <f t="shared" si="21"/>
        <v>224.60800000000063</v>
      </c>
      <c r="AE51" s="173">
        <f t="shared" si="21"/>
        <v>213.70399999999927</v>
      </c>
    </row>
    <row r="52" spans="2:38">
      <c r="B52" s="160" t="s">
        <v>340</v>
      </c>
      <c r="C52" s="173">
        <f>Quarts!AR32-Quarts!AQ32</f>
        <v>-7</v>
      </c>
      <c r="D52" s="173">
        <f>Quarts!AS32-Quarts!AR32</f>
        <v>40</v>
      </c>
      <c r="E52" s="173">
        <f>Quarts!AT32-Quarts!AS32</f>
        <v>-3</v>
      </c>
      <c r="F52" s="173">
        <f>Quarts!AU32-Quarts!AT32</f>
        <v>5</v>
      </c>
      <c r="G52" s="173">
        <f>Quarts!AV32-Quarts!AU32</f>
        <v>33.760000000000218</v>
      </c>
      <c r="H52" s="173">
        <f>Quarts!AW32-Quarts!AV32</f>
        <v>45.406999999999698</v>
      </c>
      <c r="I52" s="173">
        <f>Quarts!AX32-Quarts!AW32</f>
        <v>148.47000000000025</v>
      </c>
      <c r="J52" s="173">
        <f>Quarts!AY32-Quarts!AX32</f>
        <v>76.971999999999753</v>
      </c>
      <c r="K52" s="173">
        <f>Quarts!AZ32-Quarts!AY32</f>
        <v>56.391000000000076</v>
      </c>
      <c r="L52" s="173">
        <f>Quarts!BA32-Quarts!AZ32</f>
        <v>32</v>
      </c>
      <c r="M52" s="173">
        <f>Quarts!BB32-Quarts!BA32</f>
        <v>79.768000000000029</v>
      </c>
      <c r="N52" s="173">
        <f>Quarts!BC32-Quarts!BB32</f>
        <v>52.278999999999542</v>
      </c>
      <c r="O52" s="173">
        <f>Quarts!BD32-Quarts!BC32</f>
        <v>25.953000000000429</v>
      </c>
      <c r="P52" s="173">
        <f>Quarts!BE32-Quarts!BD32</f>
        <v>11</v>
      </c>
      <c r="Q52" s="173">
        <f>Quarts!BF32-Quarts!BE32</f>
        <v>84</v>
      </c>
      <c r="R52" s="173">
        <f>Quarts!BG32-Quarts!BF32</f>
        <v>123.99399999999969</v>
      </c>
      <c r="S52" s="173">
        <f>Quarts!BH32-Quarts!BG32</f>
        <v>142.00600000000031</v>
      </c>
      <c r="T52" s="173">
        <f>Quarts!BI32-Quarts!BH32</f>
        <v>150.91899999999987</v>
      </c>
      <c r="U52" s="173">
        <f>Quarts!BJ32-Quarts!BI32</f>
        <v>106.48000000000047</v>
      </c>
      <c r="V52" s="173">
        <f>Quarts!BK32-Quarts!BJ32</f>
        <v>148.42699999999968</v>
      </c>
      <c r="W52" s="173">
        <f>Quarts!BL32-Quarts!BK32</f>
        <v>143.89900000000034</v>
      </c>
      <c r="X52" s="173">
        <f>Quarts!BM32-Quarts!BL32</f>
        <v>87.854999999999563</v>
      </c>
      <c r="Y52" s="173">
        <f>Quarts!BN32-Quarts!BM32</f>
        <v>180.3739999999998</v>
      </c>
      <c r="Z52" s="173">
        <f>Quarts!BO32-Quarts!BN32</f>
        <v>162.22500000000036</v>
      </c>
      <c r="AA52" s="173">
        <f>Quarts!BP32-Quarts!BO32</f>
        <v>93.251999999999498</v>
      </c>
      <c r="AB52" s="173">
        <f>Quarts!BQ32-Quarts!BP32</f>
        <v>129.05500000000029</v>
      </c>
      <c r="AC52" s="173">
        <f>Quarts!BR32-Quarts!BQ32</f>
        <v>121.78499999999985</v>
      </c>
      <c r="AD52" s="173">
        <f>Quarts!BS32-Quarts!BR32</f>
        <v>106.91100000000006</v>
      </c>
      <c r="AE52" s="173">
        <f>Quarts!BT32-Quarts!BS32</f>
        <v>-5971.1819999999998</v>
      </c>
    </row>
    <row r="53" spans="2:38">
      <c r="B53" s="160" t="s">
        <v>534</v>
      </c>
      <c r="C53" s="174">
        <f>Quarts!AR34</f>
        <v>2.2467930842163972</v>
      </c>
      <c r="D53" s="174">
        <f>Quarts!AS34</f>
        <v>2.2693397683397682</v>
      </c>
      <c r="E53" s="174">
        <f>Quarts!AT34</f>
        <v>2.3085840463704113</v>
      </c>
      <c r="F53" s="174">
        <f>Quarts!AU34</f>
        <v>2.3299239250275634</v>
      </c>
      <c r="G53" s="174">
        <f>Quarts!AV34</f>
        <v>2.3394173839902122</v>
      </c>
      <c r="H53" s="174">
        <f>Quarts!AW34</f>
        <v>2.3626936687772631</v>
      </c>
      <c r="I53" s="174">
        <f>Quarts!AX34</f>
        <v>2.4086935569920094</v>
      </c>
      <c r="J53" s="174">
        <f>Quarts!AY34</f>
        <v>2.4283545605474637</v>
      </c>
      <c r="K53" s="174">
        <f>Quarts!AZ34</f>
        <v>2.445095011281023</v>
      </c>
      <c r="L53" s="174">
        <f>Quarts!BA34</f>
        <v>2.465008704302412</v>
      </c>
      <c r="M53" s="174">
        <f>Quarts!BB34</f>
        <v>2.4882280587441183</v>
      </c>
      <c r="N53" s="174">
        <f>Quarts!BC34</f>
        <v>2.5053489642664775</v>
      </c>
      <c r="O53" s="174">
        <f>Quarts!BD34</f>
        <v>2.5184280928451783</v>
      </c>
      <c r="P53" s="174">
        <f>Quarts!BE34</f>
        <v>2.5275155131264913</v>
      </c>
      <c r="Q53" s="174">
        <f>Quarts!BF34</f>
        <v>2.5429534394010291</v>
      </c>
      <c r="R53" s="174">
        <f>Quarts!BG34</f>
        <v>2.550617395112408</v>
      </c>
      <c r="S53" s="174">
        <f>Quarts!BH34</f>
        <v>2.5607189427312771</v>
      </c>
      <c r="T53" s="174">
        <f>Quarts!BI34</f>
        <v>2.5703251324527243</v>
      </c>
      <c r="U53" s="174">
        <f>Quarts!BJ34</f>
        <v>2.5765884805495642</v>
      </c>
      <c r="V53" s="174">
        <f>Quarts!BK34</f>
        <v>2.5714000047717005</v>
      </c>
      <c r="W53" s="174">
        <f>Quarts!BL34</f>
        <v>2.5653631581274032</v>
      </c>
      <c r="X53" s="174">
        <f>Quarts!BM34</f>
        <v>2.5490595992722471</v>
      </c>
      <c r="Y53" s="174">
        <f>Quarts!BN34</f>
        <v>2.5371720249931222</v>
      </c>
      <c r="Z53" s="174">
        <f>Quarts!BO34</f>
        <v>2.5231180003402063</v>
      </c>
      <c r="AA53" s="174">
        <f>Quarts!BP34</f>
        <v>2.5102465853771077</v>
      </c>
      <c r="AB53" s="174">
        <f>Quarts!BQ34</f>
        <v>2.5080367631719085</v>
      </c>
      <c r="AC53" s="174">
        <f>Quarts!BR34</f>
        <v>2.5151431439645271</v>
      </c>
      <c r="AD53" s="174">
        <f>Quarts!BS34</f>
        <v>2.5077261084991211</v>
      </c>
      <c r="AE53" s="174">
        <f>Quarts!BT34</f>
        <v>0</v>
      </c>
    </row>
    <row r="54" spans="2:38">
      <c r="B54" s="160"/>
    </row>
    <row r="55" spans="2:38">
      <c r="B55" s="705" t="s">
        <v>445</v>
      </c>
      <c r="C55" s="898" t="str">
        <f t="shared" ref="C55:O55" si="22">C47</f>
        <v>1Q19</v>
      </c>
      <c r="D55" s="898" t="str">
        <f t="shared" si="22"/>
        <v>2Q19</v>
      </c>
      <c r="E55" s="898" t="str">
        <f t="shared" si="22"/>
        <v>3Q19</v>
      </c>
      <c r="F55" s="898" t="str">
        <f t="shared" si="22"/>
        <v>4Q19</v>
      </c>
      <c r="G55" s="898" t="str">
        <f t="shared" si="22"/>
        <v>1Q20</v>
      </c>
      <c r="H55" s="898" t="str">
        <f t="shared" si="22"/>
        <v>2Q20</v>
      </c>
      <c r="I55" s="898" t="str">
        <f t="shared" si="22"/>
        <v>3Q20</v>
      </c>
      <c r="J55" s="898" t="str">
        <f t="shared" si="22"/>
        <v>4Q20</v>
      </c>
      <c r="K55" s="898" t="str">
        <f t="shared" si="22"/>
        <v>1Q21</v>
      </c>
      <c r="L55" s="898" t="str">
        <f t="shared" si="22"/>
        <v>2Q21</v>
      </c>
      <c r="M55" s="898" t="str">
        <f t="shared" si="22"/>
        <v>3Q21</v>
      </c>
      <c r="N55" s="898" t="str">
        <f t="shared" si="22"/>
        <v>4Q21</v>
      </c>
      <c r="O55" s="898" t="str">
        <f t="shared" si="22"/>
        <v>1Q22</v>
      </c>
      <c r="P55" s="898" t="str">
        <f t="shared" ref="P55:AE55" si="23">P47</f>
        <v>2Q22</v>
      </c>
      <c r="Q55" s="898" t="str">
        <f t="shared" si="23"/>
        <v>3Q22</v>
      </c>
      <c r="R55" s="898" t="str">
        <f t="shared" si="23"/>
        <v>4Q22</v>
      </c>
      <c r="S55" s="898" t="str">
        <f t="shared" si="23"/>
        <v>1Q23</v>
      </c>
      <c r="T55" s="898" t="str">
        <f t="shared" si="23"/>
        <v>2Q23</v>
      </c>
      <c r="U55" s="898" t="str">
        <f t="shared" si="23"/>
        <v>3Q23</v>
      </c>
      <c r="V55" s="898" t="str">
        <f t="shared" si="23"/>
        <v>4Q23</v>
      </c>
      <c r="W55" s="898" t="str">
        <f t="shared" si="23"/>
        <v>1Q24</v>
      </c>
      <c r="X55" s="898" t="str">
        <f t="shared" si="23"/>
        <v>2Q24</v>
      </c>
      <c r="Y55" s="898" t="str">
        <f t="shared" si="23"/>
        <v>3Q24</v>
      </c>
      <c r="Z55" s="898" t="str">
        <f t="shared" si="23"/>
        <v>4Q24</v>
      </c>
      <c r="AA55" s="898" t="str">
        <f t="shared" si="23"/>
        <v>1Q25</v>
      </c>
      <c r="AB55" s="898" t="str">
        <f t="shared" si="23"/>
        <v>2Q25</v>
      </c>
      <c r="AC55" s="898" t="str">
        <f t="shared" si="23"/>
        <v>3Q25</v>
      </c>
      <c r="AD55" s="898" t="str">
        <f t="shared" si="23"/>
        <v>4Q25</v>
      </c>
      <c r="AE55" s="898" t="str">
        <f t="shared" si="23"/>
        <v>1Q26</v>
      </c>
    </row>
    <row r="56" spans="2:38">
      <c r="B56" s="160" t="str">
        <f>B48</f>
        <v>TV</v>
      </c>
      <c r="C56" s="169">
        <f>Quarts!AR38</f>
        <v>2.8000000000000001E-2</v>
      </c>
      <c r="D56" s="169">
        <f>Quarts!AS38</f>
        <v>2.8000000000000001E-2</v>
      </c>
      <c r="E56" s="169">
        <f>Quarts!AT38</f>
        <v>2.9000000000000001E-2</v>
      </c>
      <c r="F56" s="169">
        <f>Quarts!AU38</f>
        <v>2.4E-2</v>
      </c>
      <c r="G56" s="169">
        <f>Quarts!AV38</f>
        <v>2.1000000000000001E-2</v>
      </c>
      <c r="H56" s="169">
        <f>Quarts!AW38</f>
        <v>1.7999999999999999E-2</v>
      </c>
      <c r="I56" s="169">
        <f>Quarts!AX38</f>
        <v>1.7000000000000001E-2</v>
      </c>
      <c r="J56" s="169">
        <f>Quarts!AY38</f>
        <v>1.6E-2</v>
      </c>
      <c r="K56" s="169">
        <f>Quarts!AZ38</f>
        <v>1.7000000000000001E-2</v>
      </c>
      <c r="L56" s="169">
        <f>Quarts!BA38</f>
        <v>2.1999999999999999E-2</v>
      </c>
      <c r="M56" s="169">
        <f>Quarts!BB38</f>
        <v>2.3E-2</v>
      </c>
      <c r="N56" s="169">
        <f>Quarts!BC38</f>
        <v>2.1999999999999999E-2</v>
      </c>
      <c r="O56" s="169">
        <f>Quarts!BD38</f>
        <v>2.3E-2</v>
      </c>
      <c r="P56" s="169">
        <f>Quarts!BE38</f>
        <v>2.5999999999999999E-2</v>
      </c>
      <c r="Q56" s="169">
        <f>Quarts!BF38</f>
        <v>2.4E-2</v>
      </c>
      <c r="R56" s="169">
        <f>Quarts!BG38</f>
        <v>1.7999999999999999E-2</v>
      </c>
      <c r="S56" s="169">
        <f>Quarts!BH38</f>
        <v>0.02</v>
      </c>
      <c r="T56" s="169">
        <f>Quarts!BI38</f>
        <v>0.02</v>
      </c>
      <c r="U56" s="169">
        <f>Quarts!BJ38</f>
        <v>2.3E-2</v>
      </c>
      <c r="V56" s="169">
        <f>Quarts!BK38</f>
        <v>2.1999999999999999E-2</v>
      </c>
      <c r="W56" s="169">
        <f>Quarts!BL38</f>
        <v>2.1000000000000001E-2</v>
      </c>
      <c r="X56" s="169">
        <f>Quarts!BM38</f>
        <v>2.5999999999999999E-2</v>
      </c>
      <c r="Y56" s="169">
        <f>Quarts!BN38</f>
        <v>2.4E-2</v>
      </c>
      <c r="Z56" s="169">
        <f>Quarts!BO38</f>
        <v>2.1000000000000001E-2</v>
      </c>
      <c r="AA56" s="169">
        <f>Quarts!BP38</f>
        <v>2.5000000000000001E-2</v>
      </c>
      <c r="AB56" s="169">
        <f>Quarts!BQ38</f>
        <v>2.3E-2</v>
      </c>
      <c r="AC56" s="169">
        <f>Quarts!BR38</f>
        <v>2.7E-2</v>
      </c>
      <c r="AD56" s="169">
        <f>Quarts!BS38</f>
        <v>2.3E-2</v>
      </c>
      <c r="AE56" s="169">
        <f>Quarts!BT38</f>
        <v>2.4E-2</v>
      </c>
    </row>
    <row r="57" spans="2:38">
      <c r="B57" s="160" t="str">
        <f>B49</f>
        <v>Internet</v>
      </c>
      <c r="C57" s="169">
        <f>Quarts!AR39</f>
        <v>2.7E-2</v>
      </c>
      <c r="D57" s="169">
        <f>Quarts!AS39</f>
        <v>2.7E-2</v>
      </c>
      <c r="E57" s="169">
        <f>Quarts!AT39</f>
        <v>2.8000000000000001E-2</v>
      </c>
      <c r="F57" s="169">
        <f>Quarts!AU39</f>
        <v>2.3E-2</v>
      </c>
      <c r="G57" s="169">
        <f>Quarts!AV39</f>
        <v>1.9E-2</v>
      </c>
      <c r="H57" s="169">
        <f>Quarts!AW39</f>
        <v>1.6E-2</v>
      </c>
      <c r="I57" s="169">
        <f>Quarts!AX39</f>
        <v>1.4999999999999999E-2</v>
      </c>
      <c r="J57" s="169">
        <f>Quarts!AY39</f>
        <v>1.6E-2</v>
      </c>
      <c r="K57" s="169">
        <f>Quarts!AZ39</f>
        <v>1.9E-2</v>
      </c>
      <c r="L57" s="169">
        <f>Quarts!BA39</f>
        <v>0.02</v>
      </c>
      <c r="M57" s="169">
        <f>Quarts!BB39</f>
        <v>0.02</v>
      </c>
      <c r="N57" s="169">
        <f>Quarts!BC39</f>
        <v>0.02</v>
      </c>
      <c r="O57" s="169">
        <f>Quarts!BD39</f>
        <v>2.1000000000000001E-2</v>
      </c>
      <c r="P57" s="169">
        <f>Quarts!BE39</f>
        <v>2.7E-2</v>
      </c>
      <c r="Q57" s="169">
        <f>Quarts!BF39</f>
        <v>2.3E-2</v>
      </c>
      <c r="R57" s="169">
        <f>Quarts!BG39</f>
        <v>1.7000000000000001E-2</v>
      </c>
      <c r="S57" s="169">
        <f>Quarts!BH39</f>
        <v>1.9E-2</v>
      </c>
      <c r="T57" s="169">
        <f>Quarts!BI39</f>
        <v>1.9E-2</v>
      </c>
      <c r="U57" s="169">
        <f>Quarts!BJ39</f>
        <v>2.1000000000000001E-2</v>
      </c>
      <c r="V57" s="169">
        <f>Quarts!BK39</f>
        <v>1.7999999999999999E-2</v>
      </c>
      <c r="W57" s="169">
        <f>Quarts!BL39</f>
        <v>1.7999999999999999E-2</v>
      </c>
      <c r="X57" s="169">
        <f>Quarts!BM39</f>
        <v>2.1000000000000001E-2</v>
      </c>
      <c r="Y57" s="169">
        <f>Quarts!BN39</f>
        <v>0.02</v>
      </c>
      <c r="Z57" s="169">
        <f>Quarts!BO39</f>
        <v>1.7000000000000001E-2</v>
      </c>
      <c r="AA57" s="169">
        <f>Quarts!BP39</f>
        <v>2.1000000000000001E-2</v>
      </c>
      <c r="AB57" s="169">
        <f>Quarts!BQ39</f>
        <v>2.1999999999999999E-2</v>
      </c>
      <c r="AC57" s="169">
        <f>Quarts!BR39</f>
        <v>2.3E-2</v>
      </c>
      <c r="AD57" s="169">
        <f>Quarts!BS39</f>
        <v>0.02</v>
      </c>
      <c r="AE57" s="169">
        <f>Quarts!BT39</f>
        <v>0.02</v>
      </c>
    </row>
    <row r="58" spans="2:38">
      <c r="B58" s="160" t="str">
        <f>B50</f>
        <v>Voice</v>
      </c>
      <c r="C58" s="169">
        <f>Quarts!AR40</f>
        <v>3.9E-2</v>
      </c>
      <c r="D58" s="169">
        <f>Quarts!AS40</f>
        <v>3.9E-2</v>
      </c>
      <c r="E58" s="169">
        <f>Quarts!AT40</f>
        <v>3.6999999999999998E-2</v>
      </c>
      <c r="F58" s="169">
        <f>Quarts!AU40</f>
        <v>0.03</v>
      </c>
      <c r="G58" s="169">
        <f>Quarts!AV40</f>
        <v>2.5999999999999999E-2</v>
      </c>
      <c r="H58" s="169">
        <f>Quarts!AW40</f>
        <v>2.4E-2</v>
      </c>
      <c r="I58" s="169">
        <f>Quarts!AX40</f>
        <v>2.1000000000000001E-2</v>
      </c>
      <c r="J58" s="169">
        <f>Quarts!AY40</f>
        <v>2.1000000000000001E-2</v>
      </c>
      <c r="K58" s="169">
        <f>Quarts!AZ40</f>
        <v>2.1999999999999999E-2</v>
      </c>
      <c r="L58" s="169">
        <f>Quarts!BA40</f>
        <v>2.5000000000000001E-2</v>
      </c>
      <c r="M58" s="169">
        <f>Quarts!BB40</f>
        <v>2.5000000000000001E-2</v>
      </c>
      <c r="N58" s="169">
        <f>Quarts!BC40</f>
        <v>2.4E-2</v>
      </c>
      <c r="O58" s="169">
        <f>Quarts!BD40</f>
        <v>2.5000000000000001E-2</v>
      </c>
      <c r="P58" s="169">
        <f>Quarts!BE40</f>
        <v>2.9000000000000001E-2</v>
      </c>
      <c r="Q58" s="169">
        <f>Quarts!BF40</f>
        <v>2.5000000000000001E-2</v>
      </c>
      <c r="R58" s="169">
        <f>Quarts!BG40</f>
        <v>1.9E-2</v>
      </c>
      <c r="S58" s="169">
        <f>Quarts!BH40</f>
        <v>2.1000000000000001E-2</v>
      </c>
      <c r="T58" s="169">
        <f>Quarts!BI40</f>
        <v>0.02</v>
      </c>
      <c r="U58" s="169">
        <f>Quarts!BJ40</f>
        <v>2.1999999999999999E-2</v>
      </c>
      <c r="V58" s="169">
        <f>Quarts!BK40</f>
        <v>0.02</v>
      </c>
      <c r="W58" s="169">
        <f>Quarts!BL40</f>
        <v>2.1000000000000001E-2</v>
      </c>
      <c r="X58" s="169">
        <f>Quarts!BM40</f>
        <v>2.3E-2</v>
      </c>
      <c r="Y58" s="169">
        <f>Quarts!BN40</f>
        <v>2.3E-2</v>
      </c>
      <c r="Z58" s="169">
        <f>Quarts!BO40</f>
        <v>1.9E-2</v>
      </c>
      <c r="AA58" s="169">
        <f>Quarts!BP40</f>
        <v>2.5000000000000001E-2</v>
      </c>
      <c r="AB58" s="169">
        <f>Quarts!BQ40</f>
        <v>2.5000000000000001E-2</v>
      </c>
      <c r="AC58" s="169">
        <f>Quarts!BR40</f>
        <v>2.7E-2</v>
      </c>
      <c r="AD58" s="169">
        <f>Quarts!BS40</f>
        <v>2.5999999999999999E-2</v>
      </c>
      <c r="AE58" s="169">
        <f>Quarts!BT40</f>
        <v>2.1000000000000001E-2</v>
      </c>
    </row>
    <row r="59" spans="2:38">
      <c r="B59" s="160"/>
    </row>
    <row r="60" spans="2:38">
      <c r="B60" s="705" t="s">
        <v>535</v>
      </c>
      <c r="C60" s="898" t="str">
        <f t="shared" ref="C60:O60" si="24">C47</f>
        <v>1Q19</v>
      </c>
      <c r="D60" s="898" t="str">
        <f t="shared" si="24"/>
        <v>2Q19</v>
      </c>
      <c r="E60" s="898" t="str">
        <f t="shared" si="24"/>
        <v>3Q19</v>
      </c>
      <c r="F60" s="898" t="str">
        <f t="shared" si="24"/>
        <v>4Q19</v>
      </c>
      <c r="G60" s="898" t="str">
        <f t="shared" si="24"/>
        <v>1Q20</v>
      </c>
      <c r="H60" s="898" t="str">
        <f t="shared" si="24"/>
        <v>2Q20</v>
      </c>
      <c r="I60" s="898" t="str">
        <f t="shared" si="24"/>
        <v>3Q20</v>
      </c>
      <c r="J60" s="898" t="str">
        <f t="shared" si="24"/>
        <v>4Q20</v>
      </c>
      <c r="K60" s="898" t="str">
        <f t="shared" si="24"/>
        <v>1Q21</v>
      </c>
      <c r="L60" s="898" t="str">
        <f t="shared" si="24"/>
        <v>2Q21</v>
      </c>
      <c r="M60" s="898" t="str">
        <f t="shared" si="24"/>
        <v>3Q21</v>
      </c>
      <c r="N60" s="898" t="str">
        <f t="shared" si="24"/>
        <v>4Q21</v>
      </c>
      <c r="O60" s="898" t="str">
        <f t="shared" si="24"/>
        <v>1Q22</v>
      </c>
      <c r="P60" s="898" t="str">
        <f t="shared" ref="P60:AE60" si="25">P47</f>
        <v>2Q22</v>
      </c>
      <c r="Q60" s="898" t="str">
        <f t="shared" si="25"/>
        <v>3Q22</v>
      </c>
      <c r="R60" s="898" t="str">
        <f t="shared" si="25"/>
        <v>4Q22</v>
      </c>
      <c r="S60" s="898" t="str">
        <f t="shared" si="25"/>
        <v>1Q23</v>
      </c>
      <c r="T60" s="898" t="str">
        <f t="shared" si="25"/>
        <v>2Q23</v>
      </c>
      <c r="U60" s="898" t="str">
        <f t="shared" si="25"/>
        <v>3Q23</v>
      </c>
      <c r="V60" s="898" t="str">
        <f t="shared" si="25"/>
        <v>4Q23</v>
      </c>
      <c r="W60" s="898" t="str">
        <f t="shared" si="25"/>
        <v>1Q24</v>
      </c>
      <c r="X60" s="898" t="str">
        <f t="shared" si="25"/>
        <v>2Q24</v>
      </c>
      <c r="Y60" s="898" t="str">
        <f t="shared" si="25"/>
        <v>3Q24</v>
      </c>
      <c r="Z60" s="898" t="str">
        <f t="shared" si="25"/>
        <v>4Q24</v>
      </c>
      <c r="AA60" s="898" t="str">
        <f t="shared" si="25"/>
        <v>1Q25</v>
      </c>
      <c r="AB60" s="898" t="str">
        <f t="shared" si="25"/>
        <v>2Q25</v>
      </c>
      <c r="AC60" s="898" t="str">
        <f t="shared" si="25"/>
        <v>3Q25</v>
      </c>
      <c r="AD60" s="898" t="str">
        <f t="shared" si="25"/>
        <v>4Q25</v>
      </c>
      <c r="AE60" s="898" t="str">
        <f t="shared" si="25"/>
        <v>1Q26</v>
      </c>
    </row>
    <row r="61" spans="2:38">
      <c r="B61" s="160" t="s">
        <v>36</v>
      </c>
      <c r="C61" s="173">
        <f>Quarts!AR43</f>
        <v>263.59945600000003</v>
      </c>
      <c r="D61" s="173">
        <f>Quarts!AS43</f>
        <v>289.29219999999998</v>
      </c>
      <c r="E61" s="173">
        <f>Quarts!AT43</f>
        <v>286.36680699999988</v>
      </c>
      <c r="F61" s="173">
        <f>Quarts!AU43</f>
        <v>232.92599999999979</v>
      </c>
      <c r="G61" s="173">
        <f>Quarts!AV43</f>
        <v>211.86727400000038</v>
      </c>
      <c r="H61" s="173">
        <f>Quarts!AW43</f>
        <v>202.50616199999993</v>
      </c>
      <c r="I61" s="173">
        <f>Quarts!AX43</f>
        <v>266.40340000000015</v>
      </c>
      <c r="J61" s="173">
        <f>Quarts!AY43</f>
        <v>212.52565599999974</v>
      </c>
      <c r="K61" s="173">
        <f>Quarts!AZ43</f>
        <v>197.66499699999989</v>
      </c>
      <c r="L61" s="173">
        <f>Quarts!BA43</f>
        <v>248.52662200000017</v>
      </c>
      <c r="M61" s="173">
        <f>Quarts!BB43</f>
        <v>296.79599999999999</v>
      </c>
      <c r="N61" s="173">
        <f>Quarts!BC43</f>
        <v>255.6948040000002</v>
      </c>
      <c r="O61" s="173">
        <f>Quarts!BD43</f>
        <v>246.42557999999991</v>
      </c>
      <c r="P61" s="173">
        <f>Quarts!BE43</f>
        <v>277.75584400000002</v>
      </c>
      <c r="Q61" s="173">
        <f>Quarts!BF43</f>
        <v>303.84041600000006</v>
      </c>
      <c r="R61" s="173">
        <f>Quarts!BG43</f>
        <v>277.40515199999965</v>
      </c>
      <c r="S61" s="173">
        <f>Quarts!BH43</f>
        <v>306.83389999999997</v>
      </c>
      <c r="T61" s="173">
        <f>Quarts!BI43</f>
        <v>309.64672000000019</v>
      </c>
      <c r="U61" s="173">
        <f>Quarts!BJ43</f>
        <v>308.40523599999995</v>
      </c>
      <c r="V61" s="173">
        <f>Quarts!BK43</f>
        <v>281.87047600000017</v>
      </c>
      <c r="W61" s="173">
        <f>Quarts!BL43</f>
        <v>261.43666999999971</v>
      </c>
      <c r="X61" s="173">
        <f>Quarts!BM43</f>
        <v>246.44624200000004</v>
      </c>
      <c r="Y61" s="173">
        <f>Quarts!BN43</f>
        <v>266.27081600000008</v>
      </c>
      <c r="Z61" s="173">
        <f>Quarts!BO43</f>
        <v>235.48906800000017</v>
      </c>
      <c r="AA61" s="173">
        <f>Quarts!BP43</f>
        <v>267.82477499999999</v>
      </c>
      <c r="AB61" s="173">
        <f>Quarts!BQ43</f>
        <v>309.277355</v>
      </c>
      <c r="AC61" s="173">
        <f>Quarts!BR43</f>
        <v>434.37601999999993</v>
      </c>
      <c r="AD61" s="173">
        <f>Quarts!BS43</f>
        <v>311.15938100000017</v>
      </c>
      <c r="AE61" s="173">
        <f>Quarts!BT43</f>
        <v>337.62856799999969</v>
      </c>
    </row>
    <row r="62" spans="2:38">
      <c r="B62" s="160" t="s">
        <v>38</v>
      </c>
      <c r="C62" s="173">
        <f>Quarts!AR44</f>
        <v>249.53164300000012</v>
      </c>
      <c r="D62" s="173">
        <f>Quarts!AS44</f>
        <v>308.60460000000029</v>
      </c>
      <c r="E62" s="173">
        <f>Quarts!AT44</f>
        <v>297.96589199999983</v>
      </c>
      <c r="F62" s="173">
        <f>Quarts!AU44</f>
        <v>242.25100000000018</v>
      </c>
      <c r="G62" s="173">
        <f>Quarts!AV44</f>
        <v>225.3177959999997</v>
      </c>
      <c r="H62" s="173">
        <f>Quarts!AW44</f>
        <v>234.04528800000023</v>
      </c>
      <c r="I62" s="173">
        <f>Quarts!AX44</f>
        <v>329.91799999999978</v>
      </c>
      <c r="J62" s="173">
        <f>Quarts!AY44</f>
        <v>260.20076000000017</v>
      </c>
      <c r="K62" s="173">
        <f>Quarts!AZ44</f>
        <v>279.50446799999969</v>
      </c>
      <c r="L62" s="173">
        <f>Quarts!BA44</f>
        <v>273.54440000000028</v>
      </c>
      <c r="M62" s="173">
        <f>Quarts!BB44</f>
        <v>323.88599999999974</v>
      </c>
      <c r="N62" s="173">
        <f>Quarts!BC44</f>
        <v>306.1557200000002</v>
      </c>
      <c r="O62" s="173">
        <f>Quarts!BD44</f>
        <v>300.93925899999999</v>
      </c>
      <c r="P62" s="173">
        <f>Quarts!BE44</f>
        <v>334.53505699999988</v>
      </c>
      <c r="Q62" s="173">
        <f>Quarts!BF44</f>
        <v>370.61777500000017</v>
      </c>
      <c r="R62" s="173">
        <f>Quarts!BG44</f>
        <v>329.39773199999962</v>
      </c>
      <c r="S62" s="173">
        <f>Quarts!BH44</f>
        <v>383.16302000000024</v>
      </c>
      <c r="T62" s="173">
        <f>Quarts!BI44</f>
        <v>407.56640499999986</v>
      </c>
      <c r="U62" s="173">
        <f>Quarts!BJ44</f>
        <v>397.38105100000041</v>
      </c>
      <c r="V62" s="173">
        <f>Quarts!BK44</f>
        <v>402.49061599999936</v>
      </c>
      <c r="W62" s="173">
        <f>Quarts!BL44</f>
        <v>406.2938079999999</v>
      </c>
      <c r="X62" s="173">
        <f>Quarts!BM44</f>
        <v>397.7565660000003</v>
      </c>
      <c r="Y62" s="173">
        <f>Quarts!BN44</f>
        <v>479.61882000000014</v>
      </c>
      <c r="Z62" s="173">
        <f>Quarts!BO44</f>
        <v>428.92079699999971</v>
      </c>
      <c r="AA62" s="173">
        <f>Quarts!BP44</f>
        <v>434.80384999999984</v>
      </c>
      <c r="AB62" s="173">
        <f>Quarts!BQ44</f>
        <v>489.64366600000062</v>
      </c>
      <c r="AC62" s="173">
        <f>Quarts!BR44</f>
        <v>511.1156739999995</v>
      </c>
      <c r="AD62" s="173">
        <f>Quarts!BS44</f>
        <v>473.01628000000028</v>
      </c>
      <c r="AE62" s="173">
        <f>Quarts!BT44</f>
        <v>449.60613999999993</v>
      </c>
    </row>
    <row r="63" spans="2:38">
      <c r="B63" s="705" t="s">
        <v>40</v>
      </c>
      <c r="C63" s="899">
        <f>Quarts!AR45</f>
        <v>305.82607699999983</v>
      </c>
      <c r="D63" s="899">
        <f>Quarts!AS45</f>
        <v>304.57420000000013</v>
      </c>
      <c r="E63" s="899">
        <f>Quarts!AT45</f>
        <v>305.57732199999987</v>
      </c>
      <c r="F63" s="899">
        <f>Quarts!AU45</f>
        <v>244.108</v>
      </c>
      <c r="G63" s="899">
        <f>Quarts!AV45</f>
        <v>222.14496400000019</v>
      </c>
      <c r="H63" s="899">
        <f>Quarts!AW45</f>
        <v>239.02707199999975</v>
      </c>
      <c r="I63" s="899">
        <f>Quarts!AX45</f>
        <v>386.37130000000025</v>
      </c>
      <c r="J63" s="899">
        <f>Quarts!AY45</f>
        <v>273.44660299999964</v>
      </c>
      <c r="K63" s="899">
        <f>Quarts!AZ45</f>
        <v>274.04766800000004</v>
      </c>
      <c r="L63" s="899">
        <f>Quarts!BA45</f>
        <v>282.98377500000026</v>
      </c>
      <c r="M63" s="899">
        <f>Quarts!BB45</f>
        <v>339.08249999999987</v>
      </c>
      <c r="N63" s="899">
        <f>Quarts!BC45</f>
        <v>307.86588000000017</v>
      </c>
      <c r="O63" s="899">
        <f>Quarts!BD45</f>
        <v>285.43092499999977</v>
      </c>
      <c r="P63" s="899">
        <f>Quarts!BE45</f>
        <v>313.88279200000011</v>
      </c>
      <c r="Q63" s="899">
        <f>Quarts!BF45</f>
        <v>364.00127499999996</v>
      </c>
      <c r="R63" s="899">
        <f>Quarts!BG45</f>
        <v>326.86799100000007</v>
      </c>
      <c r="S63" s="899">
        <f>Quarts!BH45</f>
        <v>388.921875</v>
      </c>
      <c r="T63" s="899">
        <f>Quarts!BI45</f>
        <v>398.99421999999998</v>
      </c>
      <c r="U63" s="899">
        <f>Quarts!BJ45</f>
        <v>391.916156</v>
      </c>
      <c r="V63" s="899">
        <f>Quarts!BK45</f>
        <v>410.00797999999986</v>
      </c>
      <c r="W63" s="899">
        <f>Quarts!BL45</f>
        <v>430.28646499999974</v>
      </c>
      <c r="X63" s="899">
        <f>Quarts!BM45</f>
        <v>403.81986800000067</v>
      </c>
      <c r="Y63" s="899">
        <f>Quarts!BN45</f>
        <v>527.79456499999969</v>
      </c>
      <c r="Z63" s="899">
        <f>Quarts!BO45</f>
        <v>436.73017600000026</v>
      </c>
      <c r="AA63" s="899">
        <f>Quarts!BP45</f>
        <v>441.26569999999975</v>
      </c>
      <c r="AB63" s="899">
        <f>Quarts!BQ45</f>
        <v>497.50249999999988</v>
      </c>
      <c r="AC63" s="899">
        <f>Quarts!BR45</f>
        <v>501.68040000000042</v>
      </c>
      <c r="AD63" s="899">
        <f>Quarts!BS45</f>
        <v>452.82983200000018</v>
      </c>
      <c r="AE63" s="899">
        <f>Quarts!BT45</f>
        <v>388.6863129999997</v>
      </c>
    </row>
    <row r="64" spans="2:38">
      <c r="B64" s="160" t="s">
        <v>536</v>
      </c>
      <c r="C64" s="173">
        <f>Quarts!AR46</f>
        <v>818.957176</v>
      </c>
      <c r="D64" s="173">
        <f>Quarts!AS46</f>
        <v>902.47100000000034</v>
      </c>
      <c r="E64" s="173">
        <f>Quarts!AT46</f>
        <v>889.91002099999957</v>
      </c>
      <c r="F64" s="173">
        <f>Quarts!AU46</f>
        <v>719.28499999999997</v>
      </c>
      <c r="G64" s="173">
        <f>Quarts!AV46</f>
        <v>659.3300340000003</v>
      </c>
      <c r="H64" s="173">
        <f>Quarts!AW46</f>
        <v>675.57852199999991</v>
      </c>
      <c r="I64" s="173">
        <f>Quarts!AX46</f>
        <v>982.69270000000017</v>
      </c>
      <c r="J64" s="173">
        <f>Quarts!AY46</f>
        <v>746.17301899999961</v>
      </c>
      <c r="K64" s="173">
        <f>Quarts!AZ46</f>
        <v>751.21713299999965</v>
      </c>
      <c r="L64" s="173">
        <f>Quarts!BA46</f>
        <v>805.05479700000069</v>
      </c>
      <c r="M64" s="173">
        <f>Quarts!BB46</f>
        <v>959.76449999999966</v>
      </c>
      <c r="N64" s="173">
        <f>Quarts!BC46</f>
        <v>869.71640400000058</v>
      </c>
      <c r="O64" s="173">
        <f>Quarts!BD46</f>
        <v>832.79576399999962</v>
      </c>
      <c r="P64" s="173">
        <f>Quarts!BE46</f>
        <v>926.17369299999996</v>
      </c>
      <c r="Q64" s="173">
        <f>Quarts!BF46</f>
        <v>1038.4594660000002</v>
      </c>
      <c r="R64" s="173">
        <f>Quarts!BG46</f>
        <v>933.67087499999934</v>
      </c>
      <c r="S64" s="173">
        <f>Quarts!BH46</f>
        <v>1078.9187950000003</v>
      </c>
      <c r="T64" s="173">
        <f>Quarts!BI46</f>
        <v>1116.207345</v>
      </c>
      <c r="U64" s="173">
        <f>Quarts!BJ46</f>
        <v>1097.7024430000004</v>
      </c>
      <c r="V64" s="173">
        <f>Quarts!BK46</f>
        <v>1094.3690719999995</v>
      </c>
      <c r="W64" s="173">
        <f>Quarts!BL46</f>
        <v>1098.0169429999994</v>
      </c>
      <c r="X64" s="173">
        <f>Quarts!BM46</f>
        <v>1048.022676000001</v>
      </c>
      <c r="Y64" s="173">
        <f>Quarts!BN46</f>
        <v>1273.684201</v>
      </c>
      <c r="Z64" s="173">
        <f>Quarts!BO46</f>
        <v>1101.1400410000001</v>
      </c>
      <c r="AA64" s="173">
        <f>Quarts!BP46</f>
        <v>1143.8943249999995</v>
      </c>
      <c r="AB64" s="173">
        <f>Quarts!BQ46</f>
        <v>1296.4235210000004</v>
      </c>
      <c r="AC64" s="173">
        <f>Quarts!BR46</f>
        <v>1447.1720939999998</v>
      </c>
      <c r="AD64" s="173">
        <f>Quarts!BS46</f>
        <v>1237.0054930000006</v>
      </c>
      <c r="AE64" s="173">
        <f>Quarts!BT46</f>
        <v>1175.9210209999992</v>
      </c>
      <c r="AL64" s="183">
        <f>6.60589/6.43811-1</f>
        <v>2.6060443204604988E-2</v>
      </c>
    </row>
    <row r="66" spans="2:44">
      <c r="B66" s="705" t="s">
        <v>528</v>
      </c>
      <c r="C66" s="898" t="str">
        <f>Quarts!AR4</f>
        <v>1Q19</v>
      </c>
      <c r="D66" s="898" t="str">
        <f>Quarts!AS4</f>
        <v>2Q19</v>
      </c>
      <c r="E66" s="898" t="str">
        <f>Quarts!AT4</f>
        <v>3Q19</v>
      </c>
      <c r="F66" s="898" t="str">
        <f>Quarts!AU4</f>
        <v>4Q19</v>
      </c>
      <c r="G66" s="898" t="str">
        <f>Quarts!AV4</f>
        <v>1Q20</v>
      </c>
      <c r="H66" s="898" t="str">
        <f>Quarts!AW4</f>
        <v>2Q20</v>
      </c>
      <c r="I66" s="898" t="str">
        <f>Quarts!AX4</f>
        <v>3Q20</v>
      </c>
      <c r="J66" s="898" t="str">
        <f>Quarts!AY4</f>
        <v>4Q20</v>
      </c>
      <c r="K66" s="898" t="str">
        <f>Quarts!AZ4</f>
        <v>1Q21</v>
      </c>
      <c r="L66" s="898" t="str">
        <f>Quarts!BA4</f>
        <v>2Q21</v>
      </c>
      <c r="M66" s="898" t="str">
        <f>Quarts!BB4</f>
        <v>3Q21</v>
      </c>
      <c r="N66" s="898" t="str">
        <f>Quarts!BC4</f>
        <v>4Q21</v>
      </c>
      <c r="O66" s="898" t="str">
        <f>Quarts!BD4</f>
        <v>1Q22</v>
      </c>
      <c r="P66" s="898" t="str">
        <f>Quarts!BE4</f>
        <v>2Q22</v>
      </c>
      <c r="Q66" s="898" t="str">
        <f>Quarts!BF4</f>
        <v>3Q22</v>
      </c>
      <c r="R66" s="898" t="str">
        <f>Quarts!BG4</f>
        <v>4Q22</v>
      </c>
      <c r="S66" s="898" t="str">
        <f>Quarts!BH4</f>
        <v>1Q23</v>
      </c>
      <c r="T66" s="898" t="str">
        <f>Quarts!BI4</f>
        <v>2Q23</v>
      </c>
      <c r="U66" s="898" t="str">
        <f>Quarts!BJ4</f>
        <v>3Q23</v>
      </c>
      <c r="V66" s="898" t="str">
        <f>Quarts!BK4</f>
        <v>4Q23</v>
      </c>
      <c r="W66" s="898" t="str">
        <f>Quarts!BL4</f>
        <v>1Q24</v>
      </c>
      <c r="X66" s="898" t="str">
        <f>Quarts!BM4</f>
        <v>2Q24</v>
      </c>
      <c r="Y66" s="898" t="str">
        <f>Quarts!BN4</f>
        <v>3Q24</v>
      </c>
      <c r="Z66" s="898" t="str">
        <f>Quarts!BO4</f>
        <v>4Q24</v>
      </c>
      <c r="AA66" s="898" t="str">
        <f>Quarts!BP4</f>
        <v>1Q25</v>
      </c>
      <c r="AB66" s="898" t="str">
        <f>Quarts!BQ4</f>
        <v>2Q25</v>
      </c>
      <c r="AC66" s="898" t="str">
        <f>Quarts!BR4</f>
        <v>3Q25</v>
      </c>
      <c r="AD66" s="898" t="str">
        <f>Quarts!BS4</f>
        <v>4Q25</v>
      </c>
      <c r="AE66" s="898" t="str">
        <f>Quarts!BT4</f>
        <v>1Q26</v>
      </c>
    </row>
    <row r="67" spans="2:44">
      <c r="B67" s="160" t="str">
        <f>B48</f>
        <v>TV</v>
      </c>
      <c r="C67" s="169">
        <f>Quarts!CY50</f>
        <v>5.6865464632454898E-2</v>
      </c>
      <c r="D67" s="169">
        <f>Quarts!CZ50</f>
        <v>9.1506335053965326E-2</v>
      </c>
      <c r="E67" s="169">
        <f>Quarts!DA50</f>
        <v>8.1974848625989916E-2</v>
      </c>
      <c r="F67" s="169">
        <f>Quarts!DB50</f>
        <v>8.3523505248744856E-2</v>
      </c>
      <c r="G67" s="169">
        <f>Quarts!DC50</f>
        <v>5.7742782152230943E-2</v>
      </c>
      <c r="H67" s="169">
        <f>Quarts!DD50</f>
        <v>4.2992261392948983E-3</v>
      </c>
      <c r="I67" s="169">
        <f>Quarts!DE50</f>
        <v>-3.0133448127421802E-3</v>
      </c>
      <c r="J67" s="169">
        <f>Quarts!DF50</f>
        <v>-3.5383319292333626E-2</v>
      </c>
      <c r="K67" s="169">
        <f>Quarts!DG50</f>
        <v>-5.5004135649296959E-2</v>
      </c>
      <c r="L67" s="169">
        <f>Quarts!DH50</f>
        <v>-3.210616438356162E-2</v>
      </c>
      <c r="M67" s="169">
        <f>Quarts!DI50</f>
        <v>-3.3246977547495615E-2</v>
      </c>
      <c r="N67" s="169">
        <f>Quarts!DJ50</f>
        <v>1.1790393013100475E-2</v>
      </c>
      <c r="O67" s="169">
        <f>Quarts!DK50</f>
        <v>2.1881838074397919E-3</v>
      </c>
      <c r="P67" s="169">
        <f>Quarts!DL50</f>
        <v>2.0344980097302123E-2</v>
      </c>
      <c r="Q67" s="169">
        <f>Quarts!DM50</f>
        <v>2.4117909781152358E-2</v>
      </c>
      <c r="R67" s="169">
        <f>Quarts!DN50</f>
        <v>4.747518342684609E-3</v>
      </c>
      <c r="S67" s="169">
        <f>Quarts!DO50</f>
        <v>2.1397379912663883E-2</v>
      </c>
      <c r="T67" s="169">
        <f>Quarts!DP50</f>
        <v>8.6692674469006636E-3</v>
      </c>
      <c r="U67" s="169">
        <f>Quarts!DQ50</f>
        <v>1.3519406890536434E-2</v>
      </c>
      <c r="V67" s="169">
        <f>Quarts!DR50</f>
        <v>3.3934707903779948E-2</v>
      </c>
      <c r="W67" s="169">
        <f>Quarts!DS50</f>
        <v>1.9666524155621978E-2</v>
      </c>
      <c r="X67" s="169">
        <f>Quarts!DT50</f>
        <v>2.7932960893854775E-2</v>
      </c>
      <c r="Y67" s="169">
        <f>Quarts!DU50</f>
        <v>3.7005163511187655E-2</v>
      </c>
      <c r="Z67" s="169">
        <f>Quarts!DV50</f>
        <v>1.8903199002908266E-2</v>
      </c>
      <c r="AA67" s="169">
        <f>Quarts!DW50</f>
        <v>-1</v>
      </c>
      <c r="AB67" s="169">
        <f>Quarts!DX50</f>
        <v>-1</v>
      </c>
      <c r="AC67" s="169">
        <f>Quarts!DY50</f>
        <v>-1</v>
      </c>
      <c r="AD67" s="169">
        <f>Quarts!DZ50</f>
        <v>-1</v>
      </c>
      <c r="AE67" s="169" t="e">
        <f>Quarts!EA50</f>
        <v>#DIV/0!</v>
      </c>
    </row>
    <row r="68" spans="2:44">
      <c r="B68" s="160" t="str">
        <f>B49</f>
        <v>Internet</v>
      </c>
      <c r="C68" s="169">
        <f>Quarts!CY51</f>
        <v>5.4975261132494957E-4</v>
      </c>
      <c r="D68" s="169">
        <f>Quarts!CZ51</f>
        <v>1.8962632459564865E-2</v>
      </c>
      <c r="E68" s="169">
        <f>Quarts!DA51</f>
        <v>2.0763187429854169E-2</v>
      </c>
      <c r="F68" s="169">
        <f>Quarts!DB51</f>
        <v>2.8921023359288034E-2</v>
      </c>
      <c r="G68" s="169">
        <f>Quarts!DC51</f>
        <v>2.3076923076922995E-2</v>
      </c>
      <c r="H68" s="169">
        <f>Quarts!DD51</f>
        <v>-4.3787629994526123E-3</v>
      </c>
      <c r="I68" s="169">
        <f>Quarts!DE51</f>
        <v>-4.9477735019242131E-3</v>
      </c>
      <c r="J68" s="169">
        <f>Quarts!DF51</f>
        <v>-1.5675675675675738E-2</v>
      </c>
      <c r="K68" s="169">
        <f>Quarts!DG51</f>
        <v>-3.759398496240518E-3</v>
      </c>
      <c r="L68" s="169">
        <f>Quarts!DH51</f>
        <v>2.8037383177569986E-2</v>
      </c>
      <c r="M68" s="169">
        <f>Quarts!DI51</f>
        <v>2.5966850828729182E-2</v>
      </c>
      <c r="N68" s="169">
        <f>Quarts!DJ51</f>
        <v>3.0203185063152116E-2</v>
      </c>
      <c r="O68" s="169">
        <f>Quarts!DK51</f>
        <v>1.563342318059302E-2</v>
      </c>
      <c r="P68" s="169">
        <f>Quarts!DL51</f>
        <v>3.7433155080213831E-2</v>
      </c>
      <c r="Q68" s="169">
        <f>Quarts!DM51</f>
        <v>1.1308562197092309E-2</v>
      </c>
      <c r="R68" s="169">
        <f>Quarts!DN51</f>
        <v>3.1982942430703876E-3</v>
      </c>
      <c r="S68" s="169">
        <f>Quarts!DO51</f>
        <v>4.7770700636942109E-3</v>
      </c>
      <c r="T68" s="169">
        <f>Quarts!DP51</f>
        <v>-8.7628865979381132E-3</v>
      </c>
      <c r="U68" s="169">
        <f>Quarts!DQ51</f>
        <v>2.9818956336528091E-2</v>
      </c>
      <c r="V68" s="169">
        <f>Quarts!DR51</f>
        <v>4.9946865037194588E-2</v>
      </c>
      <c r="W68" s="169">
        <f>Quarts!DS51</f>
        <v>4.9656629688325182E-2</v>
      </c>
      <c r="X68" s="169">
        <f>Quarts!DT51</f>
        <v>5.5122204888195414E-2</v>
      </c>
      <c r="Y68" s="169">
        <f>Quarts!DU51</f>
        <v>5.9979317476732241E-2</v>
      </c>
      <c r="Z68" s="169">
        <f>Quarts!DV51</f>
        <v>6.2753036437247056E-2</v>
      </c>
      <c r="AA68" s="169">
        <f>Quarts!DW51</f>
        <v>-1</v>
      </c>
      <c r="AB68" s="169">
        <f>Quarts!DX51</f>
        <v>-1</v>
      </c>
      <c r="AC68" s="169">
        <f>Quarts!DY51</f>
        <v>-1</v>
      </c>
      <c r="AD68" s="169">
        <f>Quarts!DZ51</f>
        <v>-1</v>
      </c>
      <c r="AE68" s="169" t="e">
        <f>Quarts!EA51</f>
        <v>#DIV/0!</v>
      </c>
    </row>
    <row r="69" spans="2:44">
      <c r="B69" s="160" t="str">
        <f>B50</f>
        <v>Voice</v>
      </c>
      <c r="C69" s="169">
        <f>Quarts!CY52</f>
        <v>-0.22494172494172493</v>
      </c>
      <c r="D69" s="169">
        <f>Quarts!CZ52</f>
        <v>-0.21212121212121215</v>
      </c>
      <c r="E69" s="169">
        <f>Quarts!DA52</f>
        <v>-0.21841794569067297</v>
      </c>
      <c r="F69" s="169">
        <f>Quarts!DB52</f>
        <v>-0.16666666666666663</v>
      </c>
      <c r="G69" s="169">
        <f>Quarts!DC52</f>
        <v>2.4060150375939671E-2</v>
      </c>
      <c r="H69" s="169">
        <f>Quarts!DD52</f>
        <v>-3.8461538461538436E-2</v>
      </c>
      <c r="I69" s="169">
        <f>Quarts!DE52</f>
        <v>-2.8700906344410915E-2</v>
      </c>
      <c r="J69" s="169">
        <f>Quarts!DF52</f>
        <v>-4.5925925925925815E-2</v>
      </c>
      <c r="K69" s="169">
        <f>Quarts!DG52</f>
        <v>2.936857562408246E-3</v>
      </c>
      <c r="L69" s="169">
        <f>Quarts!DH52</f>
        <v>6.4615384615384741E-2</v>
      </c>
      <c r="M69" s="169">
        <f>Quarts!DI52</f>
        <v>6.3763608087091805E-2</v>
      </c>
      <c r="N69" s="169">
        <f>Quarts!DJ52</f>
        <v>8.5403726708074501E-2</v>
      </c>
      <c r="O69" s="169">
        <f>Quarts!DK52</f>
        <v>4.0995607613469875E-2</v>
      </c>
      <c r="P69" s="169">
        <f>Quarts!DL52</f>
        <v>-2.3121387283237094E-2</v>
      </c>
      <c r="Q69" s="169">
        <f>Quarts!DM52</f>
        <v>-0.12134502923976609</v>
      </c>
      <c r="R69" s="169">
        <f>Quarts!DN52</f>
        <v>-0.14306151645207443</v>
      </c>
      <c r="S69" s="169">
        <f>Quarts!DO52</f>
        <v>-0.16736990154711662</v>
      </c>
      <c r="T69" s="169">
        <f>Quarts!DP52</f>
        <v>-0.14053254437869811</v>
      </c>
      <c r="U69" s="169">
        <f>Quarts!DQ52</f>
        <v>-7.6539101497504203E-2</v>
      </c>
      <c r="V69" s="169">
        <f>Quarts!DR52</f>
        <v>-8.347245409015025E-2</v>
      </c>
      <c r="W69" s="169">
        <f>Quarts!DS52</f>
        <v>-6.9256756756756799E-2</v>
      </c>
      <c r="X69" s="169">
        <f>Quarts!DT52</f>
        <v>-4.8192771084337394E-2</v>
      </c>
      <c r="Y69" s="169">
        <f>Quarts!DU52</f>
        <v>-3.6036036036036001E-2</v>
      </c>
      <c r="Z69" s="169">
        <f>Quarts!DV52</f>
        <v>-2.5500910746812377E-2</v>
      </c>
      <c r="AA69" s="169">
        <f>Quarts!DW52</f>
        <v>-1</v>
      </c>
      <c r="AB69" s="169">
        <f>Quarts!DX52</f>
        <v>-1</v>
      </c>
      <c r="AC69" s="169">
        <f>Quarts!DY52</f>
        <v>-1</v>
      </c>
      <c r="AD69" s="169">
        <f>Quarts!DZ52</f>
        <v>-1</v>
      </c>
      <c r="AE69" s="169" t="e">
        <f>Quarts!EA52</f>
        <v>#DIV/0!</v>
      </c>
    </row>
    <row r="70" spans="2:44">
      <c r="B70" s="160"/>
      <c r="C70" s="172"/>
      <c r="D70" s="172"/>
      <c r="E70" s="172"/>
      <c r="F70" s="172"/>
      <c r="G70" s="172"/>
      <c r="H70" s="172"/>
      <c r="I70" s="172"/>
      <c r="J70" s="172"/>
      <c r="K70" s="172"/>
      <c r="L70" s="172"/>
      <c r="M70" s="172"/>
      <c r="N70" s="172"/>
      <c r="O70" s="172"/>
      <c r="P70" s="172"/>
      <c r="Q70" s="172"/>
      <c r="R70" s="172"/>
      <c r="AM70" s="172"/>
      <c r="AN70" s="172"/>
      <c r="AO70" s="172"/>
      <c r="AP70" s="172"/>
      <c r="AQ70" s="172"/>
      <c r="AR70" s="172"/>
    </row>
    <row r="71" spans="2:44">
      <c r="B71" s="160"/>
      <c r="C71" s="172"/>
      <c r="D71" s="172"/>
      <c r="E71" s="172"/>
      <c r="F71" s="172"/>
      <c r="G71" s="172"/>
      <c r="H71" s="172"/>
      <c r="I71" s="172"/>
      <c r="J71" s="172"/>
      <c r="K71" s="172"/>
      <c r="L71" s="172"/>
      <c r="M71" s="172"/>
      <c r="N71" s="172"/>
      <c r="O71" s="172"/>
      <c r="P71" s="172"/>
      <c r="Q71" s="172"/>
      <c r="R71" s="172"/>
      <c r="AL71" s="172"/>
      <c r="AM71" s="172"/>
      <c r="AN71" s="172"/>
      <c r="AO71" s="172"/>
      <c r="AP71" s="172"/>
      <c r="AQ71" s="172"/>
    </row>
    <row r="73" spans="2:44">
      <c r="B73" s="705" t="s">
        <v>363</v>
      </c>
      <c r="C73" s="900" t="str">
        <f>Quarts!AR4</f>
        <v>1Q19</v>
      </c>
      <c r="D73" s="900" t="str">
        <f>Quarts!AS4</f>
        <v>2Q19</v>
      </c>
      <c r="E73" s="900" t="str">
        <f>Quarts!AT4</f>
        <v>3Q19</v>
      </c>
      <c r="F73" s="900" t="str">
        <f>Quarts!AU4</f>
        <v>4Q19</v>
      </c>
      <c r="G73" s="900" t="str">
        <f>Quarts!AV4</f>
        <v>1Q20</v>
      </c>
      <c r="H73" s="900" t="str">
        <f>Quarts!AW4</f>
        <v>2Q20</v>
      </c>
      <c r="I73" s="900" t="str">
        <f>Quarts!AX4</f>
        <v>3Q20</v>
      </c>
      <c r="J73" s="900" t="str">
        <f>Quarts!AY4</f>
        <v>4Q20</v>
      </c>
      <c r="K73" s="900" t="str">
        <f>Quarts!AZ4</f>
        <v>1Q21</v>
      </c>
      <c r="L73" s="900" t="str">
        <f>Quarts!BA4</f>
        <v>2Q21</v>
      </c>
      <c r="M73" s="900" t="str">
        <f>Quarts!BB4</f>
        <v>3Q21</v>
      </c>
      <c r="N73" s="900" t="str">
        <f>Quarts!BC4</f>
        <v>4Q21</v>
      </c>
      <c r="O73" s="900" t="str">
        <f>Quarts!BD4</f>
        <v>1Q22</v>
      </c>
      <c r="P73" s="900" t="str">
        <f>Quarts!BE4</f>
        <v>2Q22</v>
      </c>
      <c r="Q73" s="900" t="str">
        <f>Quarts!BF4</f>
        <v>3Q22</v>
      </c>
      <c r="R73" s="900" t="str">
        <f>Quarts!BG4</f>
        <v>4Q22</v>
      </c>
      <c r="S73" s="900" t="str">
        <f>Quarts!BH4</f>
        <v>1Q23</v>
      </c>
      <c r="T73" s="900" t="str">
        <f>Quarts!BI4</f>
        <v>2Q23</v>
      </c>
      <c r="U73" s="900" t="str">
        <f>Quarts!BJ4</f>
        <v>3Q23</v>
      </c>
      <c r="V73" s="900" t="str">
        <f>Quarts!BK4</f>
        <v>4Q23</v>
      </c>
      <c r="W73" s="900" t="str">
        <f>Quarts!BL4</f>
        <v>1Q24</v>
      </c>
      <c r="X73" s="900" t="str">
        <f>Quarts!BM4</f>
        <v>2Q24</v>
      </c>
      <c r="Y73" s="900" t="str">
        <f>Quarts!BN4</f>
        <v>3Q24</v>
      </c>
      <c r="Z73" s="900" t="str">
        <f>Quarts!BO4</f>
        <v>4Q24</v>
      </c>
      <c r="AA73" s="900" t="str">
        <f>Quarts!BP4</f>
        <v>1Q25</v>
      </c>
      <c r="AB73" s="900" t="str">
        <f>Quarts!BQ4</f>
        <v>2Q25</v>
      </c>
      <c r="AC73" s="900" t="str">
        <f>Quarts!BR4</f>
        <v>3Q25</v>
      </c>
      <c r="AD73" s="900" t="str">
        <f>Quarts!BS4</f>
        <v>4Q25</v>
      </c>
      <c r="AE73" s="900" t="str">
        <f>Quarts!BT4</f>
        <v>1Q26</v>
      </c>
      <c r="AN73" s="175"/>
      <c r="AO73" s="175"/>
      <c r="AP73" s="175"/>
      <c r="AQ73" s="175"/>
      <c r="AR73" s="175"/>
    </row>
    <row r="74" spans="2:44">
      <c r="B74" s="160" t="s">
        <v>537</v>
      </c>
      <c r="C74" s="169">
        <f>Quarts!AR118</f>
        <v>0.5098925032313657</v>
      </c>
      <c r="D74" s="169">
        <f>Quarts!AS118</f>
        <v>0.50195060034291272</v>
      </c>
      <c r="E74" s="169">
        <f>Quarts!AT118</f>
        <v>0.47666666666666668</v>
      </c>
      <c r="F74" s="169">
        <f>Quarts!AU118</f>
        <v>0.47552689679860877</v>
      </c>
      <c r="G74" s="169">
        <f>Quarts!AV118</f>
        <v>0.51688738582760452</v>
      </c>
      <c r="H74" s="169">
        <f>Quarts!AW118</f>
        <v>0.51224287855284956</v>
      </c>
      <c r="I74" s="169">
        <f>Quarts!AX118</f>
        <v>0.51091089954103441</v>
      </c>
      <c r="J74" s="169">
        <f>Quarts!AY118</f>
        <v>0.49384874454934935</v>
      </c>
      <c r="K74" s="169">
        <f>Quarts!AZ118</f>
        <v>0.51968986425836705</v>
      </c>
      <c r="L74" s="169">
        <f>Quarts!BA118</f>
        <v>0.51190476190476186</v>
      </c>
      <c r="M74" s="169">
        <f>Quarts!BB118</f>
        <v>0.50632466007596777</v>
      </c>
      <c r="N74" s="169">
        <f>Quarts!BC118</f>
        <v>0.49878467301175816</v>
      </c>
      <c r="O74" s="169">
        <f>Quarts!BD118</f>
        <v>0.50813385131819622</v>
      </c>
      <c r="P74" s="169">
        <f>Quarts!BE118</f>
        <v>0.50216019182483751</v>
      </c>
      <c r="Q74" s="169">
        <f>Quarts!BF118</f>
        <v>0.48587389807959752</v>
      </c>
      <c r="R74" s="169">
        <f>Quarts!BG118</f>
        <v>0.46892834495878249</v>
      </c>
      <c r="S74" s="169">
        <f>Quarts!BH118</f>
        <v>0.47336365350904852</v>
      </c>
      <c r="T74" s="169">
        <f>Quarts!BI118</f>
        <v>0.46052113295416552</v>
      </c>
      <c r="U74" s="169">
        <f>Quarts!BJ118</f>
        <v>0.45452842442163971</v>
      </c>
      <c r="V74" s="169">
        <f>Quarts!BK118</f>
        <v>0.4597280277814903</v>
      </c>
      <c r="W74" s="169">
        <f>Quarts!BL118</f>
        <v>0.47293648425785983</v>
      </c>
      <c r="X74" s="169">
        <f>Quarts!BM118</f>
        <v>0.46360842345517261</v>
      </c>
      <c r="Y74" s="169">
        <f>Quarts!BN118</f>
        <v>0.45175356429270236</v>
      </c>
      <c r="Z74" s="169">
        <f>Quarts!BO118</f>
        <v>0.45514007626286329</v>
      </c>
      <c r="AA74" s="774">
        <f>Quarts!BP118</f>
        <v>0.47499999999999998</v>
      </c>
      <c r="AB74" s="774">
        <f>Quarts!BQ118</f>
        <v>0.47499999999999998</v>
      </c>
      <c r="AC74" s="774">
        <f>Quarts!BR118</f>
        <v>0.47</v>
      </c>
      <c r="AD74" s="774" t="e">
        <f>Quarts!BS118</f>
        <v>#DIV/0!</v>
      </c>
      <c r="AE74" s="774" t="e">
        <f>Quarts!BT118</f>
        <v>#DIV/0!</v>
      </c>
      <c r="AN74" s="169"/>
      <c r="AO74" s="169"/>
      <c r="AP74" s="169"/>
      <c r="AQ74" s="169"/>
      <c r="AR74" s="169"/>
    </row>
    <row r="75" spans="2:44">
      <c r="B75" s="705" t="s">
        <v>538</v>
      </c>
      <c r="C75" s="896">
        <f>Quarts!AR130</f>
        <v>0.36106257378984685</v>
      </c>
      <c r="D75" s="896">
        <f>Quarts!AS130</f>
        <v>0.29681766305916196</v>
      </c>
      <c r="E75" s="896">
        <f>Quarts!AT130</f>
        <v>0.3218181818181815</v>
      </c>
      <c r="F75" s="896">
        <f>Quarts!AU130</f>
        <v>0.26818890826937974</v>
      </c>
      <c r="G75" s="896">
        <f>Quarts!AV130</f>
        <v>0.34688779254828606</v>
      </c>
      <c r="H75" s="896">
        <f>Quarts!AW130</f>
        <v>0.36045382088734662</v>
      </c>
      <c r="I75" s="896">
        <f>Quarts!AX130</f>
        <v>0.33259427514674011</v>
      </c>
      <c r="J75" s="896">
        <f>Quarts!AY130</f>
        <v>0.32303013169823441</v>
      </c>
      <c r="K75" s="896">
        <f>Quarts!AZ130</f>
        <v>0.33625759416767897</v>
      </c>
      <c r="L75" s="896">
        <f>Quarts!BA130</f>
        <v>0.33333333333333331</v>
      </c>
      <c r="M75" s="896">
        <f>Quarts!BB130</f>
        <v>0.32243281568844434</v>
      </c>
      <c r="N75" s="896">
        <f>Quarts!BC130</f>
        <v>0.24609374303170881</v>
      </c>
      <c r="O75" s="896">
        <f>Quarts!BD130</f>
        <v>0.31178209045266975</v>
      </c>
      <c r="P75" s="896">
        <f>Quarts!BE130</f>
        <v>0.33322356220036792</v>
      </c>
      <c r="Q75" s="896">
        <f>Quarts!BF130</f>
        <v>0.31140907779881077</v>
      </c>
      <c r="R75" s="896">
        <f>Quarts!BG130</f>
        <v>0.1809723183391001</v>
      </c>
      <c r="S75" s="896">
        <f>Quarts!BH130</f>
        <v>0.28949640966755036</v>
      </c>
      <c r="T75" s="896">
        <f>Quarts!BI130</f>
        <v>0.29537044939162604</v>
      </c>
      <c r="U75" s="896">
        <f>Quarts!BJ130</f>
        <v>0.28562634498486739</v>
      </c>
      <c r="V75" s="896">
        <f>Quarts!BK130</f>
        <v>0.2367295762532709</v>
      </c>
      <c r="W75" s="896">
        <f>Quarts!BL130</f>
        <v>0.32681909186776897</v>
      </c>
      <c r="X75" s="896">
        <f>Quarts!BM130</f>
        <v>0.22115049474628334</v>
      </c>
      <c r="Y75" s="896">
        <f>Quarts!BN130</f>
        <v>0.23946758333999538</v>
      </c>
      <c r="Z75" s="896">
        <f>Quarts!BO130</f>
        <v>0.22522954392000347</v>
      </c>
      <c r="AA75" s="896">
        <f>Quarts!BP130</f>
        <v>0.27930217967421012</v>
      </c>
      <c r="AB75" s="896" t="e">
        <f>Quarts!BQ130</f>
        <v>#DIV/0!</v>
      </c>
      <c r="AC75" s="896" t="e">
        <f>Quarts!BR130</f>
        <v>#DIV/0!</v>
      </c>
      <c r="AD75" s="896" t="e">
        <f>Quarts!BS130</f>
        <v>#DIV/0!</v>
      </c>
      <c r="AE75" s="896">
        <f>Quarts!BT130</f>
        <v>0.27930217967421012</v>
      </c>
      <c r="AN75" s="169"/>
      <c r="AO75" s="169"/>
      <c r="AP75" s="169"/>
      <c r="AQ75" s="169"/>
      <c r="AR75" s="169"/>
    </row>
    <row r="76" spans="2:44">
      <c r="B76" s="160" t="s">
        <v>539</v>
      </c>
      <c r="C76" s="169">
        <f>Quarts!AR141</f>
        <v>0.49520659391868277</v>
      </c>
      <c r="D76" s="169">
        <f>Quarts!AS141</f>
        <v>0.48875810960153249</v>
      </c>
      <c r="E76" s="169">
        <f>Quarts!AT141</f>
        <v>0.45929995929995932</v>
      </c>
      <c r="F76" s="169">
        <f>Quarts!AU141</f>
        <v>0.44714530795829299</v>
      </c>
      <c r="G76" s="169">
        <f>Quarts!AV141</f>
        <v>0.50119427422275264</v>
      </c>
      <c r="H76" s="169">
        <f>Quarts!AW141</f>
        <v>0.49813505235350403</v>
      </c>
      <c r="I76" s="169">
        <f>Quarts!AX141</f>
        <v>0.4951264240798216</v>
      </c>
      <c r="J76" s="169">
        <f>Quarts!AY141</f>
        <v>0.47869263141288226</v>
      </c>
      <c r="K76" s="169">
        <f>Quarts!AZ141</f>
        <v>0.50453454220856619</v>
      </c>
      <c r="L76" s="169">
        <f>Quarts!BA141</f>
        <v>0.49655331640225597</v>
      </c>
      <c r="M76" s="169">
        <f>Quarts!BB141</f>
        <v>0.4907502547630353</v>
      </c>
      <c r="N76" s="169">
        <f>Quarts!BC141</f>
        <v>0.47689779020460499</v>
      </c>
      <c r="O76" s="169">
        <f>Quarts!BD141</f>
        <v>0.49196562368855656</v>
      </c>
      <c r="P76" s="169">
        <f>Quarts!BE141</f>
        <v>0.48757840299611477</v>
      </c>
      <c r="Q76" s="169">
        <f>Quarts!BF141</f>
        <v>0.47025086519956921</v>
      </c>
      <c r="R76" s="169">
        <f>Quarts!BG141</f>
        <v>0.4341293129616513</v>
      </c>
      <c r="S76" s="169">
        <f>Quarts!BH141</f>
        <v>0.45702028526095795</v>
      </c>
      <c r="T76" s="169">
        <f>Quarts!BI141</f>
        <v>0.44582457585031321</v>
      </c>
      <c r="U76" s="169">
        <f>Quarts!BJ141</f>
        <v>0.44137868520442131</v>
      </c>
      <c r="V76" s="169">
        <f>Quarts!BK141</f>
        <v>0.44024804406763651</v>
      </c>
      <c r="W76" s="169">
        <f>Quarts!BL141</f>
        <v>0.46096268029856963</v>
      </c>
      <c r="X76" s="169">
        <f>Quarts!BM141</f>
        <v>0.44317325883708764</v>
      </c>
      <c r="Y76" s="169">
        <f>Quarts!BN141</f>
        <v>0.43559281620209261</v>
      </c>
      <c r="Z76" s="169">
        <f>Quarts!BO141</f>
        <v>0.44269174438096021</v>
      </c>
      <c r="AA76" s="169">
        <f>Quarts!BP141</f>
        <v>0.46283455683944469</v>
      </c>
      <c r="AB76" s="169">
        <f>Quarts!BQ141</f>
        <v>0.45446133286219614</v>
      </c>
      <c r="AC76" s="169">
        <f>Quarts!BR141</f>
        <v>0.44227351631842915</v>
      </c>
      <c r="AD76" s="169">
        <f>Quarts!BS141</f>
        <v>0.44047089793512967</v>
      </c>
      <c r="AE76" s="169">
        <f>Quarts!BT141</f>
        <v>0.46194849687798983</v>
      </c>
      <c r="AN76" s="169"/>
      <c r="AO76" s="169"/>
      <c r="AP76" s="169"/>
      <c r="AQ76" s="169"/>
      <c r="AR76" s="169"/>
    </row>
    <row r="78" spans="2:44">
      <c r="B78" s="160" t="s">
        <v>540</v>
      </c>
      <c r="C78" s="172">
        <f>Quarts!CY136</f>
        <v>0</v>
      </c>
      <c r="D78" s="172">
        <f>Quarts!CZ136</f>
        <v>0</v>
      </c>
      <c r="E78" s="172">
        <f>Quarts!DA136</f>
        <v>0</v>
      </c>
      <c r="F78" s="172">
        <f>Quarts!DB136</f>
        <v>0</v>
      </c>
      <c r="G78" s="172">
        <f>Quarts!DC136</f>
        <v>0</v>
      </c>
      <c r="H78" s="172">
        <f>Quarts!DD136</f>
        <v>0</v>
      </c>
      <c r="I78" s="172">
        <f>Quarts!DE136</f>
        <v>0</v>
      </c>
      <c r="J78" s="172">
        <f>Quarts!DF136</f>
        <v>0</v>
      </c>
      <c r="K78" s="172">
        <f>Quarts!DG136</f>
        <v>0</v>
      </c>
      <c r="L78" s="172">
        <f>Quarts!DH136</f>
        <v>0</v>
      </c>
      <c r="M78" s="172">
        <f>Quarts!DI136</f>
        <v>0</v>
      </c>
      <c r="N78" s="172">
        <f>Quarts!DJ136</f>
        <v>0</v>
      </c>
      <c r="O78" s="172">
        <f>Quarts!DK136</f>
        <v>0</v>
      </c>
      <c r="P78" s="172">
        <f>Quarts!DL136</f>
        <v>0</v>
      </c>
      <c r="Q78" s="172">
        <f>Quarts!DM136</f>
        <v>0</v>
      </c>
      <c r="R78" s="172">
        <f>Quarts!DN136</f>
        <v>0</v>
      </c>
      <c r="S78" s="172">
        <f>Quarts!DO136</f>
        <v>0</v>
      </c>
      <c r="T78" s="172">
        <f>Quarts!DP136</f>
        <v>0</v>
      </c>
      <c r="U78" s="172">
        <f>Quarts!DQ136</f>
        <v>0</v>
      </c>
      <c r="V78" s="172">
        <f>Quarts!DR136</f>
        <v>0</v>
      </c>
      <c r="W78" s="172">
        <f>Quarts!DS136</f>
        <v>0</v>
      </c>
      <c r="X78" s="172">
        <f>Quarts!DT136</f>
        <v>0</v>
      </c>
      <c r="Y78" s="172">
        <f>Quarts!DU136</f>
        <v>0</v>
      </c>
      <c r="Z78" s="172">
        <f>Quarts!DV136</f>
        <v>0</v>
      </c>
      <c r="AA78" s="172">
        <f>Quarts!DW136</f>
        <v>0</v>
      </c>
      <c r="AB78" s="172">
        <f>Quarts!DX136</f>
        <v>0</v>
      </c>
      <c r="AC78" s="172">
        <f>Quarts!DY136</f>
        <v>0</v>
      </c>
      <c r="AD78" s="172">
        <f>Quarts!DZ136</f>
        <v>0</v>
      </c>
      <c r="AE78" s="172">
        <f>Quarts!EA136</f>
        <v>0</v>
      </c>
      <c r="AN78" s="172"/>
      <c r="AO78" s="172"/>
      <c r="AP78" s="172"/>
      <c r="AQ78" s="172"/>
      <c r="AR78" s="172"/>
    </row>
    <row r="79" spans="2:44">
      <c r="B79" s="160" t="s">
        <v>488</v>
      </c>
      <c r="C79" s="172">
        <f>Quarts!CY138</f>
        <v>0</v>
      </c>
      <c r="D79" s="172">
        <f>Quarts!CZ138</f>
        <v>0</v>
      </c>
      <c r="E79" s="172">
        <f>Quarts!DA138</f>
        <v>0</v>
      </c>
      <c r="F79" s="172">
        <f>Quarts!DB138</f>
        <v>0</v>
      </c>
      <c r="G79" s="172">
        <f>Quarts!DC138</f>
        <v>0</v>
      </c>
      <c r="H79" s="172">
        <f>Quarts!DD138</f>
        <v>0</v>
      </c>
      <c r="I79" s="172">
        <f>Quarts!DE138</f>
        <v>0</v>
      </c>
      <c r="J79" s="172">
        <f>Quarts!DF138</f>
        <v>0</v>
      </c>
      <c r="K79" s="172">
        <f>Quarts!DG138</f>
        <v>0</v>
      </c>
      <c r="L79" s="172">
        <f>Quarts!DH138</f>
        <v>0</v>
      </c>
      <c r="M79" s="172">
        <f>Quarts!DI138</f>
        <v>0</v>
      </c>
      <c r="N79" s="172">
        <f>Quarts!DJ138</f>
        <v>0</v>
      </c>
      <c r="O79" s="172">
        <f>Quarts!DK138</f>
        <v>0</v>
      </c>
      <c r="P79" s="172">
        <f>Quarts!DL138</f>
        <v>0</v>
      </c>
      <c r="Q79" s="172">
        <f>Quarts!DM138</f>
        <v>0</v>
      </c>
      <c r="R79" s="172">
        <f>Quarts!DN138</f>
        <v>0</v>
      </c>
      <c r="S79" s="172">
        <f>Quarts!DO138</f>
        <v>0</v>
      </c>
      <c r="T79" s="172">
        <f>Quarts!DP138</f>
        <v>0</v>
      </c>
      <c r="U79" s="172">
        <f>Quarts!DQ138</f>
        <v>0</v>
      </c>
      <c r="V79" s="172">
        <f>Quarts!DR138</f>
        <v>0</v>
      </c>
      <c r="W79" s="172">
        <f>Quarts!DS138</f>
        <v>0</v>
      </c>
      <c r="X79" s="172">
        <f>Quarts!DT138</f>
        <v>0</v>
      </c>
      <c r="Y79" s="172">
        <f>Quarts!DU138</f>
        <v>0</v>
      </c>
      <c r="Z79" s="172">
        <f>Quarts!DV138</f>
        <v>0</v>
      </c>
      <c r="AA79" s="172">
        <f>Quarts!DW138</f>
        <v>0</v>
      </c>
      <c r="AB79" s="172">
        <f>Quarts!DX138</f>
        <v>0</v>
      </c>
      <c r="AC79" s="172">
        <f>Quarts!DY138</f>
        <v>0</v>
      </c>
      <c r="AD79" s="172">
        <f>Quarts!DZ138</f>
        <v>0</v>
      </c>
      <c r="AE79" s="172">
        <f>Quarts!EA138</f>
        <v>0</v>
      </c>
      <c r="AN79" s="172"/>
      <c r="AO79" s="172"/>
      <c r="AP79" s="172"/>
      <c r="AQ79" s="172"/>
      <c r="AR79" s="172"/>
    </row>
    <row r="82" spans="2:31">
      <c r="B82" s="705" t="s">
        <v>530</v>
      </c>
      <c r="C82" s="161" t="str">
        <f t="shared" ref="C82:AD82" si="26">C73</f>
        <v>1Q19</v>
      </c>
      <c r="D82" s="161" t="str">
        <f t="shared" si="26"/>
        <v>2Q19</v>
      </c>
      <c r="E82" s="161" t="str">
        <f t="shared" si="26"/>
        <v>3Q19</v>
      </c>
      <c r="F82" s="161" t="str">
        <f t="shared" si="26"/>
        <v>4Q19</v>
      </c>
      <c r="G82" s="161" t="str">
        <f t="shared" si="26"/>
        <v>1Q20</v>
      </c>
      <c r="H82" s="161" t="str">
        <f t="shared" si="26"/>
        <v>2Q20</v>
      </c>
      <c r="I82" s="161" t="str">
        <f t="shared" si="26"/>
        <v>3Q20</v>
      </c>
      <c r="J82" s="161" t="str">
        <f t="shared" si="26"/>
        <v>4Q20</v>
      </c>
      <c r="K82" s="161" t="str">
        <f t="shared" si="26"/>
        <v>1Q21</v>
      </c>
      <c r="L82" s="161" t="str">
        <f t="shared" si="26"/>
        <v>2Q21</v>
      </c>
      <c r="M82" s="161" t="str">
        <f t="shared" si="26"/>
        <v>3Q21</v>
      </c>
      <c r="N82" s="161" t="str">
        <f t="shared" si="26"/>
        <v>4Q21</v>
      </c>
      <c r="O82" s="161" t="str">
        <f t="shared" si="26"/>
        <v>1Q22</v>
      </c>
      <c r="P82" s="161" t="str">
        <f t="shared" si="26"/>
        <v>2Q22</v>
      </c>
      <c r="Q82" s="161" t="str">
        <f t="shared" si="26"/>
        <v>3Q22</v>
      </c>
      <c r="R82" s="161" t="str">
        <f t="shared" si="26"/>
        <v>4Q22</v>
      </c>
      <c r="S82" s="161" t="str">
        <f t="shared" si="26"/>
        <v>1Q23</v>
      </c>
      <c r="T82" s="161" t="str">
        <f t="shared" si="26"/>
        <v>2Q23</v>
      </c>
      <c r="U82" s="161" t="str">
        <f t="shared" si="26"/>
        <v>3Q23</v>
      </c>
      <c r="V82" s="161" t="str">
        <f t="shared" si="26"/>
        <v>4Q23</v>
      </c>
      <c r="W82" s="161" t="str">
        <f t="shared" si="26"/>
        <v>1Q24</v>
      </c>
      <c r="X82" s="161" t="str">
        <f t="shared" si="26"/>
        <v>2Q24</v>
      </c>
      <c r="Y82" s="161" t="str">
        <f t="shared" si="26"/>
        <v>3Q24</v>
      </c>
      <c r="Z82" s="161" t="str">
        <f t="shared" si="26"/>
        <v>4Q24</v>
      </c>
      <c r="AA82" s="161" t="str">
        <f t="shared" si="26"/>
        <v>1Q25</v>
      </c>
      <c r="AB82" s="161" t="str">
        <f t="shared" si="26"/>
        <v>2Q25</v>
      </c>
      <c r="AC82" s="161" t="str">
        <f t="shared" si="26"/>
        <v>3Q25</v>
      </c>
      <c r="AD82" s="161" t="str">
        <f t="shared" si="26"/>
        <v>4Q25</v>
      </c>
      <c r="AE82" s="161" t="str">
        <f>AE73</f>
        <v>1Q26</v>
      </c>
    </row>
    <row r="83" spans="2:31">
      <c r="B83" s="160" t="s">
        <v>541</v>
      </c>
      <c r="C83" s="257">
        <f>Quarts!CY87</f>
        <v>7.8761584473596491E-2</v>
      </c>
      <c r="D83" s="257">
        <f>Quarts!CZ87</f>
        <v>0.10589942046609591</v>
      </c>
      <c r="E83" s="257">
        <f>Quarts!DA87</f>
        <v>7.6920707334438454E-2</v>
      </c>
      <c r="F83" s="257">
        <f>Quarts!DB87</f>
        <v>7.837123786222655E-2</v>
      </c>
      <c r="G83" s="257">
        <f>Quarts!DC87</f>
        <v>8.5221674876847286E-2</v>
      </c>
      <c r="H83" s="257">
        <f>Quarts!DD87</f>
        <v>3.0664912063128824E-2</v>
      </c>
      <c r="I83" s="257">
        <f>Quarts!DE87</f>
        <v>7.1767704728950221E-2</v>
      </c>
      <c r="J83" s="257">
        <f>Quarts!DF87</f>
        <v>7.5770539007439686E-2</v>
      </c>
      <c r="K83" s="257">
        <f>Quarts!DG87</f>
        <v>8.7866567548424257E-2</v>
      </c>
      <c r="L83" s="257">
        <f>Quarts!DH87</f>
        <v>0.12148916291184331</v>
      </c>
      <c r="M83" s="257">
        <f>Quarts!DI87</f>
        <v>9.7987070051890779E-2</v>
      </c>
      <c r="N83" s="257">
        <f>Quarts!DJ87</f>
        <v>0.1146576156923993</v>
      </c>
      <c r="O83" s="257">
        <f>Quarts!DK87</f>
        <v>9.3221592856135072E-2</v>
      </c>
      <c r="P83" s="257">
        <f>Quarts!DL87</f>
        <v>9.275740115239417E-2</v>
      </c>
      <c r="Q83" s="257">
        <f>Quarts!DM87</f>
        <v>6.4684167318125319E-2</v>
      </c>
      <c r="R83" s="257">
        <f>Quarts!DN87</f>
        <v>5.2376956520599371E-2</v>
      </c>
      <c r="S83" s="257">
        <f>Quarts!DO87</f>
        <v>7.2923940366890427E-2</v>
      </c>
      <c r="T83" s="257">
        <f>Quarts!DP87</f>
        <v>9.4708799224996865E-2</v>
      </c>
      <c r="U83" s="257">
        <f>Quarts!DQ87</f>
        <v>0.13977077522163039</v>
      </c>
      <c r="V83" s="257">
        <f>Quarts!DR87</f>
        <v>0.14525422522682807</v>
      </c>
      <c r="W83" s="257">
        <f>Quarts!DS87</f>
        <v>0.13108332634455988</v>
      </c>
      <c r="X83" s="257">
        <f>Quarts!DT87</f>
        <v>0.11036349068518558</v>
      </c>
      <c r="Y83" s="257">
        <f>Quarts!DU87</f>
        <v>0.1028242657209586</v>
      </c>
      <c r="Z83" s="257">
        <f>Quarts!DV87</f>
        <v>0.10100700989238964</v>
      </c>
      <c r="AA83" s="257">
        <f>Quarts!DW87</f>
        <v>9.2983769475284861E-2</v>
      </c>
      <c r="AB83" s="257">
        <f>Quarts!DX87</f>
        <v>0.10604497905149035</v>
      </c>
      <c r="AC83" s="257">
        <f>Quarts!DY87</f>
        <v>0.11244997273337276</v>
      </c>
      <c r="AD83" s="257">
        <f>Quarts!DZ87</f>
        <v>0.10348005503615831</v>
      </c>
      <c r="AE83" s="257">
        <f>Quarts!EA87</f>
        <v>0.1127985538244165</v>
      </c>
    </row>
    <row r="84" spans="2:31">
      <c r="B84" s="705" t="s">
        <v>455</v>
      </c>
      <c r="C84" s="896">
        <f>Quarts!CY81</f>
        <v>0.18556958859572337</v>
      </c>
      <c r="D84" s="896">
        <f>Quarts!CZ81</f>
        <v>0.19420522168554455</v>
      </c>
      <c r="E84" s="896">
        <f>Quarts!DA81</f>
        <v>0.29602713178294571</v>
      </c>
      <c r="F84" s="896">
        <f>Quarts!DB81</f>
        <v>0.26349379384781457</v>
      </c>
      <c r="G84" s="896">
        <f>Quarts!DC81</f>
        <v>1.2423794958337675E-2</v>
      </c>
      <c r="H84" s="896">
        <f>Quarts!DD81</f>
        <v>-9.0788339698902099E-2</v>
      </c>
      <c r="I84" s="896">
        <f>Quarts!DE81</f>
        <v>-8.8523364485981304E-2</v>
      </c>
      <c r="J84" s="896">
        <f>Quarts!DF81</f>
        <v>-0.15511858175148885</v>
      </c>
      <c r="K84" s="896">
        <f>Quarts!DG81</f>
        <v>3.3255233211685997E-2</v>
      </c>
      <c r="L84" s="896">
        <f>Quarts!DH81</f>
        <v>5.9946067147737647E-2</v>
      </c>
      <c r="M84" s="896">
        <f>Quarts!DI81</f>
        <v>7.0004511524895507E-2</v>
      </c>
      <c r="N84" s="896">
        <f>Quarts!DJ81</f>
        <v>0.14470482012373598</v>
      </c>
      <c r="O84" s="896">
        <f>Quarts!DK81</f>
        <v>0.1484805404315388</v>
      </c>
      <c r="P84" s="896">
        <f>Quarts!DL81</f>
        <v>0.14581765276430647</v>
      </c>
      <c r="Q84" s="896">
        <f>Quarts!DM81</f>
        <v>0.25104690317894418</v>
      </c>
      <c r="R84" s="896">
        <f>Quarts!DN81</f>
        <v>0.37259751271905017</v>
      </c>
      <c r="S84" s="896">
        <f>Quarts!DO81</f>
        <v>0.17055070702849595</v>
      </c>
      <c r="T84" s="896">
        <f>Quarts!DP81</f>
        <v>0.14527933580397812</v>
      </c>
      <c r="U84" s="896">
        <f>Quarts!DQ81</f>
        <v>-4.0581064467823946E-3</v>
      </c>
      <c r="V84" s="896">
        <f>Quarts!DR81</f>
        <v>-8.8565637065637137E-2</v>
      </c>
      <c r="W84" s="896">
        <f>Quarts!DS81</f>
        <v>5.2245841430222484E-2</v>
      </c>
      <c r="X84" s="896">
        <f>Quarts!DT81</f>
        <v>7.210032506456221E-2</v>
      </c>
      <c r="Y84" s="896">
        <f>Quarts!DU81</f>
        <v>6.8151421625441966E-2</v>
      </c>
      <c r="Z84" s="896">
        <f>Quarts!DV81</f>
        <v>4.1161589952909416E-4</v>
      </c>
      <c r="AA84" s="896">
        <f>Quarts!DW81</f>
        <v>7.4904204728181156E-3</v>
      </c>
      <c r="AB84" s="896">
        <f>Quarts!DX81</f>
        <v>-0.10005094756261768</v>
      </c>
      <c r="AC84" s="896">
        <f>Quarts!DY81</f>
        <v>-4.5042301184433198E-2</v>
      </c>
      <c r="AD84" s="896">
        <f>Quarts!DZ81</f>
        <v>-2.5416527871092276E-2</v>
      </c>
      <c r="AE84" s="896">
        <f>Quarts!EA81</f>
        <v>-4.3671705927339266E-2</v>
      </c>
    </row>
    <row r="85" spans="2:31">
      <c r="B85" s="160" t="s">
        <v>347</v>
      </c>
      <c r="C85" s="258">
        <f>Quarts!CY72</f>
        <v>9.6954206602768878E-2</v>
      </c>
      <c r="D85" s="258">
        <f>Quarts!CZ72</f>
        <v>0.10591658471516352</v>
      </c>
      <c r="E85" s="258">
        <f>Quarts!DA72</f>
        <v>0.1142935242176506</v>
      </c>
      <c r="F85" s="258">
        <f>Quarts!DB72</f>
        <v>0.11228833459196053</v>
      </c>
      <c r="G85" s="258">
        <f>Quarts!DC72</f>
        <v>7.182031765756669E-2</v>
      </c>
      <c r="H85" s="258">
        <f>Quarts!DD72</f>
        <v>2.1594173154129814E-2</v>
      </c>
      <c r="I85" s="258">
        <f>Quarts!DE72</f>
        <v>3.9966884966885052E-2</v>
      </c>
      <c r="J85" s="258">
        <f>Quarts!DF72</f>
        <v>2.7718290829251702E-2</v>
      </c>
      <c r="K85" s="258">
        <f>Quarts!DG72</f>
        <v>7.8239680555875157E-2</v>
      </c>
      <c r="L85" s="258">
        <f>Quarts!DH72</f>
        <v>0.11048947206973758</v>
      </c>
      <c r="M85" s="258">
        <f>Quarts!DI72</f>
        <v>9.3123697730669308E-2</v>
      </c>
      <c r="N85" s="258">
        <f>Quarts!DJ72</f>
        <v>0.1198066586586366</v>
      </c>
      <c r="O85" s="258">
        <f>Quarts!DK72</f>
        <v>0.10256202180820861</v>
      </c>
      <c r="P85" s="258">
        <f>Quarts!DL72</f>
        <v>0.10181503347735732</v>
      </c>
      <c r="Q85" s="258">
        <f>Quarts!DM72</f>
        <v>9.6332974554941719E-2</v>
      </c>
      <c r="R85" s="258">
        <f>Quarts!DN72</f>
        <v>0.10838239269632122</v>
      </c>
      <c r="S85" s="258">
        <f>Quarts!DO72</f>
        <v>8.9869508623792393E-2</v>
      </c>
      <c r="T85" s="258">
        <f>Quarts!DP72</f>
        <v>0.10365045966389808</v>
      </c>
      <c r="U85" s="258">
        <f>Quarts!DQ72</f>
        <v>0.11189830314752292</v>
      </c>
      <c r="V85" s="258">
        <f>Quarts!DR72</f>
        <v>9.461512366868674E-2</v>
      </c>
      <c r="W85" s="258">
        <f>Quarts!DS72</f>
        <v>0.11638606255875827</v>
      </c>
      <c r="X85" s="258">
        <f>Quarts!DT72</f>
        <v>0.10334277500530931</v>
      </c>
      <c r="Y85" s="258">
        <f>Quarts!DU72</f>
        <v>9.680577236053467E-2</v>
      </c>
      <c r="Z85" s="258">
        <f>Quarts!DV72</f>
        <v>8.2853965920488104E-2</v>
      </c>
      <c r="AA85" s="258">
        <f>Quarts!DW72</f>
        <v>7.7961546741897925E-2</v>
      </c>
      <c r="AB85" s="258">
        <f>Quarts!DX72</f>
        <v>6.9300265299459873E-2</v>
      </c>
      <c r="AC85" s="258">
        <f>Quarts!DY72</f>
        <v>8.5826625690720526E-2</v>
      </c>
      <c r="AD85" s="258">
        <f>Quarts!DZ72</f>
        <v>8.2004845345890365E-2</v>
      </c>
      <c r="AE85" s="258">
        <f>Quarts!EA72</f>
        <v>8.7102210443825712E-2</v>
      </c>
    </row>
    <row r="89" spans="2:31">
      <c r="B89" s="160"/>
    </row>
    <row r="90" spans="2:31">
      <c r="B90" s="705" t="s">
        <v>535</v>
      </c>
      <c r="C90" s="898" t="str">
        <f>C60</f>
        <v>1Q19</v>
      </c>
      <c r="D90" s="898" t="str">
        <f t="shared" ref="D90:Q90" si="27">D60</f>
        <v>2Q19</v>
      </c>
      <c r="E90" s="898" t="str">
        <f t="shared" si="27"/>
        <v>3Q19</v>
      </c>
      <c r="F90" s="898" t="str">
        <f t="shared" si="27"/>
        <v>4Q19</v>
      </c>
      <c r="G90" s="898" t="str">
        <f t="shared" si="27"/>
        <v>1Q20</v>
      </c>
      <c r="H90" s="898" t="str">
        <f t="shared" si="27"/>
        <v>2Q20</v>
      </c>
      <c r="I90" s="898" t="str">
        <f t="shared" si="27"/>
        <v>3Q20</v>
      </c>
      <c r="J90" s="898" t="str">
        <f t="shared" si="27"/>
        <v>4Q20</v>
      </c>
      <c r="K90" s="898" t="str">
        <f t="shared" si="27"/>
        <v>1Q21</v>
      </c>
      <c r="L90" s="898" t="str">
        <f t="shared" si="27"/>
        <v>2Q21</v>
      </c>
      <c r="M90" s="898" t="str">
        <f t="shared" si="27"/>
        <v>3Q21</v>
      </c>
      <c r="N90" s="898" t="str">
        <f t="shared" si="27"/>
        <v>4Q21</v>
      </c>
      <c r="O90" s="898" t="str">
        <f t="shared" si="27"/>
        <v>1Q22</v>
      </c>
      <c r="P90" s="898" t="str">
        <f t="shared" si="27"/>
        <v>2Q22</v>
      </c>
      <c r="Q90" s="898" t="str">
        <f t="shared" si="27"/>
        <v>3Q22</v>
      </c>
      <c r="R90" s="898" t="str">
        <f t="shared" ref="R90:AE90" si="28">R60</f>
        <v>4Q22</v>
      </c>
      <c r="S90" s="898" t="str">
        <f t="shared" si="28"/>
        <v>1Q23</v>
      </c>
      <c r="T90" s="898" t="str">
        <f t="shared" si="28"/>
        <v>2Q23</v>
      </c>
      <c r="U90" s="898" t="str">
        <f t="shared" si="28"/>
        <v>3Q23</v>
      </c>
      <c r="V90" s="898" t="str">
        <f t="shared" si="28"/>
        <v>4Q23</v>
      </c>
      <c r="W90" s="898" t="str">
        <f t="shared" si="28"/>
        <v>1Q24</v>
      </c>
      <c r="X90" s="898" t="str">
        <f t="shared" si="28"/>
        <v>2Q24</v>
      </c>
      <c r="Y90" s="898" t="str">
        <f t="shared" si="28"/>
        <v>3Q24</v>
      </c>
      <c r="Z90" s="898" t="str">
        <f t="shared" si="28"/>
        <v>4Q24</v>
      </c>
      <c r="AA90" s="898" t="str">
        <f t="shared" si="28"/>
        <v>1Q25</v>
      </c>
      <c r="AB90" s="898" t="str">
        <f t="shared" si="28"/>
        <v>2Q25</v>
      </c>
      <c r="AC90" s="898" t="str">
        <f t="shared" si="28"/>
        <v>3Q25</v>
      </c>
      <c r="AD90" s="898" t="str">
        <f t="shared" si="28"/>
        <v>4Q25</v>
      </c>
      <c r="AE90" s="898" t="str">
        <f t="shared" si="28"/>
        <v>1Q26</v>
      </c>
    </row>
    <row r="91" spans="2:31">
      <c r="B91" s="160" t="s">
        <v>36</v>
      </c>
      <c r="C91" s="173">
        <f>C61</f>
        <v>263.59945600000003</v>
      </c>
      <c r="D91" s="173">
        <f t="shared" ref="D91:Q91" si="29">D61</f>
        <v>289.29219999999998</v>
      </c>
      <c r="E91" s="173">
        <f t="shared" si="29"/>
        <v>286.36680699999988</v>
      </c>
      <c r="F91" s="173">
        <f t="shared" si="29"/>
        <v>232.92599999999979</v>
      </c>
      <c r="G91" s="173">
        <f t="shared" si="29"/>
        <v>211.86727400000038</v>
      </c>
      <c r="H91" s="173">
        <f t="shared" si="29"/>
        <v>202.50616199999993</v>
      </c>
      <c r="I91" s="173">
        <f t="shared" si="29"/>
        <v>266.40340000000015</v>
      </c>
      <c r="J91" s="173">
        <f t="shared" si="29"/>
        <v>212.52565599999974</v>
      </c>
      <c r="K91" s="173">
        <f t="shared" si="29"/>
        <v>197.66499699999989</v>
      </c>
      <c r="L91" s="173">
        <f t="shared" si="29"/>
        <v>248.52662200000017</v>
      </c>
      <c r="M91" s="173">
        <f t="shared" si="29"/>
        <v>296.79599999999999</v>
      </c>
      <c r="N91" s="173">
        <f t="shared" si="29"/>
        <v>255.6948040000002</v>
      </c>
      <c r="O91" s="173">
        <f t="shared" si="29"/>
        <v>246.42557999999991</v>
      </c>
      <c r="P91" s="173">
        <f t="shared" si="29"/>
        <v>277.75584400000002</v>
      </c>
      <c r="Q91" s="173">
        <f t="shared" si="29"/>
        <v>303.84041600000006</v>
      </c>
      <c r="R91" s="173">
        <f t="shared" ref="R91:AE91" si="30">R61</f>
        <v>277.40515199999965</v>
      </c>
      <c r="S91" s="173">
        <f t="shared" si="30"/>
        <v>306.83389999999997</v>
      </c>
      <c r="T91" s="173">
        <f t="shared" si="30"/>
        <v>309.64672000000019</v>
      </c>
      <c r="U91" s="173">
        <f t="shared" si="30"/>
        <v>308.40523599999995</v>
      </c>
      <c r="V91" s="173">
        <f t="shared" si="30"/>
        <v>281.87047600000017</v>
      </c>
      <c r="W91" s="173">
        <f t="shared" si="30"/>
        <v>261.43666999999971</v>
      </c>
      <c r="X91" s="173">
        <f t="shared" si="30"/>
        <v>246.44624200000004</v>
      </c>
      <c r="Y91" s="173">
        <f t="shared" si="30"/>
        <v>266.27081600000008</v>
      </c>
      <c r="Z91" s="173">
        <f t="shared" si="30"/>
        <v>235.48906800000017</v>
      </c>
      <c r="AA91" s="173">
        <f t="shared" si="30"/>
        <v>267.82477499999999</v>
      </c>
      <c r="AB91" s="173">
        <f t="shared" si="30"/>
        <v>309.277355</v>
      </c>
      <c r="AC91" s="173">
        <f t="shared" si="30"/>
        <v>434.37601999999993</v>
      </c>
      <c r="AD91" s="173">
        <f t="shared" si="30"/>
        <v>311.15938100000017</v>
      </c>
      <c r="AE91" s="173">
        <f t="shared" si="30"/>
        <v>337.62856799999969</v>
      </c>
    </row>
    <row r="92" spans="2:31">
      <c r="B92" s="160" t="s">
        <v>542</v>
      </c>
      <c r="C92" s="169">
        <f t="shared" ref="C92:Q92" si="31">C56</f>
        <v>2.8000000000000001E-2</v>
      </c>
      <c r="D92" s="169">
        <f t="shared" si="31"/>
        <v>2.8000000000000001E-2</v>
      </c>
      <c r="E92" s="169">
        <f t="shared" si="31"/>
        <v>2.9000000000000001E-2</v>
      </c>
      <c r="F92" s="169">
        <f t="shared" si="31"/>
        <v>2.4E-2</v>
      </c>
      <c r="G92" s="169">
        <f t="shared" si="31"/>
        <v>2.1000000000000001E-2</v>
      </c>
      <c r="H92" s="169">
        <f t="shared" si="31"/>
        <v>1.7999999999999999E-2</v>
      </c>
      <c r="I92" s="169">
        <f t="shared" si="31"/>
        <v>1.7000000000000001E-2</v>
      </c>
      <c r="J92" s="169">
        <f t="shared" si="31"/>
        <v>1.6E-2</v>
      </c>
      <c r="K92" s="169">
        <f t="shared" si="31"/>
        <v>1.7000000000000001E-2</v>
      </c>
      <c r="L92" s="169">
        <f t="shared" si="31"/>
        <v>2.1999999999999999E-2</v>
      </c>
      <c r="M92" s="169">
        <f t="shared" si="31"/>
        <v>2.3E-2</v>
      </c>
      <c r="N92" s="169">
        <f t="shared" si="31"/>
        <v>2.1999999999999999E-2</v>
      </c>
      <c r="O92" s="169">
        <f t="shared" si="31"/>
        <v>2.3E-2</v>
      </c>
      <c r="P92" s="169">
        <f t="shared" si="31"/>
        <v>2.5999999999999999E-2</v>
      </c>
      <c r="Q92" s="169">
        <f t="shared" si="31"/>
        <v>2.4E-2</v>
      </c>
      <c r="R92" s="169">
        <f t="shared" ref="R92:AE92" si="32">R56</f>
        <v>1.7999999999999999E-2</v>
      </c>
      <c r="S92" s="169">
        <f t="shared" si="32"/>
        <v>0.02</v>
      </c>
      <c r="T92" s="169">
        <f t="shared" si="32"/>
        <v>0.02</v>
      </c>
      <c r="U92" s="169">
        <f t="shared" si="32"/>
        <v>2.3E-2</v>
      </c>
      <c r="V92" s="169">
        <f t="shared" si="32"/>
        <v>2.1999999999999999E-2</v>
      </c>
      <c r="W92" s="169">
        <f t="shared" si="32"/>
        <v>2.1000000000000001E-2</v>
      </c>
      <c r="X92" s="169">
        <f t="shared" si="32"/>
        <v>2.5999999999999999E-2</v>
      </c>
      <c r="Y92" s="169">
        <f t="shared" si="32"/>
        <v>2.4E-2</v>
      </c>
      <c r="Z92" s="169">
        <f t="shared" si="32"/>
        <v>2.1000000000000001E-2</v>
      </c>
      <c r="AA92" s="169">
        <f t="shared" si="32"/>
        <v>2.5000000000000001E-2</v>
      </c>
      <c r="AB92" s="169">
        <f t="shared" si="32"/>
        <v>2.3E-2</v>
      </c>
      <c r="AC92" s="169">
        <f t="shared" si="32"/>
        <v>2.7E-2</v>
      </c>
      <c r="AD92" s="169">
        <f t="shared" si="32"/>
        <v>2.3E-2</v>
      </c>
      <c r="AE92" s="169">
        <f t="shared" si="32"/>
        <v>2.4E-2</v>
      </c>
    </row>
    <row r="93" spans="2:31">
      <c r="B93" s="160"/>
      <c r="C93" s="169"/>
      <c r="D93" s="169"/>
      <c r="E93" s="169"/>
      <c r="F93" s="169"/>
      <c r="G93" s="169"/>
      <c r="H93" s="169"/>
      <c r="I93" s="169"/>
      <c r="J93" s="169"/>
      <c r="K93" s="169"/>
      <c r="L93" s="169"/>
      <c r="M93" s="169"/>
      <c r="N93" s="169"/>
      <c r="O93" s="169"/>
      <c r="P93" s="169"/>
      <c r="Q93" s="169"/>
      <c r="R93" s="169"/>
      <c r="S93" s="169"/>
      <c r="T93" s="169"/>
      <c r="U93" s="169"/>
      <c r="V93" s="169"/>
      <c r="W93" s="169"/>
      <c r="X93" s="169"/>
      <c r="Y93" s="169"/>
      <c r="Z93" s="169"/>
      <c r="AA93" s="169"/>
      <c r="AB93" s="169"/>
      <c r="AC93" s="169"/>
      <c r="AD93" s="169"/>
      <c r="AE93" s="169"/>
    </row>
    <row r="94" spans="2:31">
      <c r="B94" s="705" t="s">
        <v>38</v>
      </c>
      <c r="C94" s="898" t="str">
        <f>C90</f>
        <v>1Q19</v>
      </c>
      <c r="D94" s="898" t="str">
        <f t="shared" ref="D94:Q94" si="33">D90</f>
        <v>2Q19</v>
      </c>
      <c r="E94" s="898" t="str">
        <f t="shared" si="33"/>
        <v>3Q19</v>
      </c>
      <c r="F94" s="898" t="str">
        <f t="shared" si="33"/>
        <v>4Q19</v>
      </c>
      <c r="G94" s="898" t="str">
        <f t="shared" si="33"/>
        <v>1Q20</v>
      </c>
      <c r="H94" s="898" t="str">
        <f t="shared" si="33"/>
        <v>2Q20</v>
      </c>
      <c r="I94" s="898" t="str">
        <f t="shared" si="33"/>
        <v>3Q20</v>
      </c>
      <c r="J94" s="898" t="str">
        <f t="shared" si="33"/>
        <v>4Q20</v>
      </c>
      <c r="K94" s="898" t="str">
        <f t="shared" si="33"/>
        <v>1Q21</v>
      </c>
      <c r="L94" s="898" t="str">
        <f t="shared" si="33"/>
        <v>2Q21</v>
      </c>
      <c r="M94" s="898" t="str">
        <f t="shared" si="33"/>
        <v>3Q21</v>
      </c>
      <c r="N94" s="898" t="str">
        <f t="shared" si="33"/>
        <v>4Q21</v>
      </c>
      <c r="O94" s="898" t="str">
        <f t="shared" si="33"/>
        <v>1Q22</v>
      </c>
      <c r="P94" s="898" t="str">
        <f t="shared" si="33"/>
        <v>2Q22</v>
      </c>
      <c r="Q94" s="898" t="str">
        <f t="shared" si="33"/>
        <v>3Q22</v>
      </c>
      <c r="R94" s="898" t="str">
        <f t="shared" ref="R94:AE94" si="34">R90</f>
        <v>4Q22</v>
      </c>
      <c r="S94" s="898" t="str">
        <f t="shared" si="34"/>
        <v>1Q23</v>
      </c>
      <c r="T94" s="898" t="str">
        <f t="shared" si="34"/>
        <v>2Q23</v>
      </c>
      <c r="U94" s="898" t="str">
        <f t="shared" si="34"/>
        <v>3Q23</v>
      </c>
      <c r="V94" s="898" t="str">
        <f t="shared" si="34"/>
        <v>4Q23</v>
      </c>
      <c r="W94" s="898" t="str">
        <f t="shared" si="34"/>
        <v>1Q24</v>
      </c>
      <c r="X94" s="898" t="str">
        <f t="shared" si="34"/>
        <v>2Q24</v>
      </c>
      <c r="Y94" s="898" t="str">
        <f t="shared" si="34"/>
        <v>3Q24</v>
      </c>
      <c r="Z94" s="898" t="str">
        <f t="shared" si="34"/>
        <v>4Q24</v>
      </c>
      <c r="AA94" s="898" t="str">
        <f t="shared" si="34"/>
        <v>1Q25</v>
      </c>
      <c r="AB94" s="898" t="str">
        <f t="shared" si="34"/>
        <v>2Q25</v>
      </c>
      <c r="AC94" s="898" t="str">
        <f t="shared" si="34"/>
        <v>3Q25</v>
      </c>
      <c r="AD94" s="898" t="str">
        <f t="shared" si="34"/>
        <v>4Q25</v>
      </c>
      <c r="AE94" s="898" t="str">
        <f t="shared" si="34"/>
        <v>1Q26</v>
      </c>
    </row>
    <row r="95" spans="2:31">
      <c r="B95" s="160" t="s">
        <v>446</v>
      </c>
      <c r="C95" s="173">
        <f t="shared" ref="C95:Q95" si="35">C62</f>
        <v>249.53164300000012</v>
      </c>
      <c r="D95" s="173">
        <f t="shared" si="35"/>
        <v>308.60460000000029</v>
      </c>
      <c r="E95" s="173">
        <f t="shared" si="35"/>
        <v>297.96589199999983</v>
      </c>
      <c r="F95" s="173">
        <f t="shared" si="35"/>
        <v>242.25100000000018</v>
      </c>
      <c r="G95" s="173">
        <f t="shared" si="35"/>
        <v>225.3177959999997</v>
      </c>
      <c r="H95" s="173">
        <f t="shared" si="35"/>
        <v>234.04528800000023</v>
      </c>
      <c r="I95" s="173">
        <f t="shared" si="35"/>
        <v>329.91799999999978</v>
      </c>
      <c r="J95" s="173">
        <f t="shared" si="35"/>
        <v>260.20076000000017</v>
      </c>
      <c r="K95" s="173">
        <f t="shared" si="35"/>
        <v>279.50446799999969</v>
      </c>
      <c r="L95" s="173">
        <f t="shared" si="35"/>
        <v>273.54440000000028</v>
      </c>
      <c r="M95" s="173">
        <f t="shared" si="35"/>
        <v>323.88599999999974</v>
      </c>
      <c r="N95" s="173">
        <f t="shared" si="35"/>
        <v>306.1557200000002</v>
      </c>
      <c r="O95" s="173">
        <f t="shared" si="35"/>
        <v>300.93925899999999</v>
      </c>
      <c r="P95" s="173">
        <f t="shared" si="35"/>
        <v>334.53505699999988</v>
      </c>
      <c r="Q95" s="173">
        <f t="shared" si="35"/>
        <v>370.61777500000017</v>
      </c>
      <c r="R95" s="173">
        <f t="shared" ref="R95:AE95" si="36">R62</f>
        <v>329.39773199999962</v>
      </c>
      <c r="S95" s="173">
        <f t="shared" si="36"/>
        <v>383.16302000000024</v>
      </c>
      <c r="T95" s="173">
        <f t="shared" si="36"/>
        <v>407.56640499999986</v>
      </c>
      <c r="U95" s="173">
        <f t="shared" si="36"/>
        <v>397.38105100000041</v>
      </c>
      <c r="V95" s="173">
        <f t="shared" si="36"/>
        <v>402.49061599999936</v>
      </c>
      <c r="W95" s="173">
        <f t="shared" si="36"/>
        <v>406.2938079999999</v>
      </c>
      <c r="X95" s="173">
        <f t="shared" si="36"/>
        <v>397.7565660000003</v>
      </c>
      <c r="Y95" s="173">
        <f t="shared" si="36"/>
        <v>479.61882000000014</v>
      </c>
      <c r="Z95" s="173">
        <f t="shared" si="36"/>
        <v>428.92079699999971</v>
      </c>
      <c r="AA95" s="173">
        <f t="shared" si="36"/>
        <v>434.80384999999984</v>
      </c>
      <c r="AB95" s="173">
        <f t="shared" si="36"/>
        <v>489.64366600000062</v>
      </c>
      <c r="AC95" s="173">
        <f t="shared" si="36"/>
        <v>511.1156739999995</v>
      </c>
      <c r="AD95" s="173">
        <f t="shared" si="36"/>
        <v>473.01628000000028</v>
      </c>
      <c r="AE95" s="173">
        <f t="shared" si="36"/>
        <v>449.60613999999993</v>
      </c>
    </row>
    <row r="96" spans="2:31">
      <c r="B96" s="160" t="s">
        <v>445</v>
      </c>
      <c r="C96" s="169">
        <f t="shared" ref="C96:Q96" si="37">C57</f>
        <v>2.7E-2</v>
      </c>
      <c r="D96" s="169">
        <f t="shared" si="37"/>
        <v>2.7E-2</v>
      </c>
      <c r="E96" s="169">
        <f t="shared" si="37"/>
        <v>2.8000000000000001E-2</v>
      </c>
      <c r="F96" s="169">
        <f t="shared" si="37"/>
        <v>2.3E-2</v>
      </c>
      <c r="G96" s="169">
        <f t="shared" si="37"/>
        <v>1.9E-2</v>
      </c>
      <c r="H96" s="169">
        <f t="shared" si="37"/>
        <v>1.6E-2</v>
      </c>
      <c r="I96" s="169">
        <f t="shared" si="37"/>
        <v>1.4999999999999999E-2</v>
      </c>
      <c r="J96" s="169">
        <f t="shared" si="37"/>
        <v>1.6E-2</v>
      </c>
      <c r="K96" s="169">
        <f t="shared" si="37"/>
        <v>1.9E-2</v>
      </c>
      <c r="L96" s="169">
        <f t="shared" si="37"/>
        <v>0.02</v>
      </c>
      <c r="M96" s="169">
        <f t="shared" si="37"/>
        <v>0.02</v>
      </c>
      <c r="N96" s="169">
        <f t="shared" si="37"/>
        <v>0.02</v>
      </c>
      <c r="O96" s="169">
        <f t="shared" si="37"/>
        <v>2.1000000000000001E-2</v>
      </c>
      <c r="P96" s="169">
        <f t="shared" si="37"/>
        <v>2.7E-2</v>
      </c>
      <c r="Q96" s="169">
        <f t="shared" si="37"/>
        <v>2.3E-2</v>
      </c>
      <c r="R96" s="169">
        <f t="shared" ref="R96:AE96" si="38">R57</f>
        <v>1.7000000000000001E-2</v>
      </c>
      <c r="S96" s="169">
        <f t="shared" si="38"/>
        <v>1.9E-2</v>
      </c>
      <c r="T96" s="169">
        <f t="shared" si="38"/>
        <v>1.9E-2</v>
      </c>
      <c r="U96" s="169">
        <f t="shared" si="38"/>
        <v>2.1000000000000001E-2</v>
      </c>
      <c r="V96" s="169">
        <f t="shared" si="38"/>
        <v>1.7999999999999999E-2</v>
      </c>
      <c r="W96" s="169">
        <f t="shared" si="38"/>
        <v>1.7999999999999999E-2</v>
      </c>
      <c r="X96" s="169">
        <f t="shared" si="38"/>
        <v>2.1000000000000001E-2</v>
      </c>
      <c r="Y96" s="169">
        <f t="shared" si="38"/>
        <v>0.02</v>
      </c>
      <c r="Z96" s="169">
        <f t="shared" si="38"/>
        <v>1.7000000000000001E-2</v>
      </c>
      <c r="AA96" s="169">
        <f t="shared" si="38"/>
        <v>2.1000000000000001E-2</v>
      </c>
      <c r="AB96" s="169">
        <f t="shared" si="38"/>
        <v>2.1999999999999999E-2</v>
      </c>
      <c r="AC96" s="169">
        <f t="shared" si="38"/>
        <v>2.3E-2</v>
      </c>
      <c r="AD96" s="169">
        <f t="shared" si="38"/>
        <v>0.02</v>
      </c>
      <c r="AE96" s="169">
        <f t="shared" si="38"/>
        <v>0.02</v>
      </c>
    </row>
    <row r="99" spans="2:31">
      <c r="B99" s="160" t="s">
        <v>543</v>
      </c>
      <c r="C99" s="169">
        <f t="shared" ref="C99:Q99" si="39">C58</f>
        <v>3.9E-2</v>
      </c>
      <c r="D99" s="169">
        <f t="shared" si="39"/>
        <v>3.9E-2</v>
      </c>
      <c r="E99" s="169">
        <f t="shared" si="39"/>
        <v>3.6999999999999998E-2</v>
      </c>
      <c r="F99" s="169">
        <f t="shared" si="39"/>
        <v>0.03</v>
      </c>
      <c r="G99" s="169">
        <f t="shared" si="39"/>
        <v>2.5999999999999999E-2</v>
      </c>
      <c r="H99" s="169">
        <f t="shared" si="39"/>
        <v>2.4E-2</v>
      </c>
      <c r="I99" s="169">
        <f t="shared" si="39"/>
        <v>2.1000000000000001E-2</v>
      </c>
      <c r="J99" s="169">
        <f t="shared" si="39"/>
        <v>2.1000000000000001E-2</v>
      </c>
      <c r="K99" s="169">
        <f t="shared" si="39"/>
        <v>2.1999999999999999E-2</v>
      </c>
      <c r="L99" s="169">
        <f t="shared" si="39"/>
        <v>2.5000000000000001E-2</v>
      </c>
      <c r="M99" s="169">
        <f t="shared" si="39"/>
        <v>2.5000000000000001E-2</v>
      </c>
      <c r="N99" s="169">
        <f t="shared" si="39"/>
        <v>2.4E-2</v>
      </c>
      <c r="O99" s="169">
        <f t="shared" si="39"/>
        <v>2.5000000000000001E-2</v>
      </c>
      <c r="P99" s="169">
        <f t="shared" si="39"/>
        <v>2.9000000000000001E-2</v>
      </c>
      <c r="Q99" s="169">
        <f t="shared" si="39"/>
        <v>2.5000000000000001E-2</v>
      </c>
      <c r="R99" s="169">
        <f t="shared" ref="R99:AE99" si="40">R58</f>
        <v>1.9E-2</v>
      </c>
      <c r="S99" s="169">
        <f t="shared" si="40"/>
        <v>2.1000000000000001E-2</v>
      </c>
      <c r="T99" s="169">
        <f t="shared" si="40"/>
        <v>0.02</v>
      </c>
      <c r="U99" s="169">
        <f t="shared" si="40"/>
        <v>2.1999999999999999E-2</v>
      </c>
      <c r="V99" s="169">
        <f t="shared" si="40"/>
        <v>0.02</v>
      </c>
      <c r="W99" s="169">
        <f t="shared" si="40"/>
        <v>2.1000000000000001E-2</v>
      </c>
      <c r="X99" s="169">
        <f t="shared" si="40"/>
        <v>2.3E-2</v>
      </c>
      <c r="Y99" s="169">
        <f t="shared" si="40"/>
        <v>2.3E-2</v>
      </c>
      <c r="Z99" s="169">
        <f t="shared" si="40"/>
        <v>1.9E-2</v>
      </c>
      <c r="AA99" s="169">
        <f t="shared" si="40"/>
        <v>2.5000000000000001E-2</v>
      </c>
      <c r="AB99" s="169">
        <f t="shared" si="40"/>
        <v>2.5000000000000001E-2</v>
      </c>
      <c r="AC99" s="169">
        <f t="shared" si="40"/>
        <v>2.7E-2</v>
      </c>
      <c r="AD99" s="169">
        <f t="shared" si="40"/>
        <v>2.5999999999999999E-2</v>
      </c>
      <c r="AE99" s="169">
        <f t="shared" si="40"/>
        <v>2.1000000000000001E-2</v>
      </c>
    </row>
    <row r="101" spans="2:31">
      <c r="B101" s="160"/>
      <c r="D101" s="160"/>
      <c r="E101" s="160"/>
      <c r="F101" s="160"/>
      <c r="G101" s="160"/>
      <c r="H101" s="160"/>
      <c r="I101" s="160"/>
      <c r="J101" s="160"/>
      <c r="K101" s="160"/>
      <c r="L101" s="160"/>
      <c r="M101" s="160"/>
      <c r="N101" s="160"/>
      <c r="P101" s="171"/>
      <c r="Q101" s="171"/>
      <c r="R101" s="171"/>
      <c r="S101" s="171"/>
      <c r="T101" s="171"/>
      <c r="U101" s="171"/>
      <c r="V101" s="171"/>
      <c r="W101" s="171"/>
      <c r="X101" s="171"/>
      <c r="Y101" s="171"/>
    </row>
    <row r="110" spans="2:31">
      <c r="B110" s="705" t="s">
        <v>528</v>
      </c>
      <c r="C110" s="898" t="str">
        <f>Quarts!AR4</f>
        <v>1Q19</v>
      </c>
      <c r="D110" s="898" t="str">
        <f>Quarts!AS4</f>
        <v>2Q19</v>
      </c>
      <c r="E110" s="898" t="str">
        <f>Quarts!AT4</f>
        <v>3Q19</v>
      </c>
      <c r="F110" s="898" t="str">
        <f>Quarts!AU4</f>
        <v>4Q19</v>
      </c>
      <c r="G110" s="898" t="str">
        <f>Quarts!AV4</f>
        <v>1Q20</v>
      </c>
      <c r="H110" s="898" t="str">
        <f>Quarts!AW4</f>
        <v>2Q20</v>
      </c>
      <c r="I110" s="898" t="str">
        <f>Quarts!AX4</f>
        <v>3Q20</v>
      </c>
      <c r="J110" s="898" t="str">
        <f>Quarts!AY4</f>
        <v>4Q20</v>
      </c>
      <c r="K110" s="898" t="str">
        <f>Quarts!AZ4</f>
        <v>1Q21</v>
      </c>
      <c r="L110" s="898" t="str">
        <f>Quarts!BA4</f>
        <v>2Q21</v>
      </c>
      <c r="M110" s="898" t="str">
        <f>Quarts!BB4</f>
        <v>3Q21</v>
      </c>
      <c r="N110" s="898" t="str">
        <f>Quarts!BC4</f>
        <v>4Q21</v>
      </c>
      <c r="O110" s="898" t="str">
        <f>Quarts!BD4</f>
        <v>1Q22</v>
      </c>
      <c r="P110" s="898" t="str">
        <f>Quarts!BE4</f>
        <v>2Q22</v>
      </c>
      <c r="Q110" s="898" t="str">
        <f>Quarts!BF4</f>
        <v>3Q22</v>
      </c>
      <c r="R110" s="898" t="str">
        <f>Quarts!BG4</f>
        <v>4Q22</v>
      </c>
      <c r="S110" s="898" t="str">
        <f>Quarts!BH4</f>
        <v>1Q23</v>
      </c>
      <c r="T110" s="898" t="str">
        <f>Quarts!BI4</f>
        <v>2Q23</v>
      </c>
      <c r="U110" s="898" t="str">
        <f>Quarts!BJ4</f>
        <v>3Q23</v>
      </c>
      <c r="V110" s="898" t="str">
        <f>Quarts!BK4</f>
        <v>4Q23</v>
      </c>
      <c r="W110" s="898" t="str">
        <f>Quarts!BL4</f>
        <v>1Q24</v>
      </c>
      <c r="X110" s="898" t="str">
        <f>Quarts!BM4</f>
        <v>2Q24</v>
      </c>
      <c r="Y110" s="898" t="str">
        <f>Quarts!BN4</f>
        <v>3Q24</v>
      </c>
      <c r="Z110" s="898" t="str">
        <f>Quarts!BO4</f>
        <v>4Q24</v>
      </c>
      <c r="AA110" s="898" t="str">
        <f>Quarts!BP4</f>
        <v>1Q25</v>
      </c>
      <c r="AB110" s="898" t="str">
        <f>Quarts!BQ4</f>
        <v>2Q25</v>
      </c>
      <c r="AC110" s="898" t="str">
        <f>Quarts!BR4</f>
        <v>3Q25</v>
      </c>
      <c r="AD110" s="898" t="str">
        <f>Quarts!BS4</f>
        <v>4Q25</v>
      </c>
      <c r="AE110" s="898" t="str">
        <f>Quarts!BT4</f>
        <v>1Q26</v>
      </c>
    </row>
    <row r="111" spans="2:31">
      <c r="B111" s="160" t="s">
        <v>36</v>
      </c>
      <c r="C111" s="173">
        <f>Quarts!AR50</f>
        <v>228.6</v>
      </c>
      <c r="D111" s="173">
        <f>Quarts!AS50</f>
        <v>232.6</v>
      </c>
      <c r="E111" s="173">
        <f>Quarts!AT50</f>
        <v>232.3</v>
      </c>
      <c r="F111" s="173">
        <f>Quarts!AU50</f>
        <v>237.4</v>
      </c>
      <c r="G111" s="173">
        <f>Quarts!AV50</f>
        <v>241.8</v>
      </c>
      <c r="H111" s="173">
        <f>Quarts!AW50</f>
        <v>233.6</v>
      </c>
      <c r="I111" s="173">
        <f>Quarts!AX50</f>
        <v>231.6</v>
      </c>
      <c r="J111" s="173">
        <f>Quarts!AY50</f>
        <v>229</v>
      </c>
      <c r="K111" s="173">
        <f>Quarts!AZ50</f>
        <v>228.5</v>
      </c>
      <c r="L111" s="173">
        <f>Quarts!BA50</f>
        <v>226.1</v>
      </c>
      <c r="M111" s="173">
        <f>Quarts!BB50</f>
        <v>223.9</v>
      </c>
      <c r="N111" s="173">
        <f>Quarts!BC50</f>
        <v>231.7</v>
      </c>
      <c r="O111" s="173">
        <f>Quarts!BD50</f>
        <v>229</v>
      </c>
      <c r="P111" s="173">
        <f>Quarts!BE50</f>
        <v>230.7</v>
      </c>
      <c r="Q111" s="173">
        <f>Quarts!BF50</f>
        <v>229.3</v>
      </c>
      <c r="R111" s="173">
        <f>Quarts!BG50</f>
        <v>232.8</v>
      </c>
      <c r="S111" s="173">
        <f>Quarts!BH50</f>
        <v>233.9</v>
      </c>
      <c r="T111" s="173">
        <f>Quarts!BI50</f>
        <v>232.7</v>
      </c>
      <c r="U111" s="173">
        <f>Quarts!BJ50</f>
        <v>232.4</v>
      </c>
      <c r="V111" s="173">
        <f>Quarts!BK50</f>
        <v>240.7</v>
      </c>
      <c r="W111" s="173">
        <f>Quarts!BL50</f>
        <v>238.5</v>
      </c>
      <c r="X111" s="173">
        <f>Quarts!BM50</f>
        <v>239.2</v>
      </c>
      <c r="Y111" s="173">
        <f>Quarts!BN50</f>
        <v>241</v>
      </c>
      <c r="Z111" s="173">
        <f>Quarts!BO50</f>
        <v>245.25</v>
      </c>
      <c r="AA111" s="173">
        <f>Quarts!BP50</f>
        <v>0</v>
      </c>
      <c r="AB111" s="173">
        <f>Quarts!BQ50</f>
        <v>0</v>
      </c>
      <c r="AC111" s="173">
        <f>Quarts!BR50</f>
        <v>0</v>
      </c>
      <c r="AD111" s="173">
        <f>Quarts!BS50</f>
        <v>0</v>
      </c>
      <c r="AE111" s="173">
        <f>Quarts!BT50</f>
        <v>0</v>
      </c>
    </row>
    <row r="112" spans="2:31">
      <c r="B112" s="160" t="s">
        <v>38</v>
      </c>
      <c r="C112" s="173">
        <f>Quarts!AR51</f>
        <v>182</v>
      </c>
      <c r="D112" s="173">
        <f>Quarts!AS51</f>
        <v>182.7</v>
      </c>
      <c r="E112" s="173">
        <f>Quarts!AT51</f>
        <v>181.9</v>
      </c>
      <c r="F112" s="173">
        <f>Quarts!AU51</f>
        <v>185</v>
      </c>
      <c r="G112" s="173">
        <f>Quarts!AV51</f>
        <v>186.2</v>
      </c>
      <c r="H112" s="173">
        <f>Quarts!AW51</f>
        <v>181.9</v>
      </c>
      <c r="I112" s="173">
        <f>Quarts!AX51</f>
        <v>181</v>
      </c>
      <c r="J112" s="173">
        <f>Quarts!AY51</f>
        <v>182.1</v>
      </c>
      <c r="K112" s="173">
        <f>Quarts!AZ51</f>
        <v>185.5</v>
      </c>
      <c r="L112" s="173">
        <f>Quarts!BA51</f>
        <v>187</v>
      </c>
      <c r="M112" s="173">
        <f>Quarts!BB51</f>
        <v>185.7</v>
      </c>
      <c r="N112" s="173">
        <f>Quarts!BC51</f>
        <v>187.6</v>
      </c>
      <c r="O112" s="173">
        <f>Quarts!BD51</f>
        <v>188.4</v>
      </c>
      <c r="P112" s="173">
        <f>Quarts!BE51</f>
        <v>194</v>
      </c>
      <c r="Q112" s="173">
        <f>Quarts!BF51</f>
        <v>187.8</v>
      </c>
      <c r="R112" s="173">
        <f>Quarts!BG51</f>
        <v>188.2</v>
      </c>
      <c r="S112" s="173">
        <f>Quarts!BH51</f>
        <v>189.3</v>
      </c>
      <c r="T112" s="173">
        <f>Quarts!BI51</f>
        <v>192.3</v>
      </c>
      <c r="U112" s="173">
        <f>Quarts!BJ51</f>
        <v>193.4</v>
      </c>
      <c r="V112" s="173">
        <f>Quarts!BK51</f>
        <v>197.6</v>
      </c>
      <c r="W112" s="173">
        <f>Quarts!BL51</f>
        <v>198.7</v>
      </c>
      <c r="X112" s="173">
        <f>Quarts!BM51</f>
        <v>202.9</v>
      </c>
      <c r="Y112" s="173">
        <f>Quarts!BN51</f>
        <v>205</v>
      </c>
      <c r="Z112" s="173">
        <f>Quarts!BO51</f>
        <v>210</v>
      </c>
      <c r="AA112" s="173">
        <f>Quarts!BP51</f>
        <v>0</v>
      </c>
      <c r="AB112" s="173">
        <f>Quarts!BQ51</f>
        <v>0</v>
      </c>
      <c r="AC112" s="173">
        <f>Quarts!BR51</f>
        <v>0</v>
      </c>
      <c r="AD112" s="173">
        <f>Quarts!BS51</f>
        <v>0</v>
      </c>
      <c r="AE112" s="173">
        <f>Quarts!BT51</f>
        <v>0</v>
      </c>
    </row>
    <row r="137" spans="2:31">
      <c r="B137" s="705" t="s">
        <v>528</v>
      </c>
      <c r="C137" s="898" t="str">
        <f>Quarts!AR4</f>
        <v>1Q19</v>
      </c>
      <c r="D137" s="898" t="str">
        <f>Quarts!AS4</f>
        <v>2Q19</v>
      </c>
      <c r="E137" s="898" t="str">
        <f>Quarts!AT4</f>
        <v>3Q19</v>
      </c>
      <c r="F137" s="898" t="str">
        <f>Quarts!AU4</f>
        <v>4Q19</v>
      </c>
      <c r="G137" s="898" t="str">
        <f>Quarts!AV4</f>
        <v>1Q20</v>
      </c>
      <c r="H137" s="898" t="str">
        <f>Quarts!AW4</f>
        <v>2Q20</v>
      </c>
      <c r="I137" s="898" t="str">
        <f>Quarts!AX4</f>
        <v>3Q20</v>
      </c>
      <c r="J137" s="898" t="str">
        <f>Quarts!AY4</f>
        <v>4Q20</v>
      </c>
      <c r="K137" s="898" t="str">
        <f>Quarts!AZ4</f>
        <v>1Q21</v>
      </c>
      <c r="L137" s="898" t="str">
        <f>Quarts!BA4</f>
        <v>2Q21</v>
      </c>
      <c r="M137" s="898" t="str">
        <f>Quarts!BB4</f>
        <v>3Q21</v>
      </c>
      <c r="N137" s="898" t="str">
        <f>Quarts!BC4</f>
        <v>4Q21</v>
      </c>
      <c r="O137" s="898" t="str">
        <f>Quarts!BD4</f>
        <v>1Q22</v>
      </c>
      <c r="P137" s="898" t="str">
        <f>Quarts!BE4</f>
        <v>2Q22</v>
      </c>
      <c r="Q137" s="898" t="str">
        <f>Quarts!BF4</f>
        <v>3Q22</v>
      </c>
      <c r="R137" s="898" t="str">
        <f>Quarts!BG4</f>
        <v>4Q22</v>
      </c>
      <c r="S137" s="898" t="str">
        <f>Quarts!BH4</f>
        <v>1Q23</v>
      </c>
      <c r="T137" s="898" t="str">
        <f>Quarts!BI4</f>
        <v>2Q23</v>
      </c>
      <c r="U137" s="898" t="str">
        <f>Quarts!BJ4</f>
        <v>3Q23</v>
      </c>
      <c r="V137" s="898" t="str">
        <f>Quarts!BK4</f>
        <v>4Q23</v>
      </c>
      <c r="W137" s="898" t="str">
        <f>Quarts!BL4</f>
        <v>1Q24</v>
      </c>
      <c r="X137" s="898" t="str">
        <f>Quarts!BM4</f>
        <v>2Q24</v>
      </c>
      <c r="Y137" s="898" t="str">
        <f>Quarts!BN4</f>
        <v>3Q24</v>
      </c>
      <c r="Z137" s="898" t="str">
        <f>Quarts!BO4</f>
        <v>4Q24</v>
      </c>
      <c r="AA137" s="898" t="str">
        <f>Quarts!BP4</f>
        <v>1Q25</v>
      </c>
      <c r="AB137" s="898" t="str">
        <f>Quarts!BQ4</f>
        <v>2Q25</v>
      </c>
      <c r="AC137" s="898" t="str">
        <f>Quarts!BR4</f>
        <v>3Q25</v>
      </c>
      <c r="AD137" s="898" t="str">
        <f>Quarts!BS4</f>
        <v>4Q25</v>
      </c>
      <c r="AE137" s="898" t="str">
        <f>Quarts!BT4</f>
        <v>1Q26</v>
      </c>
    </row>
    <row r="138" spans="2:31">
      <c r="B138" s="706" t="str">
        <f>Quarts!B49</f>
        <v>Unique subs</v>
      </c>
      <c r="C138" s="173">
        <f>Quarts!AR49</f>
        <v>390.3</v>
      </c>
      <c r="D138" s="173">
        <f>Quarts!AS49</f>
        <v>396.5</v>
      </c>
      <c r="E138" s="173">
        <f>Quarts!AT49</f>
        <v>398.5</v>
      </c>
      <c r="F138" s="173">
        <f>Quarts!AU49</f>
        <v>410.3</v>
      </c>
      <c r="G138" s="173">
        <f>Quarts!AV49</f>
        <v>416.9</v>
      </c>
      <c r="H138" s="173">
        <f>Quarts!AW49</f>
        <v>405.7</v>
      </c>
      <c r="I138" s="173">
        <f>Quarts!AX49</f>
        <v>406.5</v>
      </c>
      <c r="J138" s="173">
        <f>Quarts!AY49</f>
        <v>405.2</v>
      </c>
      <c r="K138" s="173">
        <f>Quarts!AZ49</f>
        <v>411.4</v>
      </c>
      <c r="L138" s="173">
        <f>Quarts!BA49</f>
        <v>412.8</v>
      </c>
      <c r="M138" s="173">
        <f>Quarts!BB49</f>
        <v>411.5</v>
      </c>
      <c r="N138" s="173">
        <f>Quarts!BC49</f>
        <v>422.6</v>
      </c>
      <c r="O138" s="173">
        <f>Quarts!BD49</f>
        <v>422.4</v>
      </c>
      <c r="P138" s="173">
        <f>Quarts!BE49</f>
        <v>427.3</v>
      </c>
      <c r="Q138" s="173">
        <f>Quarts!BF49</f>
        <v>415.4</v>
      </c>
      <c r="R138" s="173">
        <f>Quarts!BG49</f>
        <v>419.5</v>
      </c>
      <c r="S138" s="173">
        <f>Quarts!BH49</f>
        <v>420.4</v>
      </c>
      <c r="T138" s="173">
        <f>Quarts!BI49</f>
        <v>420.8</v>
      </c>
      <c r="U138" s="173">
        <f>Quarts!BJ49</f>
        <v>418.7</v>
      </c>
      <c r="V138" s="173">
        <f>Quarts!BK49</f>
        <v>426.3</v>
      </c>
      <c r="W138" s="173">
        <f>Quarts!BL49</f>
        <v>421.7</v>
      </c>
      <c r="X138" s="173">
        <f>Quarts!BM49</f>
        <v>421.9</v>
      </c>
      <c r="Y138" s="173">
        <f>Quarts!BN49</f>
        <v>418.9</v>
      </c>
      <c r="Z138" s="173">
        <f>Quarts!BO49</f>
        <v>421.6</v>
      </c>
      <c r="AA138" s="173">
        <f>Quarts!BP49</f>
        <v>417.5</v>
      </c>
      <c r="AB138" s="173">
        <f>Quarts!BQ49</f>
        <v>421</v>
      </c>
      <c r="AC138" s="173">
        <f>Quarts!BR49</f>
        <v>422.3</v>
      </c>
      <c r="AD138" s="173">
        <f>Quarts!BS49</f>
        <v>422.84989737742308</v>
      </c>
      <c r="AE138" s="173">
        <f>Quarts!BT49</f>
        <v>424.72485002307343</v>
      </c>
    </row>
    <row r="139" spans="2:31">
      <c r="B139" s="161" t="s">
        <v>544</v>
      </c>
      <c r="G139" s="265">
        <f t="shared" ref="G139:X139" si="41">G138/C138-1</f>
        <v>6.8152703048936614E-2</v>
      </c>
      <c r="H139" s="265">
        <f t="shared" si="41"/>
        <v>2.3203026481714906E-2</v>
      </c>
      <c r="I139" s="265">
        <f t="shared" si="41"/>
        <v>2.0075282308657405E-2</v>
      </c>
      <c r="J139" s="265">
        <f t="shared" si="41"/>
        <v>-1.2429929320009858E-2</v>
      </c>
      <c r="K139" s="265">
        <f t="shared" si="41"/>
        <v>-1.319261213720313E-2</v>
      </c>
      <c r="L139" s="265">
        <f t="shared" si="41"/>
        <v>1.7500616218881104E-2</v>
      </c>
      <c r="M139" s="265">
        <f t="shared" si="41"/>
        <v>1.2300123001230068E-2</v>
      </c>
      <c r="N139" s="265">
        <f t="shared" si="41"/>
        <v>4.2941757156959692E-2</v>
      </c>
      <c r="O139" s="265">
        <f t="shared" si="41"/>
        <v>2.673796791443861E-2</v>
      </c>
      <c r="P139" s="265">
        <f t="shared" si="41"/>
        <v>3.5125968992248069E-2</v>
      </c>
      <c r="Q139" s="265">
        <f t="shared" si="41"/>
        <v>9.4775212636695194E-3</v>
      </c>
      <c r="R139" s="265">
        <f t="shared" si="41"/>
        <v>-7.3355418835778785E-3</v>
      </c>
      <c r="S139" s="265">
        <f t="shared" si="41"/>
        <v>-4.7348484848485084E-3</v>
      </c>
      <c r="T139" s="265">
        <f t="shared" si="41"/>
        <v>-1.5211794991809025E-2</v>
      </c>
      <c r="U139" s="265">
        <f t="shared" si="41"/>
        <v>7.9441502166586186E-3</v>
      </c>
      <c r="V139" s="265">
        <f t="shared" si="41"/>
        <v>1.6209773539928474E-2</v>
      </c>
      <c r="W139" s="265">
        <f t="shared" si="41"/>
        <v>3.0922930542340854E-3</v>
      </c>
      <c r="X139" s="265">
        <f t="shared" si="41"/>
        <v>2.6140684410644877E-3</v>
      </c>
      <c r="Y139" s="265">
        <f t="shared" ref="Y139:AE139" si="42">Y138/U138-1</f>
        <v>4.7766897540002518E-4</v>
      </c>
      <c r="Z139" s="265">
        <f t="shared" si="42"/>
        <v>-1.1025099695050389E-2</v>
      </c>
      <c r="AA139" s="265">
        <f t="shared" si="42"/>
        <v>-9.9596869812662581E-3</v>
      </c>
      <c r="AB139" s="265">
        <f t="shared" si="42"/>
        <v>-2.1332069210713289E-3</v>
      </c>
      <c r="AC139" s="265">
        <f t="shared" si="42"/>
        <v>8.1164955836716679E-3</v>
      </c>
      <c r="AD139" s="265">
        <f t="shared" si="42"/>
        <v>2.9646522234891837E-3</v>
      </c>
      <c r="AE139" s="265">
        <f t="shared" si="42"/>
        <v>1.7305029995385413E-2</v>
      </c>
    </row>
    <row r="148" spans="2:31">
      <c r="B148" s="705" t="s">
        <v>545</v>
      </c>
      <c r="C148" s="900" t="str">
        <f>Quarts!AR4</f>
        <v>1Q19</v>
      </c>
      <c r="D148" s="900" t="str">
        <f>Quarts!AS4</f>
        <v>2Q19</v>
      </c>
      <c r="E148" s="900" t="str">
        <f>Quarts!AT4</f>
        <v>3Q19</v>
      </c>
      <c r="F148" s="900" t="str">
        <f>Quarts!AU4</f>
        <v>4Q19</v>
      </c>
      <c r="G148" s="900" t="str">
        <f>Quarts!AV4</f>
        <v>1Q20</v>
      </c>
      <c r="H148" s="900" t="str">
        <f>Quarts!AW4</f>
        <v>2Q20</v>
      </c>
      <c r="I148" s="900" t="str">
        <f>Quarts!AX4</f>
        <v>3Q20</v>
      </c>
      <c r="J148" s="900" t="str">
        <f>Quarts!AY4</f>
        <v>4Q20</v>
      </c>
      <c r="K148" s="900" t="str">
        <f>Quarts!AZ4</f>
        <v>1Q21</v>
      </c>
      <c r="L148" s="900" t="str">
        <f>Quarts!BA4</f>
        <v>2Q21</v>
      </c>
      <c r="M148" s="900" t="str">
        <f>Quarts!BB4</f>
        <v>3Q21</v>
      </c>
      <c r="N148" s="900" t="str">
        <f>Quarts!BC4</f>
        <v>4Q21</v>
      </c>
      <c r="O148" s="900" t="str">
        <f>Quarts!BD4</f>
        <v>1Q22</v>
      </c>
      <c r="P148" s="900" t="str">
        <f>Quarts!BE4</f>
        <v>2Q22</v>
      </c>
      <c r="Q148" s="900" t="str">
        <f>Quarts!BF4</f>
        <v>3Q22</v>
      </c>
      <c r="R148" s="900" t="str">
        <f>Quarts!BG4</f>
        <v>4Q22</v>
      </c>
      <c r="S148" s="900" t="str">
        <f>Quarts!BH4</f>
        <v>1Q23</v>
      </c>
      <c r="T148" s="900" t="str">
        <f>Quarts!BI4</f>
        <v>2Q23</v>
      </c>
      <c r="U148" s="900" t="str">
        <f>Quarts!BJ4</f>
        <v>3Q23</v>
      </c>
      <c r="V148" s="900" t="str">
        <f>Quarts!BK4</f>
        <v>4Q23</v>
      </c>
      <c r="W148" s="900" t="str">
        <f>Quarts!BL4</f>
        <v>1Q24</v>
      </c>
      <c r="X148" s="900" t="str">
        <f>Quarts!BM4</f>
        <v>2Q24</v>
      </c>
      <c r="Y148" s="900" t="str">
        <f>Quarts!BN4</f>
        <v>3Q24</v>
      </c>
      <c r="Z148" s="900" t="str">
        <f>Quarts!BO4</f>
        <v>4Q24</v>
      </c>
      <c r="AA148" s="900" t="str">
        <f>Quarts!BP4</f>
        <v>1Q25</v>
      </c>
      <c r="AB148" s="900" t="str">
        <f>Quarts!BQ4</f>
        <v>2Q25</v>
      </c>
      <c r="AC148" s="900" t="str">
        <f>Quarts!BR4</f>
        <v>3Q25</v>
      </c>
      <c r="AD148" s="900" t="str">
        <f>Quarts!BS4</f>
        <v>4Q25</v>
      </c>
      <c r="AE148" s="900" t="str">
        <f>Quarts!BT4</f>
        <v>1Q26</v>
      </c>
    </row>
    <row r="149" spans="2:31">
      <c r="B149" s="160" t="s">
        <v>546</v>
      </c>
      <c r="C149" s="169">
        <f>Quarts!CY140</f>
        <v>7.4520915006519806E-2</v>
      </c>
      <c r="D149" s="169">
        <f>Quarts!CZ140</f>
        <v>9.9988715637431946E-2</v>
      </c>
      <c r="E149" s="169">
        <f>Quarts!DA140</f>
        <v>7.1173242543703052E-2</v>
      </c>
      <c r="F149" s="169">
        <f>Quarts!DB140</f>
        <v>0.10280615600473553</v>
      </c>
      <c r="G149" s="169">
        <f>Quarts!DC140</f>
        <v>8.4779994455799867E-2</v>
      </c>
      <c r="H149" s="169">
        <f>Quarts!DD140</f>
        <v>4.1193704884096682E-2</v>
      </c>
      <c r="I149" s="169">
        <f>Quarts!DE140</f>
        <v>0.12108672010311361</v>
      </c>
      <c r="J149" s="169">
        <f>Quarts!DF140</f>
        <v>0.10022662484046796</v>
      </c>
      <c r="K149" s="169">
        <f>Quarts!DG140</f>
        <v>8.5425735288004789E-2</v>
      </c>
      <c r="L149" s="169">
        <f>Quarts!DH140</f>
        <v>0.10696331764001732</v>
      </c>
      <c r="M149" s="169">
        <f>Quarts!DI140</f>
        <v>8.3462136253009689E-2</v>
      </c>
      <c r="N149" s="169">
        <f>Quarts!DJ140</f>
        <v>0.11560798292316177</v>
      </c>
      <c r="O149" s="169">
        <f>Quarts!DK140</f>
        <v>7.5095097235112318E-2</v>
      </c>
      <c r="P149" s="169">
        <f>Quarts!DL140</f>
        <v>8.190036532713374E-2</v>
      </c>
      <c r="Q149" s="169">
        <f>Quarts!DM140</f>
        <v>5.0537467535740621E-2</v>
      </c>
      <c r="R149" s="169">
        <f>Quarts!DN140</f>
        <v>8.982001014520069E-3</v>
      </c>
      <c r="S149" s="169">
        <f>Quarts!DO140</f>
        <v>1.2453817390679633E-2</v>
      </c>
      <c r="T149" s="169">
        <f>Quarts!DP140</f>
        <v>9.1392380039059251E-3</v>
      </c>
      <c r="U149" s="169">
        <f>Quarts!DQ140</f>
        <v>4.3630639395005E-2</v>
      </c>
      <c r="V149" s="169">
        <f>Quarts!DR140</f>
        <v>0.11004291305379343</v>
      </c>
      <c r="W149" s="169">
        <f>Quarts!DS140</f>
        <v>0.12601634597293399</v>
      </c>
      <c r="X149" s="169">
        <f>Quarts!DT140</f>
        <v>9.6781199826974529E-2</v>
      </c>
      <c r="Y149" s="169">
        <f>Quarts!DU140</f>
        <v>8.2428153475434085E-2</v>
      </c>
      <c r="Z149" s="169">
        <f>Quarts!DV140</f>
        <v>8.8864601541613464E-2</v>
      </c>
      <c r="AA149" s="169">
        <f>Quarts!DW140</f>
        <v>8.2338931327575748E-2</v>
      </c>
      <c r="AB149" s="169">
        <f>Quarts!DX140</f>
        <v>9.6536431537110889E-2</v>
      </c>
      <c r="AC149" s="169">
        <f>Quarts!DY140</f>
        <v>0.10247998128969771</v>
      </c>
      <c r="AD149" s="169">
        <f>Quarts!DZ140</f>
        <v>0.153</v>
      </c>
      <c r="AE149" s="169">
        <f>Quarts!EA140</f>
        <v>8.502103969188135E-2</v>
      </c>
    </row>
    <row r="150" spans="2:31">
      <c r="B150" s="160" t="s">
        <v>547</v>
      </c>
      <c r="C150" s="169">
        <f t="shared" ref="C150:AD150" si="43">C76</f>
        <v>0.49520659391868277</v>
      </c>
      <c r="D150" s="169">
        <f t="shared" si="43"/>
        <v>0.48875810960153249</v>
      </c>
      <c r="E150" s="169">
        <f t="shared" si="43"/>
        <v>0.45929995929995932</v>
      </c>
      <c r="F150" s="169">
        <f t="shared" si="43"/>
        <v>0.44714530795829299</v>
      </c>
      <c r="G150" s="169">
        <f t="shared" si="43"/>
        <v>0.50119427422275264</v>
      </c>
      <c r="H150" s="169">
        <f t="shared" si="43"/>
        <v>0.49813505235350403</v>
      </c>
      <c r="I150" s="169">
        <f t="shared" si="43"/>
        <v>0.4951264240798216</v>
      </c>
      <c r="J150" s="169">
        <f t="shared" si="43"/>
        <v>0.47869263141288226</v>
      </c>
      <c r="K150" s="169">
        <f t="shared" si="43"/>
        <v>0.50453454220856619</v>
      </c>
      <c r="L150" s="169">
        <f t="shared" si="43"/>
        <v>0.49655331640225597</v>
      </c>
      <c r="M150" s="169">
        <f t="shared" si="43"/>
        <v>0.4907502547630353</v>
      </c>
      <c r="N150" s="169">
        <f t="shared" si="43"/>
        <v>0.47689779020460499</v>
      </c>
      <c r="O150" s="169">
        <f t="shared" si="43"/>
        <v>0.49196562368855656</v>
      </c>
      <c r="P150" s="169">
        <f t="shared" si="43"/>
        <v>0.48757840299611477</v>
      </c>
      <c r="Q150" s="169">
        <f t="shared" si="43"/>
        <v>0.47025086519956921</v>
      </c>
      <c r="R150" s="169">
        <f t="shared" si="43"/>
        <v>0.4341293129616513</v>
      </c>
      <c r="S150" s="169">
        <f t="shared" si="43"/>
        <v>0.45702028526095795</v>
      </c>
      <c r="T150" s="169">
        <f t="shared" si="43"/>
        <v>0.44582457585031321</v>
      </c>
      <c r="U150" s="169">
        <f t="shared" si="43"/>
        <v>0.44137868520442131</v>
      </c>
      <c r="V150" s="169">
        <f t="shared" si="43"/>
        <v>0.44024804406763651</v>
      </c>
      <c r="W150" s="169">
        <f t="shared" si="43"/>
        <v>0.46096268029856963</v>
      </c>
      <c r="X150" s="169">
        <f t="shared" si="43"/>
        <v>0.44317325883708764</v>
      </c>
      <c r="Y150" s="169">
        <f t="shared" si="43"/>
        <v>0.43559281620209261</v>
      </c>
      <c r="Z150" s="169">
        <f t="shared" si="43"/>
        <v>0.44269174438096021</v>
      </c>
      <c r="AA150" s="169">
        <f t="shared" si="43"/>
        <v>0.46283455683944469</v>
      </c>
      <c r="AB150" s="169">
        <f t="shared" si="43"/>
        <v>0.45446133286219614</v>
      </c>
      <c r="AC150" s="169">
        <f t="shared" si="43"/>
        <v>0.44227351631842915</v>
      </c>
      <c r="AD150" s="169">
        <f t="shared" si="43"/>
        <v>0.44047089793512967</v>
      </c>
      <c r="AE150" s="169">
        <f>AE76</f>
        <v>0.46194849687798983</v>
      </c>
    </row>
    <row r="151" spans="2:31">
      <c r="B151" s="160" t="s">
        <v>548</v>
      </c>
      <c r="C151" s="169">
        <f>Quarts!CY117</f>
        <v>5.4539840838028431E-2</v>
      </c>
      <c r="D151" s="169">
        <f>Quarts!CZ117</f>
        <v>9.0788988639036727E-2</v>
      </c>
      <c r="E151" s="169">
        <f>Quarts!DA117</f>
        <v>4.5404742518822205E-2</v>
      </c>
      <c r="F151" s="169">
        <f>Quarts!DB117</f>
        <v>6.7891669364910534E-2</v>
      </c>
      <c r="G151" s="169">
        <f>Quarts!DC117</f>
        <v>9.4194525292563558E-2</v>
      </c>
      <c r="H151" s="169">
        <f>Quarts!DD117</f>
        <v>3.428765708755499E-2</v>
      </c>
      <c r="I151" s="169">
        <f>Quarts!DE117</f>
        <v>0.14417089160839147</v>
      </c>
      <c r="J151" s="169">
        <f>Quarts!DF117</f>
        <v>0.12686714240852437</v>
      </c>
      <c r="K151" s="169">
        <f>Quarts!DG117</f>
        <v>9.5395834234278887E-2</v>
      </c>
      <c r="L151" s="169">
        <f>Quarts!DH117</f>
        <v>0.11859159936920571</v>
      </c>
      <c r="M151" s="169">
        <f>Quarts!DI117</f>
        <v>8.7841113152216099E-2</v>
      </c>
      <c r="N151" s="169">
        <f>Quarts!DJ117</f>
        <v>0.13363084598915265</v>
      </c>
      <c r="O151" s="169">
        <f>Quarts!DK117</f>
        <v>7.8632397287918154E-2</v>
      </c>
      <c r="P151" s="169">
        <f>Quarts!DL117</f>
        <v>8.0107822410147911E-2</v>
      </c>
      <c r="Q151" s="169">
        <f>Quarts!DM117</f>
        <v>4.6471352287487333E-2</v>
      </c>
      <c r="R151" s="169">
        <f>Quarts!DN117</f>
        <v>2.9770583408494922E-3</v>
      </c>
      <c r="S151" s="169">
        <f>Quarts!DO117</f>
        <v>8.0529148597552336E-3</v>
      </c>
      <c r="T151" s="169">
        <f>Quarts!DP117</f>
        <v>9.2038549644968271E-3</v>
      </c>
      <c r="U151" s="169">
        <f>Quarts!DQ117</f>
        <v>5.3525631668893014E-2</v>
      </c>
      <c r="V151" s="169">
        <f>Quarts!DR117</f>
        <v>0.11403042596348878</v>
      </c>
      <c r="W151" s="169">
        <f>Quarts!DS117</f>
        <v>0.12387491360451675</v>
      </c>
      <c r="X151" s="169">
        <f>Quarts!DT117</f>
        <v>0.11647652428804478</v>
      </c>
      <c r="Y151" s="169">
        <f>Quarts!DU117</f>
        <v>9.2151546847509147E-2</v>
      </c>
      <c r="Z151" s="169">
        <f>Quarts!DV117</f>
        <v>9.8888660280605611E-2</v>
      </c>
      <c r="AA151" s="774"/>
      <c r="AB151" s="774"/>
      <c r="AC151" s="774"/>
      <c r="AD151" s="774"/>
      <c r="AE151" s="774"/>
    </row>
    <row r="152" spans="2:31">
      <c r="B152" s="160" t="s">
        <v>549</v>
      </c>
      <c r="C152" s="169">
        <f t="shared" ref="C152:Z152" si="44">C74</f>
        <v>0.5098925032313657</v>
      </c>
      <c r="D152" s="169">
        <f t="shared" si="44"/>
        <v>0.50195060034291272</v>
      </c>
      <c r="E152" s="169">
        <f t="shared" si="44"/>
        <v>0.47666666666666668</v>
      </c>
      <c r="F152" s="169">
        <f t="shared" si="44"/>
        <v>0.47552689679860877</v>
      </c>
      <c r="G152" s="169">
        <f t="shared" si="44"/>
        <v>0.51688738582760452</v>
      </c>
      <c r="H152" s="169">
        <f t="shared" si="44"/>
        <v>0.51224287855284956</v>
      </c>
      <c r="I152" s="169">
        <f t="shared" si="44"/>
        <v>0.51091089954103441</v>
      </c>
      <c r="J152" s="169">
        <f t="shared" si="44"/>
        <v>0.49384874454934935</v>
      </c>
      <c r="K152" s="169">
        <f t="shared" si="44"/>
        <v>0.51968986425836705</v>
      </c>
      <c r="L152" s="169">
        <f t="shared" si="44"/>
        <v>0.51190476190476186</v>
      </c>
      <c r="M152" s="169">
        <f t="shared" si="44"/>
        <v>0.50632466007596777</v>
      </c>
      <c r="N152" s="169">
        <f t="shared" si="44"/>
        <v>0.49878467301175816</v>
      </c>
      <c r="O152" s="169">
        <f t="shared" si="44"/>
        <v>0.50813385131819622</v>
      </c>
      <c r="P152" s="169">
        <f t="shared" si="44"/>
        <v>0.50216019182483751</v>
      </c>
      <c r="Q152" s="169">
        <f t="shared" si="44"/>
        <v>0.48587389807959752</v>
      </c>
      <c r="R152" s="169">
        <f t="shared" si="44"/>
        <v>0.46892834495878249</v>
      </c>
      <c r="S152" s="169">
        <f t="shared" si="44"/>
        <v>0.47336365350904852</v>
      </c>
      <c r="T152" s="169">
        <f t="shared" si="44"/>
        <v>0.46052113295416552</v>
      </c>
      <c r="U152" s="169">
        <f t="shared" si="44"/>
        <v>0.45452842442163971</v>
      </c>
      <c r="V152" s="169">
        <f t="shared" si="44"/>
        <v>0.4597280277814903</v>
      </c>
      <c r="W152" s="169">
        <f t="shared" si="44"/>
        <v>0.47293648425785983</v>
      </c>
      <c r="X152" s="169">
        <f t="shared" si="44"/>
        <v>0.46360842345517261</v>
      </c>
      <c r="Y152" s="169">
        <f t="shared" si="44"/>
        <v>0.45175356429270236</v>
      </c>
      <c r="Z152" s="169">
        <f t="shared" si="44"/>
        <v>0.45514007626286329</v>
      </c>
      <c r="AA152" s="774"/>
      <c r="AB152" s="774"/>
      <c r="AC152" s="774"/>
      <c r="AD152" s="774"/>
      <c r="AE152" s="774"/>
    </row>
    <row r="169" spans="2:11">
      <c r="B169" s="456"/>
      <c r="C169" s="456"/>
      <c r="D169" s="456" t="s">
        <v>550</v>
      </c>
      <c r="E169" s="456"/>
      <c r="F169" s="456"/>
      <c r="G169" s="456" t="s">
        <v>551</v>
      </c>
      <c r="H169" s="456" t="s">
        <v>551</v>
      </c>
      <c r="I169" s="456"/>
      <c r="J169" s="456" t="s">
        <v>515</v>
      </c>
      <c r="K169" s="456" t="s">
        <v>515</v>
      </c>
    </row>
    <row r="170" spans="2:11">
      <c r="B170" s="901"/>
      <c r="C170" s="902" t="s">
        <v>552</v>
      </c>
      <c r="D170" s="902" t="s">
        <v>553</v>
      </c>
      <c r="E170" s="902" t="s">
        <v>554</v>
      </c>
      <c r="F170" s="901"/>
      <c r="G170" s="902" t="s">
        <v>553</v>
      </c>
      <c r="H170" s="902" t="s">
        <v>554</v>
      </c>
      <c r="I170" s="902"/>
      <c r="J170" s="902" t="s">
        <v>553</v>
      </c>
      <c r="K170" s="902" t="s">
        <v>554</v>
      </c>
    </row>
    <row r="171" spans="2:11">
      <c r="B171" s="390" t="s">
        <v>555</v>
      </c>
      <c r="C171" s="461">
        <f>AVERAGE(Quarts!BH141:BK141)</f>
        <v>0.4461178975958322</v>
      </c>
      <c r="D171" s="391" t="s">
        <v>556</v>
      </c>
      <c r="E171" s="391" t="s">
        <v>557</v>
      </c>
      <c r="F171" s="390"/>
      <c r="G171" s="461">
        <f>14495.8/32598.5</f>
        <v>0.44467690231145601</v>
      </c>
      <c r="H171" s="461">
        <f>17932.2/39108</f>
        <v>0.45853022399509052</v>
      </c>
      <c r="I171" s="390"/>
      <c r="J171" s="461">
        <f>Master!X14</f>
        <v>0.44547732141386848</v>
      </c>
      <c r="K171" s="461">
        <f>Master!AA14</f>
        <v>0.46000000000000008</v>
      </c>
    </row>
    <row r="172" spans="2:11">
      <c r="B172" s="457" t="s">
        <v>558</v>
      </c>
      <c r="C172" s="458">
        <f>AVERAGE(Quarts!BH160:BK160)</f>
        <v>0.43109225593951594</v>
      </c>
      <c r="D172" s="460" t="s">
        <v>559</v>
      </c>
      <c r="E172" s="460">
        <v>0.2</v>
      </c>
      <c r="F172" s="457"/>
      <c r="G172" s="458">
        <f>11133.4/32598.5</f>
        <v>0.34153105204227185</v>
      </c>
      <c r="H172" s="458">
        <f>9694.7/39108</f>
        <v>0.24789557123862127</v>
      </c>
      <c r="I172" s="457"/>
      <c r="J172" s="458">
        <f>Master!X46</f>
        <v>0.31485179676237351</v>
      </c>
      <c r="K172" s="458">
        <f>Master!AA46</f>
        <v>0.24</v>
      </c>
    </row>
    <row r="173" spans="2:11">
      <c r="B173" s="390" t="s">
        <v>560</v>
      </c>
      <c r="C173" s="461">
        <f>C171-C172</f>
        <v>1.5025641656316258E-2</v>
      </c>
      <c r="D173" s="391" t="s">
        <v>561</v>
      </c>
      <c r="E173" s="391" t="s">
        <v>562</v>
      </c>
      <c r="F173" s="390"/>
      <c r="G173" s="461">
        <f>G171-G172</f>
        <v>0.10314585026918416</v>
      </c>
      <c r="H173" s="461">
        <f>H171-H172</f>
        <v>0.21063465275646925</v>
      </c>
      <c r="I173" s="391"/>
      <c r="J173" s="461">
        <f>J171-J172</f>
        <v>0.13062552465149496</v>
      </c>
      <c r="K173" s="461">
        <f>K171-K172</f>
        <v>0.22000000000000008</v>
      </c>
    </row>
    <row r="174" spans="2:11">
      <c r="B174" s="457" t="s">
        <v>563</v>
      </c>
      <c r="C174" s="459" t="s">
        <v>564</v>
      </c>
      <c r="D174" s="1062" t="s">
        <v>565</v>
      </c>
      <c r="E174" s="1062"/>
      <c r="F174" s="457"/>
      <c r="G174" s="457"/>
      <c r="H174" s="457"/>
      <c r="I174" s="457"/>
      <c r="J174" s="459" t="s">
        <v>566</v>
      </c>
      <c r="K174" s="459" t="s">
        <v>567</v>
      </c>
    </row>
    <row r="175" spans="2:11" ht="19.5" customHeight="1">
      <c r="D175" s="1062"/>
      <c r="E175" s="1062"/>
    </row>
    <row r="176" spans="2:11">
      <c r="B176" s="390" t="s">
        <v>568</v>
      </c>
      <c r="C176" s="462">
        <f>AVERAGE(Quarts!BH49:BK49)</f>
        <v>421.55</v>
      </c>
      <c r="D176" s="391"/>
      <c r="E176" s="391" t="s">
        <v>569</v>
      </c>
      <c r="F176" s="390"/>
      <c r="G176" s="390"/>
      <c r="H176" s="390"/>
      <c r="I176" s="390"/>
      <c r="J176" s="390"/>
      <c r="K176" s="390"/>
    </row>
    <row r="187" spans="2:28">
      <c r="B187" s="705"/>
      <c r="C187" s="900" t="str">
        <f>Quarts!AV4</f>
        <v>1Q20</v>
      </c>
      <c r="D187" s="900" t="str">
        <f>Quarts!AW4</f>
        <v>2Q20</v>
      </c>
      <c r="E187" s="900" t="str">
        <f>Quarts!AX4</f>
        <v>3Q20</v>
      </c>
      <c r="F187" s="900" t="str">
        <f>Quarts!AY4</f>
        <v>4Q20</v>
      </c>
      <c r="G187" s="900" t="str">
        <f>Quarts!AZ4</f>
        <v>1Q21</v>
      </c>
      <c r="H187" s="900" t="str">
        <f>Quarts!BA4</f>
        <v>2Q21</v>
      </c>
      <c r="I187" s="900" t="str">
        <f>Quarts!BB4</f>
        <v>3Q21</v>
      </c>
      <c r="J187" s="900" t="str">
        <f>Quarts!BC4</f>
        <v>4Q21</v>
      </c>
      <c r="K187" s="900" t="str">
        <f>Quarts!BD4</f>
        <v>1Q22</v>
      </c>
      <c r="L187" s="900" t="str">
        <f>Quarts!BE4</f>
        <v>2Q22</v>
      </c>
      <c r="M187" s="900" t="str">
        <f>Quarts!BF4</f>
        <v>3Q22</v>
      </c>
      <c r="N187" s="900" t="str">
        <f>Quarts!BG4</f>
        <v>4Q22</v>
      </c>
      <c r="O187" s="900" t="str">
        <f>Quarts!BH4</f>
        <v>1Q23</v>
      </c>
      <c r="P187" s="900" t="str">
        <f>Quarts!BI4</f>
        <v>2Q23</v>
      </c>
      <c r="Q187" s="900" t="str">
        <f>Quarts!BJ4</f>
        <v>3Q23</v>
      </c>
      <c r="R187" s="900" t="str">
        <f>Quarts!BK4</f>
        <v>4Q23</v>
      </c>
      <c r="S187" s="900" t="str">
        <f>Quarts!BL4</f>
        <v>1Q24</v>
      </c>
      <c r="T187" s="900" t="str">
        <f>Quarts!BM4</f>
        <v>2Q24</v>
      </c>
      <c r="U187" s="900" t="str">
        <f>Quarts!BN4</f>
        <v>3Q24</v>
      </c>
      <c r="V187" s="900" t="str">
        <f>Quarts!BO4</f>
        <v>4Q24</v>
      </c>
      <c r="W187" s="900" t="str">
        <f>Quarts!BP4</f>
        <v>1Q25</v>
      </c>
      <c r="X187" s="900" t="str">
        <f>Quarts!BQ4</f>
        <v>2Q25</v>
      </c>
      <c r="Y187" s="900" t="str">
        <f>Quarts!BR4</f>
        <v>3Q25</v>
      </c>
      <c r="Z187" s="900" t="str">
        <f>Quarts!BS4</f>
        <v>4Q25</v>
      </c>
      <c r="AA187" s="900" t="str">
        <f>Quarts!BT4</f>
        <v>1Q26</v>
      </c>
      <c r="AB187" s="175"/>
    </row>
    <row r="188" spans="2:28">
      <c r="B188" s="160" t="s">
        <v>558</v>
      </c>
      <c r="C188" s="169">
        <f>Quarts!AV160</f>
        <v>0.22572099833897605</v>
      </c>
      <c r="D188" s="169">
        <f>Quarts!AW160</f>
        <v>0.24301915126431306</v>
      </c>
      <c r="E188" s="169">
        <f>Quarts!AX160</f>
        <v>0.31742346307536667</v>
      </c>
      <c r="F188" s="169">
        <f>Quarts!AY160</f>
        <v>0.64240345387817466</v>
      </c>
      <c r="G188" s="169">
        <f>Quarts!AZ160</f>
        <v>0.31513972075506314</v>
      </c>
      <c r="H188" s="169">
        <f>Quarts!BA160</f>
        <v>0.33526831359873344</v>
      </c>
      <c r="I188" s="169">
        <f>Quarts!BB160</f>
        <v>0.38953243700575074</v>
      </c>
      <c r="J188" s="169">
        <f>Quarts!BC160</f>
        <v>0.48879963543396487</v>
      </c>
      <c r="K188" s="169">
        <f>Quarts!BD160</f>
        <v>0.35657544938411495</v>
      </c>
      <c r="L188" s="169">
        <f>Quarts!BE160</f>
        <v>0.41848857373526199</v>
      </c>
      <c r="M188" s="169">
        <f>Quarts!BF160</f>
        <v>0.40739555447361803</v>
      </c>
      <c r="N188" s="169">
        <f>Quarts!BG160</f>
        <v>0.5512150563800321</v>
      </c>
      <c r="O188" s="169">
        <f>Quarts!BH160</f>
        <v>0.3124917857304646</v>
      </c>
      <c r="P188" s="169">
        <f>Quarts!BI160</f>
        <v>0.3973585017224745</v>
      </c>
      <c r="Q188" s="169">
        <f>Quarts!BJ160</f>
        <v>0.50649262401760253</v>
      </c>
      <c r="R188" s="169">
        <f>Quarts!BK160</f>
        <v>0.50802611228752192</v>
      </c>
      <c r="S188" s="169">
        <f>Quarts!BL160</f>
        <v>0.29481741296342473</v>
      </c>
      <c r="T188" s="169">
        <f>Quarts!BM160</f>
        <v>0.33774991051797304</v>
      </c>
      <c r="U188" s="169">
        <f>Quarts!BN160</f>
        <v>0.33530431383040421</v>
      </c>
      <c r="V188" s="169">
        <f>Quarts!BO160</f>
        <v>0.2919577229225967</v>
      </c>
      <c r="W188" s="169">
        <f>Quarts!BP160</f>
        <v>0.26815086855669656</v>
      </c>
      <c r="X188" s="169">
        <f>Quarts!BQ160</f>
        <v>0.21957673751847659</v>
      </c>
      <c r="Y188" s="169">
        <f>Quarts!BR160</f>
        <v>0.26644941193931004</v>
      </c>
      <c r="Z188" s="169">
        <f>Quarts!BS160</f>
        <v>0.2816950386972335</v>
      </c>
      <c r="AA188" s="169">
        <f>Quarts!BT160</f>
        <v>0.21257285616694269</v>
      </c>
      <c r="AB188" s="169"/>
    </row>
    <row r="191" spans="2:28">
      <c r="B191" s="705"/>
      <c r="C191" s="900" t="str">
        <f>Quarts!AV4</f>
        <v>1Q20</v>
      </c>
      <c r="D191" s="900" t="str">
        <f>Quarts!AW4</f>
        <v>2Q20</v>
      </c>
      <c r="E191" s="900" t="str">
        <f>Quarts!AX4</f>
        <v>3Q20</v>
      </c>
      <c r="F191" s="900" t="str">
        <f>Quarts!AY4</f>
        <v>4Q20</v>
      </c>
      <c r="G191" s="900" t="str">
        <f>Quarts!AZ4</f>
        <v>1Q21</v>
      </c>
      <c r="H191" s="900" t="str">
        <f>Quarts!BA4</f>
        <v>2Q21</v>
      </c>
      <c r="I191" s="900" t="str">
        <f>Quarts!BB4</f>
        <v>3Q21</v>
      </c>
      <c r="J191" s="900" t="str">
        <f>Quarts!BC4</f>
        <v>4Q21</v>
      </c>
      <c r="K191" s="900" t="str">
        <f>Quarts!BD4</f>
        <v>1Q22</v>
      </c>
      <c r="L191" s="900" t="str">
        <f>Quarts!BE4</f>
        <v>2Q22</v>
      </c>
      <c r="M191" s="900" t="str">
        <f>Quarts!BF4</f>
        <v>3Q22</v>
      </c>
      <c r="N191" s="900" t="str">
        <f>Quarts!BG4</f>
        <v>4Q22</v>
      </c>
      <c r="O191" s="900" t="str">
        <f>Quarts!BH4</f>
        <v>1Q23</v>
      </c>
      <c r="P191" s="900" t="str">
        <f>Quarts!BI4</f>
        <v>2Q23</v>
      </c>
      <c r="Q191" s="900" t="str">
        <f>Quarts!BJ4</f>
        <v>3Q23</v>
      </c>
      <c r="R191" s="900" t="str">
        <f>Quarts!BK4</f>
        <v>4Q23</v>
      </c>
      <c r="S191" s="900" t="str">
        <f>Quarts!BL4</f>
        <v>1Q24</v>
      </c>
      <c r="T191" s="900" t="str">
        <f>Quarts!BM4</f>
        <v>2Q24</v>
      </c>
      <c r="U191" s="900" t="str">
        <f>Quarts!BN4</f>
        <v>3Q24</v>
      </c>
      <c r="V191" s="900" t="str">
        <f>Quarts!BO4</f>
        <v>4Q24</v>
      </c>
      <c r="W191" s="900" t="str">
        <f>Quarts!BP4</f>
        <v>1Q25</v>
      </c>
      <c r="X191" s="900" t="str">
        <f>Quarts!BQ4</f>
        <v>2Q25</v>
      </c>
      <c r="Y191" s="900" t="str">
        <f>Quarts!BR4</f>
        <v>3Q25</v>
      </c>
      <c r="Z191" s="900" t="str">
        <f>Quarts!BS4</f>
        <v>4Q25</v>
      </c>
      <c r="AA191" s="900" t="str">
        <f>Quarts!BT4</f>
        <v>1Q26</v>
      </c>
    </row>
    <row r="192" spans="2:28">
      <c r="B192" s="160" t="s">
        <v>92</v>
      </c>
      <c r="C192" s="173">
        <f>Quarts!AV169</f>
        <v>1520.6370000000002</v>
      </c>
      <c r="D192" s="173">
        <f>Quarts!AW169</f>
        <v>1393.0540000000001</v>
      </c>
      <c r="E192" s="173">
        <f>Quarts!AX169</f>
        <v>998.94600000000014</v>
      </c>
      <c r="F192" s="173">
        <f>Quarts!AY169</f>
        <v>-946.38999999999987</v>
      </c>
      <c r="G192" s="173">
        <f>Quarts!AZ169</f>
        <v>1127.2739999999999</v>
      </c>
      <c r="H192" s="173">
        <f>Quarts!BA169</f>
        <v>978</v>
      </c>
      <c r="I192" s="173">
        <f>Quarts!BB169</f>
        <v>621.97599999999966</v>
      </c>
      <c r="J192" s="173">
        <f>Quarts!BC169</f>
        <v>-77.045999999999822</v>
      </c>
      <c r="K192" s="173">
        <f>Quarts!BD169</f>
        <v>888.48799999999983</v>
      </c>
      <c r="L192" s="173">
        <f>Quarts!BE169</f>
        <v>461.60199999999986</v>
      </c>
      <c r="M192" s="173">
        <f>Quarts!BF169</f>
        <v>423.44899999999961</v>
      </c>
      <c r="N192" s="173">
        <f>Quarts!BG169</f>
        <v>-840.09700000000021</v>
      </c>
      <c r="O192" s="173">
        <f>Quarts!BH169</f>
        <v>1033.6950000000002</v>
      </c>
      <c r="P192" s="173">
        <f>Quarts!BI169</f>
        <v>357.3739999999998</v>
      </c>
      <c r="Q192" s="173">
        <f>Quarts!BJ169</f>
        <v>-487.7510000000002</v>
      </c>
      <c r="R192" s="173">
        <f>Quarts!BK169</f>
        <v>-532.32400000000007</v>
      </c>
      <c r="S192" s="173">
        <f>Quarts!BL169</f>
        <v>1326.6039999999998</v>
      </c>
      <c r="T192" s="173">
        <f>Quarts!BM169</f>
        <v>857.69400000000041</v>
      </c>
      <c r="U192" s="173">
        <f>Quarts!BN169</f>
        <v>823.95800000000008</v>
      </c>
      <c r="V192" s="173">
        <f>Quarts!BO169</f>
        <v>1281.9409999999998</v>
      </c>
      <c r="W192" s="173">
        <f>Quarts!BP169</f>
        <v>1675.6610000000001</v>
      </c>
      <c r="X192" s="173">
        <f>Quarts!BQ169</f>
        <v>2043.3829999999998</v>
      </c>
      <c r="Y192" s="173">
        <f>Quarts!BR169</f>
        <v>1568.5300000000002</v>
      </c>
      <c r="Z192" s="173">
        <f>Quarts!BS169</f>
        <v>1461.0680000000002</v>
      </c>
      <c r="AA192" s="173">
        <f>Quarts!BT169</f>
        <v>2333.3559999999998</v>
      </c>
    </row>
  </sheetData>
  <mergeCells count="1">
    <mergeCell ref="D174:E175"/>
  </mergeCells>
  <phoneticPr fontId="122" type="noConversion"/>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79998168889431442"/>
  </sheetPr>
  <dimension ref="B2:AP204"/>
  <sheetViews>
    <sheetView showGridLines="0" tabSelected="1" zoomScale="72" zoomScaleNormal="72" zoomScalePageLayoutView="85" workbookViewId="0">
      <pane xSplit="2" ySplit="2" topLeftCell="Y168" activePane="bottomRight" state="frozen"/>
      <selection pane="topRight" activeCell="C1" sqref="C1"/>
      <selection pane="bottomLeft" activeCell="A3" sqref="A3"/>
      <selection pane="bottomRight" activeCell="AQ211" sqref="AQ211"/>
    </sheetView>
  </sheetViews>
  <sheetFormatPr defaultColWidth="9.28515625" defaultRowHeight="15"/>
  <cols>
    <col min="1" max="1" width="2.5703125" style="21" customWidth="1"/>
    <col min="2" max="2" width="43.5703125" style="21" bestFit="1" customWidth="1"/>
    <col min="3" max="4" width="9.42578125" style="21" customWidth="1"/>
    <col min="5" max="5" width="9.28515625" style="21" customWidth="1"/>
    <col min="6" max="6" width="9" style="21" customWidth="1"/>
    <col min="7" max="7" width="9.28515625" style="21" customWidth="1"/>
    <col min="8" max="8" width="12.28515625" style="21" customWidth="1"/>
    <col min="9" max="9" width="12.42578125" style="21" bestFit="1" customWidth="1"/>
    <col min="10" max="18" width="11.5703125" style="21" bestFit="1" customWidth="1"/>
    <col min="19" max="40" width="10.7109375" style="21" customWidth="1"/>
    <col min="41" max="16384" width="9.28515625" style="21"/>
  </cols>
  <sheetData>
    <row r="2" spans="2:40">
      <c r="B2" s="20" t="s">
        <v>570</v>
      </c>
      <c r="C2" s="20">
        <v>1998</v>
      </c>
      <c r="D2" s="20">
        <v>1999</v>
      </c>
      <c r="E2" s="20">
        <v>2000</v>
      </c>
      <c r="F2" s="20">
        <v>2001</v>
      </c>
      <c r="G2" s="20">
        <v>2002</v>
      </c>
      <c r="H2" s="20">
        <v>2003</v>
      </c>
      <c r="I2" s="20">
        <v>2004</v>
      </c>
      <c r="J2" s="20">
        <v>2005</v>
      </c>
      <c r="K2" s="20">
        <v>2006</v>
      </c>
      <c r="L2" s="20">
        <v>2007</v>
      </c>
      <c r="M2" s="20">
        <v>2008</v>
      </c>
      <c r="N2" s="20">
        <v>2009</v>
      </c>
      <c r="O2" s="20">
        <v>2010</v>
      </c>
      <c r="P2" s="20">
        <v>2011</v>
      </c>
      <c r="Q2" s="20">
        <v>2012</v>
      </c>
      <c r="R2" s="20">
        <v>2013</v>
      </c>
      <c r="S2" s="20">
        <v>2014</v>
      </c>
      <c r="T2" s="20">
        <v>2015</v>
      </c>
      <c r="U2" s="20">
        <v>2016</v>
      </c>
      <c r="V2" s="20">
        <v>2017</v>
      </c>
      <c r="W2" s="20">
        <v>2018</v>
      </c>
      <c r="X2" s="20">
        <v>2019</v>
      </c>
      <c r="Y2" s="20">
        <v>2020</v>
      </c>
      <c r="Z2" s="20">
        <v>2021</v>
      </c>
      <c r="AA2" s="20">
        <v>2022</v>
      </c>
      <c r="AB2" s="20">
        <v>2023</v>
      </c>
      <c r="AC2" s="20">
        <v>2024</v>
      </c>
      <c r="AD2" s="20">
        <v>2025</v>
      </c>
      <c r="AE2" s="20">
        <v>2026</v>
      </c>
      <c r="AF2" s="20">
        <v>2027</v>
      </c>
      <c r="AG2" s="20">
        <v>2028</v>
      </c>
      <c r="AH2" s="20">
        <v>2029</v>
      </c>
      <c r="AI2" s="20">
        <v>2030</v>
      </c>
      <c r="AJ2" s="20">
        <v>2031</v>
      </c>
      <c r="AK2" s="20">
        <v>2032</v>
      </c>
      <c r="AL2" s="20">
        <v>2033</v>
      </c>
      <c r="AM2" s="20">
        <v>2034</v>
      </c>
      <c r="AN2" s="20">
        <v>2035</v>
      </c>
    </row>
    <row r="3" spans="2:40">
      <c r="B3" s="21" t="s">
        <v>571</v>
      </c>
      <c r="C3" s="22"/>
      <c r="D3" s="22"/>
      <c r="E3" s="22"/>
      <c r="F3" s="22"/>
      <c r="G3" s="22"/>
      <c r="H3" s="22"/>
      <c r="I3" s="22"/>
      <c r="J3" s="22"/>
      <c r="K3" s="22"/>
      <c r="L3" s="22"/>
      <c r="M3" s="22"/>
      <c r="N3" s="22"/>
      <c r="O3" s="22"/>
      <c r="P3" s="22"/>
      <c r="Q3" s="22">
        <f>Valuation!E5</f>
        <v>859.12649999999996</v>
      </c>
      <c r="R3" s="22">
        <f>Valuation!F5</f>
        <v>859.25699999999995</v>
      </c>
      <c r="S3" s="22">
        <f>Valuation!G5</f>
        <v>859.25699999999995</v>
      </c>
      <c r="T3" s="22">
        <f>Valuation!H5</f>
        <v>859.25699999999995</v>
      </c>
      <c r="U3" s="22">
        <f>Valuation!I5</f>
        <v>859.25699999999995</v>
      </c>
      <c r="V3" s="22">
        <f>Valuation!J5</f>
        <v>859.25699999999995</v>
      </c>
      <c r="W3" s="22">
        <f>Valuation!K5</f>
        <v>859.25699999999995</v>
      </c>
      <c r="X3" s="22">
        <f>Valuation!L5</f>
        <v>859.25699999999995</v>
      </c>
      <c r="Y3" s="22">
        <f>Valuation!M5</f>
        <v>860.03800000000001</v>
      </c>
      <c r="Z3" s="22">
        <f>Valuation!N5</f>
        <v>857.476</v>
      </c>
      <c r="AA3" s="22">
        <f>Valuation!O5</f>
        <v>857.61749999999995</v>
      </c>
      <c r="AB3" s="22">
        <f>Valuation!P5</f>
        <v>858.50049999999999</v>
      </c>
      <c r="AC3" s="22">
        <f>Valuation!Q5</f>
        <v>858.50049999999999</v>
      </c>
      <c r="AD3" s="22">
        <f>Valuation!R5</f>
        <v>858.12400000000002</v>
      </c>
      <c r="AE3" s="22">
        <f>Valuation!S5</f>
        <v>858.12400000000002</v>
      </c>
      <c r="AF3" s="22">
        <f>Valuation!T5</f>
        <v>858.12400000000002</v>
      </c>
      <c r="AG3" s="22">
        <f>Valuation!U5</f>
        <v>858.12400000000002</v>
      </c>
      <c r="AH3" s="22">
        <f>Valuation!V5</f>
        <v>858.12400000000002</v>
      </c>
      <c r="AI3" s="22">
        <f>Valuation!W5</f>
        <v>858.12400000000002</v>
      </c>
      <c r="AJ3" s="22">
        <f>Valuation!X5</f>
        <v>858.12400000000002</v>
      </c>
      <c r="AK3" s="22">
        <f>Valuation!Y5</f>
        <v>858.12400000000002</v>
      </c>
      <c r="AL3" s="22">
        <f>Valuation!Z5</f>
        <v>858.12400000000002</v>
      </c>
      <c r="AM3" s="22">
        <f>Valuation!AA5</f>
        <v>858.12400000000002</v>
      </c>
      <c r="AN3" s="22">
        <f>Valuation!AB5</f>
        <v>858.12400000000002</v>
      </c>
    </row>
    <row r="4" spans="2:40">
      <c r="B4" s="21" t="s">
        <v>572</v>
      </c>
      <c r="C4" s="22"/>
      <c r="D4" s="22"/>
      <c r="E4" s="22"/>
      <c r="F4" s="22"/>
      <c r="G4" s="22"/>
      <c r="H4" s="22"/>
      <c r="I4" s="22"/>
      <c r="J4" s="22"/>
      <c r="K4" s="22"/>
      <c r="L4" s="22"/>
      <c r="M4" s="22"/>
      <c r="N4" s="22"/>
      <c r="O4" s="22"/>
      <c r="P4" s="22"/>
      <c r="Q4" s="22">
        <f t="shared" ref="Q4:AN4" si="0">AVERAGE(P3:Q3)</f>
        <v>859.12649999999996</v>
      </c>
      <c r="R4" s="22">
        <f t="shared" si="0"/>
        <v>859.19174999999996</v>
      </c>
      <c r="S4" s="22">
        <f t="shared" si="0"/>
        <v>859.25699999999995</v>
      </c>
      <c r="T4" s="22">
        <f t="shared" si="0"/>
        <v>859.25699999999995</v>
      </c>
      <c r="U4" s="22">
        <f t="shared" si="0"/>
        <v>859.25699999999995</v>
      </c>
      <c r="V4" s="22">
        <f t="shared" si="0"/>
        <v>859.25699999999995</v>
      </c>
      <c r="W4" s="22">
        <f t="shared" si="0"/>
        <v>859.25699999999995</v>
      </c>
      <c r="X4" s="22">
        <f t="shared" si="0"/>
        <v>859.25699999999995</v>
      </c>
      <c r="Y4" s="22">
        <f t="shared" si="0"/>
        <v>859.64750000000004</v>
      </c>
      <c r="Z4" s="22">
        <f t="shared" si="0"/>
        <v>858.75700000000006</v>
      </c>
      <c r="AA4" s="22">
        <f t="shared" si="0"/>
        <v>857.54674999999997</v>
      </c>
      <c r="AB4" s="22">
        <f t="shared" si="0"/>
        <v>858.05899999999997</v>
      </c>
      <c r="AC4" s="22">
        <f t="shared" si="0"/>
        <v>858.50049999999999</v>
      </c>
      <c r="AD4" s="22">
        <f t="shared" si="0"/>
        <v>858.31224999999995</v>
      </c>
      <c r="AE4" s="22">
        <f t="shared" si="0"/>
        <v>858.12400000000002</v>
      </c>
      <c r="AF4" s="22">
        <f t="shared" si="0"/>
        <v>858.12400000000002</v>
      </c>
      <c r="AG4" s="22">
        <f t="shared" si="0"/>
        <v>858.12400000000002</v>
      </c>
      <c r="AH4" s="22">
        <f t="shared" si="0"/>
        <v>858.12400000000002</v>
      </c>
      <c r="AI4" s="22">
        <f t="shared" si="0"/>
        <v>858.12400000000002</v>
      </c>
      <c r="AJ4" s="22">
        <f t="shared" si="0"/>
        <v>858.12400000000002</v>
      </c>
      <c r="AK4" s="22">
        <f t="shared" si="0"/>
        <v>858.12400000000002</v>
      </c>
      <c r="AL4" s="22">
        <f t="shared" si="0"/>
        <v>858.12400000000002</v>
      </c>
      <c r="AM4" s="22">
        <f t="shared" si="0"/>
        <v>858.12400000000002</v>
      </c>
      <c r="AN4" s="22">
        <f t="shared" si="0"/>
        <v>858.12400000000002</v>
      </c>
    </row>
    <row r="5" spans="2:40">
      <c r="B5" s="21" t="s">
        <v>573</v>
      </c>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row>
    <row r="6" spans="2:40">
      <c r="B6" s="21" t="s">
        <v>574</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row>
    <row r="7" spans="2:40">
      <c r="B7" s="21" t="s">
        <v>575</v>
      </c>
      <c r="C7" s="22"/>
      <c r="D7" s="22"/>
      <c r="E7" s="22"/>
      <c r="F7" s="22"/>
      <c r="G7" s="22"/>
      <c r="H7" s="22"/>
      <c r="I7" s="22"/>
      <c r="J7" s="22"/>
      <c r="K7" s="22"/>
      <c r="L7" s="22"/>
      <c r="M7" s="22"/>
      <c r="N7" s="22"/>
      <c r="O7" s="22"/>
      <c r="P7" s="22"/>
      <c r="Q7" s="22">
        <f>Master!L104</f>
        <v>-352</v>
      </c>
      <c r="R7" s="22">
        <f>Master!M104</f>
        <v>-405.69999999999982</v>
      </c>
      <c r="S7" s="22">
        <f>Master!N104</f>
        <v>-1098</v>
      </c>
      <c r="T7" s="22">
        <f>Master!O104</f>
        <v>401</v>
      </c>
      <c r="U7" s="22">
        <f>Master!P104</f>
        <v>2484</v>
      </c>
      <c r="V7" s="22">
        <f>Master!Q104</f>
        <v>936</v>
      </c>
      <c r="W7" s="22">
        <f>Master!R104</f>
        <v>567.90000000000009</v>
      </c>
      <c r="X7" s="22">
        <f>Master!S104</f>
        <v>4794</v>
      </c>
      <c r="Y7" s="22">
        <f>Master!T104</f>
        <v>3622.3360000000002</v>
      </c>
      <c r="Z7" s="22">
        <f>Master!U104</f>
        <v>4668.2510000000002</v>
      </c>
      <c r="AA7" s="22">
        <f>Master!V104</f>
        <v>12842.623</v>
      </c>
      <c r="AB7" s="22">
        <f>Master!W104</f>
        <v>20231.263999999999</v>
      </c>
      <c r="AC7" s="22">
        <f>Master!X104</f>
        <v>21960.904999999999</v>
      </c>
      <c r="AD7" s="22">
        <f>Master!Y104</f>
        <v>21457.014000000003</v>
      </c>
      <c r="AE7" s="22">
        <f>Master!Z104</f>
        <v>21013.537985576048</v>
      </c>
      <c r="AF7" s="22">
        <f>Master!AA104</f>
        <v>20295.302956888452</v>
      </c>
      <c r="AG7" s="22">
        <f>Master!AB104</f>
        <v>19152.179257487169</v>
      </c>
      <c r="AH7" s="22">
        <f>Master!AC104</f>
        <v>17656.984963966293</v>
      </c>
      <c r="AI7" s="22">
        <f>Master!AD104</f>
        <v>15762.431526509212</v>
      </c>
      <c r="AJ7" s="22">
        <f>Master!AE104</f>
        <v>13771.986066993839</v>
      </c>
      <c r="AK7" s="22">
        <f>Master!AF104</f>
        <v>11626.508028093</v>
      </c>
      <c r="AL7" s="22">
        <f>Master!AG104</f>
        <v>9469.1873868563744</v>
      </c>
      <c r="AM7" s="22">
        <f>Master!AH104</f>
        <v>7301.8044716997174</v>
      </c>
      <c r="AN7" s="22">
        <f>Master!AI104</f>
        <v>4960.0053491310746</v>
      </c>
    </row>
    <row r="8" spans="2:40">
      <c r="B8" s="21" t="s">
        <v>576</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row>
    <row r="9" spans="2:40">
      <c r="B9" s="21" t="s">
        <v>577</v>
      </c>
      <c r="C9" s="22"/>
      <c r="D9" s="23"/>
      <c r="E9" s="23"/>
      <c r="F9" s="23"/>
      <c r="G9" s="23"/>
      <c r="H9" s="23"/>
      <c r="I9" s="23"/>
      <c r="J9" s="23"/>
      <c r="K9" s="23"/>
      <c r="L9" s="23"/>
      <c r="M9" s="23"/>
      <c r="N9" s="23"/>
      <c r="O9" s="23"/>
      <c r="P9" s="23"/>
      <c r="Q9" s="23">
        <f>-Valuation!E9</f>
        <v>0</v>
      </c>
      <c r="R9" s="23">
        <f>-Valuation!F9</f>
        <v>0</v>
      </c>
      <c r="S9" s="23">
        <f>-Valuation!G9</f>
        <v>0</v>
      </c>
      <c r="T9" s="23">
        <f>-Valuation!H9</f>
        <v>0</v>
      </c>
      <c r="U9" s="23">
        <f>-Valuation!I9</f>
        <v>0</v>
      </c>
      <c r="V9" s="23">
        <f>-Valuation!J9</f>
        <v>0</v>
      </c>
      <c r="W9" s="23">
        <f>-Valuation!K9</f>
        <v>0</v>
      </c>
      <c r="X9" s="23">
        <f>-Valuation!L9</f>
        <v>0</v>
      </c>
      <c r="Y9" s="23">
        <f>-Valuation!M9</f>
        <v>0</v>
      </c>
      <c r="Z9" s="23">
        <f>-Valuation!N9</f>
        <v>0</v>
      </c>
      <c r="AA9" s="23">
        <f>-Valuation!O9</f>
        <v>0</v>
      </c>
      <c r="AB9" s="23">
        <f>-Valuation!P9</f>
        <v>0</v>
      </c>
      <c r="AC9" s="23">
        <f>-Valuation!Q9</f>
        <v>0</v>
      </c>
      <c r="AD9" s="23">
        <f>-Valuation!R9</f>
        <v>0</v>
      </c>
      <c r="AE9" s="23">
        <f>-Valuation!S9</f>
        <v>0</v>
      </c>
      <c r="AF9" s="23">
        <f>-Valuation!T9</f>
        <v>0</v>
      </c>
      <c r="AG9" s="23">
        <f>-Valuation!U9</f>
        <v>0</v>
      </c>
      <c r="AH9" s="23">
        <f>-Valuation!V9</f>
        <v>0</v>
      </c>
      <c r="AI9" s="23">
        <f>-Valuation!W9</f>
        <v>0</v>
      </c>
      <c r="AJ9" s="23">
        <f>-Valuation!X9</f>
        <v>0</v>
      </c>
      <c r="AK9" s="23">
        <f>-Valuation!Y9</f>
        <v>0</v>
      </c>
      <c r="AL9" s="23">
        <f>-Valuation!Z9</f>
        <v>0</v>
      </c>
      <c r="AM9" s="23">
        <f>-Valuation!AA9</f>
        <v>0</v>
      </c>
      <c r="AN9" s="23">
        <f>-Valuation!AB9</f>
        <v>0</v>
      </c>
    </row>
    <row r="10" spans="2:40">
      <c r="B10" s="21" t="s">
        <v>578</v>
      </c>
      <c r="C10" s="22"/>
      <c r="D10" s="23"/>
      <c r="E10" s="23"/>
      <c r="F10" s="23"/>
      <c r="G10" s="23"/>
      <c r="H10" s="23"/>
      <c r="I10" s="23"/>
      <c r="J10" s="23"/>
      <c r="K10" s="23"/>
      <c r="L10" s="23"/>
      <c r="M10" s="23"/>
      <c r="N10" s="23"/>
      <c r="O10" s="23"/>
      <c r="P10" s="23"/>
      <c r="Q10" s="23">
        <f>Valuation!E10</f>
        <v>0</v>
      </c>
      <c r="R10" s="23">
        <f>Valuation!F10</f>
        <v>1068</v>
      </c>
      <c r="S10" s="23">
        <f>Valuation!G10</f>
        <v>1068</v>
      </c>
      <c r="T10" s="23">
        <f>Valuation!H10</f>
        <v>1068</v>
      </c>
      <c r="U10" s="23">
        <f>Valuation!I10</f>
        <v>1068</v>
      </c>
      <c r="V10" s="23">
        <f>Valuation!J10</f>
        <v>1068</v>
      </c>
      <c r="W10" s="23">
        <f>Valuation!K10</f>
        <v>1068</v>
      </c>
      <c r="X10" s="23">
        <f>Valuation!L10</f>
        <v>1068</v>
      </c>
      <c r="Y10" s="23">
        <f>Valuation!M10</f>
        <v>1068</v>
      </c>
      <c r="Z10" s="23">
        <f>Valuation!N10</f>
        <v>1068</v>
      </c>
      <c r="AA10" s="23">
        <f>Valuation!O10</f>
        <v>1068</v>
      </c>
      <c r="AB10" s="23">
        <f>Valuation!P10</f>
        <v>1068</v>
      </c>
      <c r="AC10" s="23">
        <f>Valuation!Q10</f>
        <v>1068</v>
      </c>
      <c r="AD10" s="23">
        <f>Valuation!R10</f>
        <v>1068</v>
      </c>
      <c r="AE10" s="23">
        <f>Valuation!S10</f>
        <v>1068</v>
      </c>
      <c r="AF10" s="23">
        <f>Valuation!T10</f>
        <v>1068</v>
      </c>
      <c r="AG10" s="23">
        <f>Valuation!U10</f>
        <v>1068</v>
      </c>
      <c r="AH10" s="23">
        <f>Valuation!V10</f>
        <v>1068</v>
      </c>
      <c r="AI10" s="23">
        <f>Valuation!W10</f>
        <v>1068</v>
      </c>
      <c r="AJ10" s="23">
        <f>Valuation!X10</f>
        <v>1068</v>
      </c>
      <c r="AK10" s="23">
        <f>Valuation!Y10</f>
        <v>1068</v>
      </c>
      <c r="AL10" s="23">
        <f>Valuation!Z10</f>
        <v>1068</v>
      </c>
      <c r="AM10" s="23">
        <f>Valuation!AA10</f>
        <v>1068</v>
      </c>
      <c r="AN10" s="23">
        <f>Valuation!AB10</f>
        <v>1068</v>
      </c>
    </row>
    <row r="11" spans="2:40">
      <c r="B11" s="21" t="s">
        <v>579</v>
      </c>
      <c r="C11" s="22"/>
      <c r="D11" s="23"/>
      <c r="E11" s="23"/>
      <c r="F11" s="23"/>
      <c r="G11" s="23"/>
      <c r="H11" s="23"/>
      <c r="I11" s="23"/>
      <c r="J11" s="23"/>
      <c r="K11" s="23"/>
      <c r="L11" s="23"/>
      <c r="M11" s="23"/>
      <c r="N11" s="23"/>
      <c r="O11" s="23"/>
      <c r="P11" s="23"/>
      <c r="Q11" s="23">
        <f>-Valuation!E14</f>
        <v>0</v>
      </c>
      <c r="R11" s="23">
        <f>-Valuation!F14</f>
        <v>0</v>
      </c>
      <c r="S11" s="23">
        <f>-Valuation!G14</f>
        <v>0</v>
      </c>
      <c r="T11" s="23">
        <f>-Valuation!H14</f>
        <v>0</v>
      </c>
      <c r="U11" s="23">
        <f>-Valuation!I14</f>
        <v>0</v>
      </c>
      <c r="V11" s="23">
        <f>-Valuation!J14</f>
        <v>0</v>
      </c>
      <c r="W11" s="23">
        <f>-Valuation!K14</f>
        <v>0</v>
      </c>
      <c r="X11" s="23">
        <f>-Valuation!L14</f>
        <v>0</v>
      </c>
      <c r="Y11" s="23">
        <f>-Valuation!M14</f>
        <v>0</v>
      </c>
      <c r="Z11" s="23">
        <f>-Valuation!N14</f>
        <v>0</v>
      </c>
      <c r="AA11" s="23">
        <f>-Valuation!O14</f>
        <v>0</v>
      </c>
      <c r="AB11" s="23">
        <f>-Valuation!P14</f>
        <v>0</v>
      </c>
      <c r="AC11" s="23">
        <f>-Valuation!Q14</f>
        <v>0</v>
      </c>
      <c r="AD11" s="23">
        <f>-Valuation!R14</f>
        <v>0</v>
      </c>
      <c r="AE11" s="23">
        <f>-Valuation!S14</f>
        <v>3175.0588000000002</v>
      </c>
      <c r="AF11" s="23">
        <f>-Valuation!T14</f>
        <v>6811.8281248600015</v>
      </c>
      <c r="AG11" s="23">
        <f>-Valuation!U14</f>
        <v>10967.973187380003</v>
      </c>
      <c r="AH11" s="23">
        <f>-Valuation!V14</f>
        <v>15667.642387872345</v>
      </c>
      <c r="AI11" s="23">
        <f>-Valuation!W14</f>
        <v>20871.623917002162</v>
      </c>
      <c r="AJ11" s="23">
        <f>-Valuation!X14</f>
        <v>26564.435870263675</v>
      </c>
      <c r="AK11" s="23">
        <f>-Valuation!Y14</f>
        <v>32665.765623577972</v>
      </c>
      <c r="AL11" s="23">
        <f>-Valuation!Z14</f>
        <v>39195.489256855755</v>
      </c>
      <c r="AM11" s="23">
        <f>-Valuation!AA14</f>
        <v>46174.388924209954</v>
      </c>
      <c r="AN11" s="23">
        <f>-Valuation!AB14</f>
        <v>53624.199527363678</v>
      </c>
    </row>
    <row r="12" spans="2:40">
      <c r="B12" s="21" t="s">
        <v>580</v>
      </c>
      <c r="C12" s="22"/>
      <c r="D12" s="22"/>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row>
    <row r="13" spans="2:40">
      <c r="B13" s="21" t="s">
        <v>80</v>
      </c>
      <c r="C13" s="22"/>
      <c r="D13" s="22"/>
      <c r="E13" s="22"/>
      <c r="F13" s="22"/>
      <c r="G13" s="22"/>
      <c r="H13" s="22"/>
      <c r="I13" s="22"/>
      <c r="J13" s="22"/>
      <c r="K13" s="22"/>
      <c r="L13" s="22"/>
      <c r="M13" s="22"/>
      <c r="N13" s="24"/>
      <c r="O13" s="24"/>
      <c r="P13" s="24"/>
      <c r="Q13" s="24">
        <f>Valuation!E39</f>
        <v>0.620529</v>
      </c>
      <c r="R13" s="24">
        <f>Valuation!F39</f>
        <v>1.8254410000000001</v>
      </c>
      <c r="S13" s="24">
        <f>Valuation!G39</f>
        <v>1.1399999999999999</v>
      </c>
      <c r="T13" s="24">
        <f>Valuation!H39</f>
        <v>1.36</v>
      </c>
      <c r="U13" s="24">
        <f>Valuation!I39</f>
        <v>1.62</v>
      </c>
      <c r="V13" s="24">
        <f>Valuation!J39</f>
        <v>1.78</v>
      </c>
      <c r="W13" s="24">
        <f>Valuation!K39</f>
        <v>2.1800000000000002</v>
      </c>
      <c r="X13" s="24">
        <f>Valuation!L39</f>
        <v>1.78</v>
      </c>
      <c r="Y13" s="24">
        <f>Valuation!M39</f>
        <v>2.56</v>
      </c>
      <c r="Z13" s="24">
        <f>Valuation!N39</f>
        <v>2.82</v>
      </c>
      <c r="AA13" s="24">
        <f>Valuation!O39</f>
        <v>2.96</v>
      </c>
      <c r="AB13" s="24">
        <f>Valuation!P39</f>
        <v>3.08</v>
      </c>
      <c r="AC13" s="24">
        <f>Valuation!Q39</f>
        <v>3.34</v>
      </c>
      <c r="AD13" s="24">
        <f>Valuation!R39</f>
        <v>3.7</v>
      </c>
      <c r="AE13" s="24">
        <f>Valuation!S39</f>
        <v>4.2380463952295955</v>
      </c>
      <c r="AF13" s="24">
        <f>Valuation!T39</f>
        <v>4.8432919514196096</v>
      </c>
      <c r="AG13" s="24">
        <f>Valuation!U39</f>
        <v>5.4766784293322903</v>
      </c>
      <c r="AH13" s="24">
        <f>Valuation!V39</f>
        <v>6.0643701016750695</v>
      </c>
      <c r="AI13" s="24">
        <f>Valuation!W39</f>
        <v>6.6340202036786229</v>
      </c>
      <c r="AJ13" s="24">
        <f>Valuation!X39</f>
        <v>7.1100793746757995</v>
      </c>
      <c r="AK13" s="24">
        <f>Valuation!Y39</f>
        <v>7.6093007925169154</v>
      </c>
      <c r="AL13" s="24">
        <f>Valuation!Z39</f>
        <v>8.1327403351429339</v>
      </c>
      <c r="AM13" s="24">
        <f>Valuation!AA39</f>
        <v>8.6815082705456579</v>
      </c>
      <c r="AN13" s="24">
        <f>Valuation!AB39</f>
        <v>9.256772415488097</v>
      </c>
    </row>
    <row r="14" spans="2:40">
      <c r="B14" s="21" t="s">
        <v>581</v>
      </c>
      <c r="C14" s="22"/>
      <c r="D14" s="22"/>
      <c r="E14" s="22"/>
      <c r="F14" s="22"/>
      <c r="G14" s="22"/>
      <c r="H14" s="22"/>
      <c r="I14" s="22"/>
      <c r="J14" s="22"/>
      <c r="K14" s="22"/>
      <c r="L14" s="22"/>
      <c r="M14" s="22"/>
      <c r="N14" s="24"/>
      <c r="O14" s="24"/>
      <c r="P14" s="24"/>
      <c r="Q14" s="24">
        <f>Valuation!E38</f>
        <v>1.7466112382751551</v>
      </c>
      <c r="R14" s="24">
        <f>Valuation!F38</f>
        <v>2.1991092304165112</v>
      </c>
      <c r="S14" s="24">
        <f>Valuation!G38</f>
        <v>2.5699086536391325</v>
      </c>
      <c r="T14" s="24">
        <f>Valuation!H38</f>
        <v>3.1406759095357968</v>
      </c>
      <c r="U14" s="24">
        <f>Valuation!I38</f>
        <v>4.246505992968344</v>
      </c>
      <c r="V14" s="24">
        <f>Valuation!J38</f>
        <v>4.4831464858592938</v>
      </c>
      <c r="W14" s="24">
        <f>Valuation!K38</f>
        <v>5.2716614470408736</v>
      </c>
      <c r="X14" s="24">
        <f>Valuation!L38</f>
        <v>4.931865553612016</v>
      </c>
      <c r="Y14" s="24">
        <f>Valuation!M38</f>
        <v>5.0461956332162066</v>
      </c>
      <c r="Z14" s="24">
        <f>Valuation!N38</f>
        <v>5.3804689577317619</v>
      </c>
      <c r="AA14" s="24">
        <f>Valuation!O38</f>
        <v>4.2892676863520167</v>
      </c>
      <c r="AB14" s="24">
        <f>Valuation!P38</f>
        <v>3.1925011109486836</v>
      </c>
      <c r="AC14" s="24">
        <f>Valuation!Q38</f>
        <v>2.7534513957767057</v>
      </c>
      <c r="AD14" s="24">
        <f>Valuation!R38</f>
        <v>3.2802459784366826</v>
      </c>
      <c r="AE14" s="24">
        <f>Valuation!S38</f>
        <v>4.6193011980316987</v>
      </c>
      <c r="AF14" s="24">
        <f>Valuation!T38</f>
        <v>5.5290068023441279</v>
      </c>
      <c r="AG14" s="24">
        <f>Valuation!U38</f>
        <v>6.8608000053286435</v>
      </c>
      <c r="AH14" s="24">
        <f>Valuation!V38</f>
        <v>7.8711914267589114</v>
      </c>
      <c r="AI14" s="24">
        <f>Valuation!W38</f>
        <v>8.7499990498724696</v>
      </c>
      <c r="AJ14" s="24">
        <f>Valuation!X38</f>
        <v>9.3302725294547635</v>
      </c>
      <c r="AK14" s="24">
        <f>Valuation!Y38</f>
        <v>9.899278624587998</v>
      </c>
      <c r="AL14" s="24">
        <f>Valuation!Z38</f>
        <v>10.48694337081705</v>
      </c>
      <c r="AM14" s="24">
        <f>Valuation!AA38</f>
        <v>11.072445004982166</v>
      </c>
      <c r="AN14" s="24">
        <f>Valuation!AB38</f>
        <v>11.709372684137</v>
      </c>
    </row>
    <row r="15" spans="2:40">
      <c r="B15" s="21" t="s">
        <v>302</v>
      </c>
      <c r="C15" s="22"/>
      <c r="D15" s="22"/>
      <c r="E15" s="22"/>
      <c r="F15" s="22"/>
      <c r="G15" s="22"/>
      <c r="H15" s="22"/>
      <c r="I15" s="22"/>
      <c r="J15" s="22"/>
      <c r="K15" s="22"/>
      <c r="L15" s="22"/>
      <c r="M15" s="22"/>
      <c r="N15" s="24"/>
      <c r="O15" s="24"/>
      <c r="P15" s="24"/>
      <c r="Q15" s="24">
        <f>Valuation!E38</f>
        <v>1.7466112382751551</v>
      </c>
      <c r="R15" s="24">
        <f>Valuation!F38</f>
        <v>2.1991092304165112</v>
      </c>
      <c r="S15" s="24">
        <f>Valuation!G38</f>
        <v>2.5699086536391325</v>
      </c>
      <c r="T15" s="24">
        <f>Valuation!H38</f>
        <v>3.1406759095357968</v>
      </c>
      <c r="U15" s="24">
        <f>Valuation!I38</f>
        <v>4.246505992968344</v>
      </c>
      <c r="V15" s="24">
        <f>Valuation!J38</f>
        <v>4.4831464858592938</v>
      </c>
      <c r="W15" s="24">
        <f>Valuation!K38</f>
        <v>5.2716614470408736</v>
      </c>
      <c r="X15" s="24">
        <f>Valuation!L38</f>
        <v>4.931865553612016</v>
      </c>
      <c r="Y15" s="24">
        <f>Valuation!M38</f>
        <v>5.0461956332162066</v>
      </c>
      <c r="Z15" s="24">
        <f>Valuation!N38</f>
        <v>5.3804689577317619</v>
      </c>
      <c r="AA15" s="24">
        <f>Valuation!O38</f>
        <v>4.2892676863520167</v>
      </c>
      <c r="AB15" s="24">
        <f>Valuation!P38</f>
        <v>3.1925011109486836</v>
      </c>
      <c r="AC15" s="24">
        <f>Valuation!Q38</f>
        <v>2.7534513957767057</v>
      </c>
      <c r="AD15" s="24">
        <f>Valuation!R38</f>
        <v>3.2802459784366826</v>
      </c>
      <c r="AE15" s="24">
        <f>Valuation!S38</f>
        <v>4.6193011980316987</v>
      </c>
      <c r="AF15" s="24">
        <f>Valuation!T38</f>
        <v>5.5290068023441279</v>
      </c>
      <c r="AG15" s="24">
        <f>Valuation!U38</f>
        <v>6.8608000053286435</v>
      </c>
      <c r="AH15" s="24">
        <f>Valuation!V38</f>
        <v>7.8711914267589114</v>
      </c>
      <c r="AI15" s="24">
        <f>Valuation!W38</f>
        <v>8.7499990498724696</v>
      </c>
      <c r="AJ15" s="24">
        <f>Valuation!X38</f>
        <v>9.3302725294547635</v>
      </c>
      <c r="AK15" s="24">
        <f>Valuation!Y38</f>
        <v>9.899278624587998</v>
      </c>
      <c r="AL15" s="24">
        <f>Valuation!Z38</f>
        <v>10.48694337081705</v>
      </c>
      <c r="AM15" s="24">
        <f>Valuation!AA38</f>
        <v>11.072445004982166</v>
      </c>
      <c r="AN15" s="24">
        <f>Valuation!AB38</f>
        <v>11.709372684137</v>
      </c>
    </row>
    <row r="16" spans="2:40">
      <c r="B16" s="21" t="s">
        <v>582</v>
      </c>
      <c r="C16" s="22"/>
      <c r="D16" s="22"/>
      <c r="E16" s="22"/>
      <c r="F16" s="22"/>
      <c r="G16" s="22"/>
      <c r="H16" s="22"/>
      <c r="I16" s="22"/>
      <c r="J16" s="22"/>
      <c r="K16" s="22"/>
      <c r="L16" s="22"/>
      <c r="M16" s="22"/>
      <c r="N16" s="24"/>
      <c r="O16" s="24"/>
      <c r="P16" s="24"/>
      <c r="Q16" s="22">
        <f>-Master!L98</f>
        <v>533.11290791850001</v>
      </c>
      <c r="R16" s="22">
        <f>-Master!M98</f>
        <v>1568.522957337</v>
      </c>
      <c r="S16" s="22">
        <f>-Master!N98</f>
        <v>0</v>
      </c>
      <c r="T16" s="22">
        <f>-Master!O98</f>
        <v>979.55297999999982</v>
      </c>
      <c r="U16" s="22">
        <f>-Master!P98</f>
        <v>1168.58952</v>
      </c>
      <c r="V16" s="22">
        <f>-Master!Q98</f>
        <v>1391.9963399999999</v>
      </c>
      <c r="W16" s="22">
        <f>-Master!R98</f>
        <v>1529.4774599999998</v>
      </c>
      <c r="X16" s="22">
        <f>-Master!S98</f>
        <v>1873.1802600000001</v>
      </c>
      <c r="Y16" s="22">
        <f>-Master!T98</f>
        <v>1529.4774599999998</v>
      </c>
      <c r="Z16" s="22">
        <f>-Master!U98</f>
        <v>2201.6972799999999</v>
      </c>
      <c r="AA16" s="22">
        <f>-Master!V98</f>
        <v>2418.08232</v>
      </c>
      <c r="AB16" s="22">
        <f>-Master!W98</f>
        <v>2538.5477999999998</v>
      </c>
      <c r="AC16" s="22">
        <f>-Master!X98</f>
        <v>2644.18154</v>
      </c>
      <c r="AD16" s="22">
        <f>-Master!Y98</f>
        <v>2867.39167</v>
      </c>
      <c r="AE16" s="22">
        <f>-Master!Z98</f>
        <v>3175.0588000000002</v>
      </c>
      <c r="AF16" s="22">
        <f>-Master!AA98</f>
        <v>3636.7693248600012</v>
      </c>
      <c r="AG16" s="22">
        <f>-Master!AB98</f>
        <v>4156.1450625200014</v>
      </c>
      <c r="AH16" s="22">
        <f>-Master!AC98</f>
        <v>4699.6692004923425</v>
      </c>
      <c r="AI16" s="22">
        <f>-Master!AD98</f>
        <v>5203.9815291298173</v>
      </c>
      <c r="AJ16" s="22">
        <f>-Master!AE98</f>
        <v>5692.8119532615146</v>
      </c>
      <c r="AK16" s="22">
        <f>-Master!AF98</f>
        <v>6101.3297533142959</v>
      </c>
      <c r="AL16" s="22">
        <f>-Master!AG98</f>
        <v>6529.7236332777857</v>
      </c>
      <c r="AM16" s="22">
        <f>-Master!AH98</f>
        <v>6978.8996673541951</v>
      </c>
      <c r="AN16" s="22">
        <f>-Master!AI98</f>
        <v>7449.8106031537218</v>
      </c>
    </row>
    <row r="17" spans="2:40">
      <c r="B17" s="20" t="s">
        <v>583</v>
      </c>
      <c r="C17" s="20">
        <v>1998</v>
      </c>
      <c r="D17" s="25">
        <v>1999</v>
      </c>
      <c r="E17" s="25">
        <v>2000</v>
      </c>
      <c r="F17" s="25">
        <v>2001</v>
      </c>
      <c r="G17" s="25">
        <v>2002</v>
      </c>
      <c r="H17" s="25">
        <v>2003</v>
      </c>
      <c r="I17" s="25">
        <v>2004</v>
      </c>
      <c r="J17" s="25">
        <v>2005</v>
      </c>
      <c r="K17" s="25">
        <v>2006</v>
      </c>
      <c r="L17" s="25">
        <v>2007</v>
      </c>
      <c r="M17" s="25">
        <v>2008</v>
      </c>
      <c r="N17" s="25">
        <v>2009</v>
      </c>
      <c r="O17" s="25">
        <v>2010</v>
      </c>
      <c r="P17" s="25">
        <v>2011</v>
      </c>
      <c r="Q17" s="25">
        <v>2012</v>
      </c>
      <c r="R17" s="20">
        <v>2013</v>
      </c>
      <c r="S17" s="20">
        <v>2014</v>
      </c>
      <c r="T17" s="20">
        <v>2015</v>
      </c>
      <c r="U17" s="20">
        <v>2016</v>
      </c>
      <c r="V17" s="20">
        <v>2017</v>
      </c>
      <c r="W17" s="20">
        <v>2018</v>
      </c>
      <c r="X17" s="20">
        <v>2019</v>
      </c>
      <c r="Y17" s="20">
        <f t="shared" ref="Y17:AN17" si="1">Y$2</f>
        <v>2020</v>
      </c>
      <c r="Z17" s="20">
        <f t="shared" si="1"/>
        <v>2021</v>
      </c>
      <c r="AA17" s="20">
        <f t="shared" si="1"/>
        <v>2022</v>
      </c>
      <c r="AB17" s="20">
        <f t="shared" si="1"/>
        <v>2023</v>
      </c>
      <c r="AC17" s="20">
        <f t="shared" si="1"/>
        <v>2024</v>
      </c>
      <c r="AD17" s="20">
        <f t="shared" si="1"/>
        <v>2025</v>
      </c>
      <c r="AE17" s="20">
        <f t="shared" si="1"/>
        <v>2026</v>
      </c>
      <c r="AF17" s="20">
        <f t="shared" si="1"/>
        <v>2027</v>
      </c>
      <c r="AG17" s="20">
        <f t="shared" si="1"/>
        <v>2028</v>
      </c>
      <c r="AH17" s="20">
        <f t="shared" si="1"/>
        <v>2029</v>
      </c>
      <c r="AI17" s="20">
        <f t="shared" si="1"/>
        <v>2030</v>
      </c>
      <c r="AJ17" s="20">
        <f t="shared" si="1"/>
        <v>2031</v>
      </c>
      <c r="AK17" s="20">
        <f t="shared" si="1"/>
        <v>2032</v>
      </c>
      <c r="AL17" s="20">
        <f t="shared" si="1"/>
        <v>2033</v>
      </c>
      <c r="AM17" s="20">
        <f t="shared" si="1"/>
        <v>2034</v>
      </c>
      <c r="AN17" s="20">
        <f t="shared" si="1"/>
        <v>2035</v>
      </c>
    </row>
    <row r="18" spans="2:40">
      <c r="B18" s="21" t="s">
        <v>584</v>
      </c>
      <c r="C18" s="22"/>
      <c r="D18" s="22"/>
      <c r="E18" s="22"/>
      <c r="F18" s="22"/>
      <c r="G18" s="22"/>
      <c r="H18" s="22"/>
      <c r="I18" s="22"/>
      <c r="J18" s="22"/>
      <c r="K18" s="22"/>
      <c r="L18" s="22"/>
      <c r="M18" s="22"/>
      <c r="N18" s="22"/>
      <c r="O18" s="22"/>
      <c r="P18" s="22"/>
      <c r="Q18" s="22">
        <f>Master!L8</f>
        <v>8977</v>
      </c>
      <c r="R18" s="22">
        <f>Master!M8</f>
        <v>10068</v>
      </c>
      <c r="S18" s="22">
        <f>Master!N8</f>
        <v>11475</v>
      </c>
      <c r="T18" s="22">
        <f>Master!O8</f>
        <v>14557</v>
      </c>
      <c r="U18" s="22">
        <f>Master!P8</f>
        <v>16957</v>
      </c>
      <c r="V18" s="22">
        <f>Master!Q8</f>
        <v>17287</v>
      </c>
      <c r="W18" s="22">
        <f>Master!R8</f>
        <v>19436</v>
      </c>
      <c r="X18" s="22">
        <f>Master!S8</f>
        <v>21604</v>
      </c>
      <c r="Y18" s="22">
        <f>Master!T8</f>
        <v>22383</v>
      </c>
      <c r="Z18" s="22">
        <f>Master!U8</f>
        <v>24634</v>
      </c>
      <c r="AA18" s="22">
        <f>Master!V8</f>
        <v>27155.555</v>
      </c>
      <c r="AB18" s="22">
        <f>Master!W8</f>
        <v>29870.54</v>
      </c>
      <c r="AC18" s="22">
        <f>Master!X8</f>
        <v>32840.847999999998</v>
      </c>
      <c r="AD18" s="22">
        <f>Master!Y8</f>
        <v>35429.71</v>
      </c>
      <c r="AE18" s="22">
        <f>Master!Z8</f>
        <v>38484.331480000008</v>
      </c>
      <c r="AF18" s="22">
        <f>Master!AA8</f>
        <v>41068.627100000012</v>
      </c>
      <c r="AG18" s="22">
        <f>Master!AB8</f>
        <v>43475.200744610011</v>
      </c>
      <c r="AH18" s="22">
        <f>Master!AC8</f>
        <v>45648.960781840506</v>
      </c>
      <c r="AI18" s="22">
        <f>Master!AD8</f>
        <v>47440.099610512625</v>
      </c>
      <c r="AJ18" s="22">
        <f>Master!AE8</f>
        <v>48384.851334768406</v>
      </c>
      <c r="AK18" s="22">
        <f>Master!AF8</f>
        <v>49355.43184639293</v>
      </c>
      <c r="AL18" s="22">
        <f>Master!AG8</f>
        <v>50352.811452771966</v>
      </c>
      <c r="AM18" s="22">
        <f>Master!AH8</f>
        <v>51378.004159680844</v>
      </c>
      <c r="AN18" s="22">
        <f>Master!AI8</f>
        <v>52432.069783949228</v>
      </c>
    </row>
    <row r="19" spans="2:40">
      <c r="B19" s="21" t="s">
        <v>585</v>
      </c>
      <c r="C19" s="22"/>
      <c r="D19" s="22"/>
      <c r="E19" s="22"/>
      <c r="F19" s="22"/>
      <c r="G19" s="22"/>
      <c r="H19" s="22"/>
      <c r="I19" s="22"/>
      <c r="J19" s="22"/>
      <c r="K19" s="22"/>
      <c r="L19" s="22"/>
      <c r="M19" s="22"/>
      <c r="N19" s="22"/>
      <c r="O19" s="22"/>
      <c r="P19" s="22"/>
      <c r="Q19" s="22">
        <f>Master!L13</f>
        <v>3777</v>
      </c>
      <c r="R19" s="22">
        <f>Master!M13</f>
        <v>4356</v>
      </c>
      <c r="S19" s="22">
        <f>Master!N13</f>
        <v>4847</v>
      </c>
      <c r="T19" s="22">
        <f>Master!O13</f>
        <v>5843</v>
      </c>
      <c r="U19" s="22">
        <f>Master!P13</f>
        <v>6915</v>
      </c>
      <c r="V19" s="22">
        <f>Master!Q13</f>
        <v>7715</v>
      </c>
      <c r="W19" s="22">
        <f>Master!R13</f>
        <v>9347</v>
      </c>
      <c r="X19" s="22">
        <f>Master!S13</f>
        <v>10161</v>
      </c>
      <c r="Y19" s="22">
        <f>Master!T13</f>
        <v>11037</v>
      </c>
      <c r="Z19" s="22">
        <f>Master!U13</f>
        <v>12116</v>
      </c>
      <c r="AA19" s="22">
        <f>Master!V13</f>
        <v>12769.018</v>
      </c>
      <c r="AB19" s="22">
        <f>Master!W13</f>
        <v>13319.993</v>
      </c>
      <c r="AC19" s="22">
        <f>Master!X13</f>
        <v>14629.852999999999</v>
      </c>
      <c r="AD19" s="22">
        <f>Master!Y13</f>
        <v>15936.034</v>
      </c>
      <c r="AE19" s="22">
        <f>Master!Z13</f>
        <v>17317.949166000006</v>
      </c>
      <c r="AF19" s="22">
        <f>Master!AA13</f>
        <v>18891.568466000008</v>
      </c>
      <c r="AG19" s="22">
        <f>Master!AB13</f>
        <v>20433.344349966705</v>
      </c>
      <c r="AH19" s="22">
        <f>Master!AC13</f>
        <v>21683.256371374238</v>
      </c>
      <c r="AI19" s="22">
        <f>Master!AD13</f>
        <v>22771.247813046059</v>
      </c>
      <c r="AJ19" s="22">
        <f>Master!AE13</f>
        <v>23466.652897362677</v>
      </c>
      <c r="AK19" s="22">
        <f>Master!AF13</f>
        <v>24184.161604732537</v>
      </c>
      <c r="AL19" s="22">
        <f>Master!AG13</f>
        <v>24924.641669122124</v>
      </c>
      <c r="AM19" s="22">
        <f>Master!AH13</f>
        <v>25689.002079840422</v>
      </c>
      <c r="AN19" s="22">
        <f>Master!AI13</f>
        <v>26478.195240894362</v>
      </c>
    </row>
    <row r="20" spans="2:40">
      <c r="B20" s="21" t="s">
        <v>586</v>
      </c>
      <c r="C20" s="22"/>
      <c r="D20" s="22"/>
      <c r="E20" s="22"/>
      <c r="F20" s="22"/>
      <c r="G20" s="22"/>
      <c r="H20" s="22"/>
      <c r="I20" s="22"/>
      <c r="J20" s="22"/>
      <c r="K20" s="22"/>
      <c r="L20" s="22"/>
      <c r="M20" s="22"/>
      <c r="N20" s="22"/>
      <c r="O20" s="22"/>
      <c r="P20" s="22"/>
      <c r="Q20" s="22">
        <f>Master!L20</f>
        <v>1057</v>
      </c>
      <c r="R20" s="22">
        <f>Master!M20</f>
        <v>1250</v>
      </c>
      <c r="S20" s="22">
        <f>Master!N20</f>
        <v>1558.6596881959911</v>
      </c>
      <c r="T20" s="22">
        <f>Master!O20</f>
        <v>1851.2081983720318</v>
      </c>
      <c r="U20" s="22">
        <f>Master!P20</f>
        <v>1877.4840745931269</v>
      </c>
      <c r="V20" s="22">
        <f>Master!Q20</f>
        <v>2364.6981962095792</v>
      </c>
      <c r="W20" s="22">
        <f>Master!R20</f>
        <v>3181.64957479646</v>
      </c>
      <c r="X20" s="22">
        <f>Master!S20</f>
        <v>4070.5279947361491</v>
      </c>
      <c r="Y20" s="22">
        <f>Master!T20</f>
        <v>4661.4850579178892</v>
      </c>
      <c r="Z20" s="22">
        <f>Master!U20</f>
        <v>4991.6720000000005</v>
      </c>
      <c r="AA20" s="22">
        <f>Master!V20</f>
        <v>5981.6769999999997</v>
      </c>
      <c r="AB20" s="22">
        <f>Master!W20</f>
        <v>6853.018</v>
      </c>
      <c r="AC20" s="22">
        <f>Master!X20</f>
        <v>7954.9509999999991</v>
      </c>
      <c r="AD20" s="22">
        <f>Master!Y20</f>
        <v>8803.8250000000007</v>
      </c>
      <c r="AE20" s="22">
        <f>Master!Z20</f>
        <v>9663.6387925350573</v>
      </c>
      <c r="AF20" s="22">
        <f>Master!AA20</f>
        <v>9760.6767804969986</v>
      </c>
      <c r="AG20" s="22">
        <f>Master!AB20</f>
        <v>9701.8705025970685</v>
      </c>
      <c r="AH20" s="22">
        <f>Master!AC20</f>
        <v>9775.9425208365865</v>
      </c>
      <c r="AI20" s="22">
        <f>Master!AD20</f>
        <v>9845.00339211153</v>
      </c>
      <c r="AJ20" s="22">
        <f>Master!AE20</f>
        <v>9887.9532062991002</v>
      </c>
      <c r="AK20" s="22">
        <f>Master!AF20</f>
        <v>9915.9815820478416</v>
      </c>
      <c r="AL20" s="22">
        <f>Master!AG20</f>
        <v>9930.9875841609446</v>
      </c>
      <c r="AM20" s="22">
        <f>Master!AH20</f>
        <v>9956.8618612168393</v>
      </c>
      <c r="AN20" s="22">
        <f>Master!AI20</f>
        <v>9991.7603407307233</v>
      </c>
    </row>
    <row r="21" spans="2:40">
      <c r="B21" s="21" t="s">
        <v>587</v>
      </c>
      <c r="C21" s="22"/>
      <c r="D21" s="22"/>
      <c r="E21" s="22"/>
      <c r="F21" s="22"/>
      <c r="G21" s="22"/>
      <c r="H21" s="22"/>
      <c r="I21" s="22"/>
      <c r="J21" s="22"/>
      <c r="K21" s="22"/>
      <c r="L21" s="22"/>
      <c r="M21" s="22"/>
      <c r="N21" s="22"/>
      <c r="O21" s="22"/>
      <c r="P21" s="22"/>
      <c r="Q21" s="22">
        <f>Master!L21</f>
        <v>309</v>
      </c>
      <c r="R21" s="22">
        <f>Master!M21</f>
        <v>260</v>
      </c>
      <c r="S21" s="22">
        <f>Master!N21</f>
        <v>173.14031180400892</v>
      </c>
      <c r="T21" s="22">
        <f>Master!O21</f>
        <v>100.79180162796816</v>
      </c>
      <c r="U21" s="22">
        <f>Master!P21</f>
        <v>222.51592540687301</v>
      </c>
      <c r="V21" s="22">
        <f>Master!Q21</f>
        <v>120.30180379042088</v>
      </c>
      <c r="W21" s="22">
        <f>Master!R21</f>
        <v>105.65042520354027</v>
      </c>
      <c r="X21" s="22">
        <f>Master!S21</f>
        <v>44.472005263851067</v>
      </c>
      <c r="Y21" s="22">
        <f>Master!T21</f>
        <v>46.514942082111013</v>
      </c>
      <c r="Z21" s="22">
        <f>Master!U21</f>
        <v>306.32799999999997</v>
      </c>
      <c r="AA21" s="22">
        <f>Master!V21</f>
        <v>258.54000000000002</v>
      </c>
      <c r="AB21" s="22">
        <f>Master!W21</f>
        <v>346.197</v>
      </c>
      <c r="AC21" s="22">
        <f>Master!X21</f>
        <v>502.67200000000003</v>
      </c>
      <c r="AD21" s="22">
        <f>Master!Y21</f>
        <v>732.07100000000003</v>
      </c>
      <c r="AE21" s="22">
        <f>Master!Z21</f>
        <v>0.20200000000000001</v>
      </c>
      <c r="AF21" s="22">
        <f>Master!AA21</f>
        <v>-0.20200000000022555</v>
      </c>
      <c r="AG21" s="22">
        <f>Master!AB21</f>
        <v>0</v>
      </c>
      <c r="AH21" s="22">
        <f>Master!AC21</f>
        <v>0</v>
      </c>
      <c r="AI21" s="22">
        <f>Master!AD21</f>
        <v>0</v>
      </c>
      <c r="AJ21" s="22">
        <f>Master!AE21</f>
        <v>0</v>
      </c>
      <c r="AK21" s="22">
        <f>Master!AF21</f>
        <v>0</v>
      </c>
      <c r="AL21" s="22">
        <f>Master!AG21</f>
        <v>0</v>
      </c>
      <c r="AM21" s="22">
        <f>Master!AH21</f>
        <v>0</v>
      </c>
      <c r="AN21" s="22">
        <f>Master!AI21</f>
        <v>0</v>
      </c>
    </row>
    <row r="22" spans="2:40">
      <c r="B22" s="21" t="s">
        <v>588</v>
      </c>
      <c r="C22" s="22"/>
      <c r="D22" s="22"/>
      <c r="E22" s="22"/>
      <c r="F22" s="22"/>
      <c r="G22" s="22"/>
      <c r="H22" s="22"/>
      <c r="I22" s="22"/>
      <c r="J22" s="22"/>
      <c r="K22" s="22"/>
      <c r="L22" s="22"/>
      <c r="M22" s="22"/>
      <c r="N22" s="22"/>
      <c r="O22" s="22"/>
      <c r="P22" s="22"/>
      <c r="Q22" s="22">
        <f>Master!L45</f>
        <v>1985</v>
      </c>
      <c r="R22" s="22">
        <f>Master!M45</f>
        <v>2000</v>
      </c>
      <c r="S22" s="22">
        <f>Master!N45</f>
        <v>2336</v>
      </c>
      <c r="T22" s="22">
        <f>Master!O45</f>
        <v>3765</v>
      </c>
      <c r="U22" s="22">
        <f>Master!P45</f>
        <v>4874</v>
      </c>
      <c r="V22" s="22">
        <f>Master!Q45</f>
        <v>4692</v>
      </c>
      <c r="W22" s="22">
        <f>Master!R45</f>
        <v>5753.1229999999996</v>
      </c>
      <c r="X22" s="22">
        <f>Master!S45</f>
        <v>6535</v>
      </c>
      <c r="Y22" s="22">
        <f>Master!T45</f>
        <v>8081</v>
      </c>
      <c r="Z22" s="22">
        <f>Master!U45</f>
        <v>9466.5730000000003</v>
      </c>
      <c r="AA22" s="22">
        <f>Master!V45</f>
        <v>11836</v>
      </c>
      <c r="AB22" s="22">
        <f>Master!W45</f>
        <v>12949</v>
      </c>
      <c r="AC22" s="22">
        <f>Master!X45</f>
        <v>10340</v>
      </c>
      <c r="AD22" s="22">
        <f>Master!Y45</f>
        <v>9187.3919999999998</v>
      </c>
      <c r="AE22" s="22">
        <f>Master!Z45</f>
        <v>9717.293698700003</v>
      </c>
      <c r="AF22" s="22">
        <f>Master!AA45</f>
        <v>9856.4705040000026</v>
      </c>
      <c r="AG22" s="22">
        <f>Master!AB45</f>
        <v>9999.2961712603028</v>
      </c>
      <c r="AH22" s="22">
        <f>Master!AC45</f>
        <v>10042.771372004911</v>
      </c>
      <c r="AI22" s="22">
        <f>Master!AD45</f>
        <v>9962.4209182076502</v>
      </c>
      <c r="AJ22" s="22">
        <f>Master!AE45</f>
        <v>9918.8945236275231</v>
      </c>
      <c r="AK22" s="22">
        <f>Master!AF45</f>
        <v>9871.0863692785861</v>
      </c>
      <c r="AL22" s="22">
        <f>Master!AG45</f>
        <v>9944.6802619224636</v>
      </c>
      <c r="AM22" s="22">
        <f>Master!AH45</f>
        <v>10018.710811137766</v>
      </c>
      <c r="AN22" s="22">
        <f>Master!AI45</f>
        <v>9962.0932589503536</v>
      </c>
    </row>
    <row r="23" spans="2:40">
      <c r="B23" s="21" t="s">
        <v>589</v>
      </c>
      <c r="C23" s="22"/>
      <c r="D23" s="22"/>
      <c r="E23" s="22"/>
      <c r="F23" s="22"/>
      <c r="G23" s="22"/>
      <c r="H23" s="22"/>
      <c r="I23" s="22"/>
      <c r="J23" s="22"/>
      <c r="K23" s="22"/>
      <c r="L23" s="22"/>
      <c r="M23" s="22"/>
      <c r="N23" s="22"/>
      <c r="O23" s="22"/>
      <c r="P23" s="22"/>
      <c r="Q23" s="22">
        <f>Master!L53</f>
        <v>1792</v>
      </c>
      <c r="R23" s="22">
        <f>Master!M53</f>
        <v>2356</v>
      </c>
      <c r="S23" s="22">
        <f>Master!N53</f>
        <v>2511</v>
      </c>
      <c r="T23" s="22">
        <f>Master!O53</f>
        <v>2078</v>
      </c>
      <c r="U23" s="22">
        <f>Master!P53</f>
        <v>2041</v>
      </c>
      <c r="V23" s="22">
        <f>Master!Q53</f>
        <v>3023</v>
      </c>
      <c r="W23" s="22">
        <f>Master!R53</f>
        <v>3593.8770000000004</v>
      </c>
      <c r="X23" s="22">
        <f>Master!S53</f>
        <v>3626</v>
      </c>
      <c r="Y23" s="22">
        <f>Master!T53</f>
        <v>2956</v>
      </c>
      <c r="Z23" s="22">
        <f>Master!U53</f>
        <v>2649.4269999999997</v>
      </c>
      <c r="AA23" s="22">
        <f>Master!V53</f>
        <v>933.01800000000003</v>
      </c>
      <c r="AB23" s="22">
        <f>Master!W53</f>
        <v>370.99300000000039</v>
      </c>
      <c r="AC23" s="22">
        <f>Master!X53</f>
        <v>4289.8529999999992</v>
      </c>
      <c r="AD23" s="22">
        <f>Master!Y53</f>
        <v>6748.6419999999998</v>
      </c>
      <c r="AE23" s="22">
        <f>Master!Z53</f>
        <v>7600.6554673000028</v>
      </c>
      <c r="AF23" s="22">
        <f>Master!AA53</f>
        <v>9035.0979620000053</v>
      </c>
      <c r="AG23" s="22">
        <f>Master!AB53</f>
        <v>10434.048178706402</v>
      </c>
      <c r="AH23" s="22">
        <f>Master!AC53</f>
        <v>11640.484999369328</v>
      </c>
      <c r="AI23" s="22">
        <f>Master!AD53</f>
        <v>12808.826894838408</v>
      </c>
      <c r="AJ23" s="22">
        <f>Master!AE53</f>
        <v>13547.758373735154</v>
      </c>
      <c r="AK23" s="22">
        <f>Master!AF53</f>
        <v>14313.075235453951</v>
      </c>
      <c r="AL23" s="22">
        <f>Master!AG53</f>
        <v>14979.96140719966</v>
      </c>
      <c r="AM23" s="22">
        <f>Master!AH53</f>
        <v>15670.291268702656</v>
      </c>
      <c r="AN23" s="22">
        <f>Master!AI53</f>
        <v>16516.101981944008</v>
      </c>
    </row>
    <row r="24" spans="2:40">
      <c r="B24" s="21" t="s">
        <v>590</v>
      </c>
      <c r="C24" s="22"/>
      <c r="D24" s="22"/>
      <c r="E24" s="22"/>
      <c r="F24" s="22"/>
      <c r="G24" s="22"/>
      <c r="H24" s="22"/>
      <c r="I24" s="22"/>
      <c r="J24" s="22"/>
      <c r="K24" s="22"/>
      <c r="L24" s="22"/>
      <c r="M24" s="22"/>
      <c r="N24" s="22"/>
      <c r="O24" s="22"/>
      <c r="P24" s="22"/>
      <c r="Q24" s="22">
        <f t="shared" ref="Q24:AI24" si="2">(1-0.28)*Q23</f>
        <v>1290.24</v>
      </c>
      <c r="R24" s="22">
        <f t="shared" si="2"/>
        <v>1696.32</v>
      </c>
      <c r="S24" s="22">
        <f t="shared" si="2"/>
        <v>1807.9199999999998</v>
      </c>
      <c r="T24" s="22">
        <f t="shared" si="2"/>
        <v>1496.1599999999999</v>
      </c>
      <c r="U24" s="22">
        <f t="shared" si="2"/>
        <v>1469.52</v>
      </c>
      <c r="V24" s="22">
        <f t="shared" si="2"/>
        <v>2176.56</v>
      </c>
      <c r="W24" s="22">
        <f t="shared" si="2"/>
        <v>2587.5914400000001</v>
      </c>
      <c r="X24" s="22">
        <f t="shared" si="2"/>
        <v>2610.7199999999998</v>
      </c>
      <c r="Y24" s="22">
        <f t="shared" si="2"/>
        <v>2128.3199999999997</v>
      </c>
      <c r="Z24" s="22">
        <f t="shared" si="2"/>
        <v>1907.5874399999998</v>
      </c>
      <c r="AA24" s="22">
        <f t="shared" si="2"/>
        <v>671.77296000000001</v>
      </c>
      <c r="AB24" s="22">
        <f t="shared" si="2"/>
        <v>267.11496000000028</v>
      </c>
      <c r="AC24" s="22">
        <f t="shared" si="2"/>
        <v>3088.6941599999991</v>
      </c>
      <c r="AD24" s="22">
        <f t="shared" si="2"/>
        <v>4859.0222399999993</v>
      </c>
      <c r="AE24" s="22">
        <f t="shared" si="2"/>
        <v>5472.4719364560015</v>
      </c>
      <c r="AF24" s="22">
        <f t="shared" si="2"/>
        <v>6505.2705326400037</v>
      </c>
      <c r="AG24" s="22">
        <f t="shared" si="2"/>
        <v>7512.5146886686089</v>
      </c>
      <c r="AH24" s="22">
        <f t="shared" si="2"/>
        <v>8381.1491995459164</v>
      </c>
      <c r="AI24" s="22">
        <f t="shared" si="2"/>
        <v>9222.3553642836541</v>
      </c>
      <c r="AJ24" s="22">
        <f t="shared" ref="AJ24:AN24" si="3">(1-0.28)*AJ23</f>
        <v>9754.3860290893099</v>
      </c>
      <c r="AK24" s="22">
        <f t="shared" si="3"/>
        <v>10305.414169526844</v>
      </c>
      <c r="AL24" s="22">
        <f t="shared" si="3"/>
        <v>10785.572213183756</v>
      </c>
      <c r="AM24" s="22">
        <f t="shared" si="3"/>
        <v>11282.609713465912</v>
      </c>
      <c r="AN24" s="22">
        <f t="shared" si="3"/>
        <v>11891.593426999685</v>
      </c>
    </row>
    <row r="25" spans="2:40">
      <c r="B25" s="21" t="s">
        <v>575</v>
      </c>
      <c r="C25" s="22"/>
      <c r="D25" s="22"/>
      <c r="E25" s="22"/>
      <c r="F25" s="22"/>
      <c r="G25" s="22"/>
      <c r="H25" s="22"/>
      <c r="I25" s="22"/>
      <c r="J25" s="22"/>
      <c r="K25" s="22"/>
      <c r="L25" s="22"/>
      <c r="M25" s="22"/>
      <c r="N25" s="22"/>
      <c r="O25" s="22"/>
      <c r="P25" s="22"/>
      <c r="Q25" s="22">
        <f t="shared" ref="Q25:AI25" si="4">Q7</f>
        <v>-352</v>
      </c>
      <c r="R25" s="22">
        <f t="shared" si="4"/>
        <v>-405.69999999999982</v>
      </c>
      <c r="S25" s="22">
        <f t="shared" si="4"/>
        <v>-1098</v>
      </c>
      <c r="T25" s="22">
        <f t="shared" si="4"/>
        <v>401</v>
      </c>
      <c r="U25" s="22">
        <f t="shared" si="4"/>
        <v>2484</v>
      </c>
      <c r="V25" s="22">
        <f t="shared" si="4"/>
        <v>936</v>
      </c>
      <c r="W25" s="22">
        <f t="shared" si="4"/>
        <v>567.90000000000009</v>
      </c>
      <c r="X25" s="22">
        <f t="shared" si="4"/>
        <v>4794</v>
      </c>
      <c r="Y25" s="22">
        <f t="shared" si="4"/>
        <v>3622.3360000000002</v>
      </c>
      <c r="Z25" s="22">
        <f t="shared" si="4"/>
        <v>4668.2510000000002</v>
      </c>
      <c r="AA25" s="22">
        <f t="shared" si="4"/>
        <v>12842.623</v>
      </c>
      <c r="AB25" s="22">
        <f t="shared" si="4"/>
        <v>20231.263999999999</v>
      </c>
      <c r="AC25" s="22">
        <f t="shared" si="4"/>
        <v>21960.904999999999</v>
      </c>
      <c r="AD25" s="22">
        <f t="shared" si="4"/>
        <v>21457.014000000003</v>
      </c>
      <c r="AE25" s="22">
        <f t="shared" si="4"/>
        <v>21013.537985576048</v>
      </c>
      <c r="AF25" s="22">
        <f t="shared" si="4"/>
        <v>20295.302956888452</v>
      </c>
      <c r="AG25" s="22">
        <f t="shared" si="4"/>
        <v>19152.179257487169</v>
      </c>
      <c r="AH25" s="22">
        <f t="shared" si="4"/>
        <v>17656.984963966293</v>
      </c>
      <c r="AI25" s="22">
        <f t="shared" si="4"/>
        <v>15762.431526509212</v>
      </c>
      <c r="AJ25" s="22">
        <f t="shared" ref="AJ25:AN25" si="5">AJ7</f>
        <v>13771.986066993839</v>
      </c>
      <c r="AK25" s="22">
        <f t="shared" si="5"/>
        <v>11626.508028093</v>
      </c>
      <c r="AL25" s="22">
        <f t="shared" si="5"/>
        <v>9469.1873868563744</v>
      </c>
      <c r="AM25" s="22">
        <f t="shared" si="5"/>
        <v>7301.8044716997174</v>
      </c>
      <c r="AN25" s="22">
        <f t="shared" si="5"/>
        <v>4960.0053491310746</v>
      </c>
    </row>
    <row r="26" spans="2:40">
      <c r="B26" s="21" t="s">
        <v>591</v>
      </c>
      <c r="C26" s="22"/>
      <c r="D26" s="22"/>
      <c r="E26" s="22"/>
      <c r="F26" s="22"/>
      <c r="G26" s="22"/>
      <c r="H26" s="22"/>
      <c r="I26" s="22"/>
      <c r="J26" s="22"/>
      <c r="K26" s="22"/>
      <c r="L26" s="22"/>
      <c r="M26" s="22"/>
      <c r="N26" s="22"/>
      <c r="O26" s="22"/>
      <c r="P26" s="22"/>
      <c r="Q26" s="22"/>
      <c r="R26" s="22"/>
      <c r="S26" s="22"/>
      <c r="T26" s="22"/>
      <c r="U26" s="42">
        <f>U24/U18</f>
        <v>8.6661555699711026E-2</v>
      </c>
      <c r="V26" s="42">
        <f>V24/V18</f>
        <v>0.12590732920691849</v>
      </c>
      <c r="W26" s="42">
        <f>W24/W18</f>
        <v>0.13313394937229883</v>
      </c>
      <c r="X26" s="22"/>
      <c r="Y26" s="22"/>
      <c r="Z26" s="22"/>
      <c r="AA26" s="22"/>
      <c r="AB26" s="22"/>
      <c r="AC26" s="22"/>
      <c r="AD26" s="22"/>
      <c r="AE26" s="22"/>
      <c r="AF26" s="22"/>
      <c r="AG26" s="22"/>
      <c r="AH26" s="22"/>
      <c r="AI26" s="22"/>
      <c r="AJ26" s="22"/>
      <c r="AK26" s="22"/>
      <c r="AL26" s="22"/>
      <c r="AM26" s="22"/>
      <c r="AN26" s="22"/>
    </row>
    <row r="27" spans="2:40">
      <c r="B27" s="21" t="s">
        <v>168</v>
      </c>
      <c r="C27" s="22"/>
      <c r="D27" s="22"/>
      <c r="E27" s="22"/>
      <c r="F27" s="22"/>
      <c r="G27" s="22"/>
      <c r="H27" s="22"/>
      <c r="I27" s="22"/>
      <c r="J27" s="22"/>
      <c r="K27" s="22"/>
      <c r="L27" s="22"/>
      <c r="M27" s="22"/>
      <c r="N27" s="22"/>
      <c r="O27" s="22"/>
      <c r="P27" s="22"/>
      <c r="Q27" s="22">
        <f>Master!L81</f>
        <v>14518</v>
      </c>
      <c r="R27" s="22">
        <f>Master!M81</f>
        <v>14878</v>
      </c>
      <c r="S27" s="22">
        <f>Master!N81</f>
        <v>17175</v>
      </c>
      <c r="T27" s="22">
        <f>Master!O81</f>
        <v>19348</v>
      </c>
      <c r="U27" s="22">
        <f>Master!P81</f>
        <v>21792</v>
      </c>
      <c r="V27" s="22">
        <f>Master!Q81</f>
        <v>24852</v>
      </c>
      <c r="W27" s="22">
        <f>Master!R81</f>
        <v>27691</v>
      </c>
      <c r="X27" s="22">
        <f>Master!S81</f>
        <v>29643</v>
      </c>
      <c r="Y27" s="22">
        <f>Master!T81</f>
        <v>32515</v>
      </c>
      <c r="Z27" s="22">
        <f>Master!U81</f>
        <v>34383.03</v>
      </c>
      <c r="AA27" s="22">
        <f>Master!V81</f>
        <v>34701.697999999997</v>
      </c>
      <c r="AB27" s="22">
        <f>Master!W81</f>
        <v>35003.990999999995</v>
      </c>
      <c r="AC27" s="22">
        <f>Master!X81</f>
        <v>34743.423999999999</v>
      </c>
      <c r="AD27" s="22">
        <f>Master!Y81</f>
        <v>34576.662000000004</v>
      </c>
      <c r="AE27" s="22">
        <f>Master!Z81</f>
        <v>34663.536421259756</v>
      </c>
      <c r="AF27" s="22">
        <f>Master!AA81</f>
        <v>35004.34052965451</v>
      </c>
      <c r="AG27" s="22">
        <f>Master!AB81</f>
        <v>35923.612610907148</v>
      </c>
      <c r="AH27" s="22">
        <f>Master!AC81</f>
        <v>37119.901682310869</v>
      </c>
      <c r="AI27" s="22">
        <f>Master!AD81</f>
        <v>38516.504337853818</v>
      </c>
      <c r="AJ27" s="22">
        <f>Master!AE81</f>
        <v>39870.223168658144</v>
      </c>
      <c r="AK27" s="22">
        <f>Master!AF81</f>
        <v>41248.701985789798</v>
      </c>
      <c r="AL27" s="22">
        <f>Master!AG81</f>
        <v>42646.076145651023</v>
      </c>
      <c r="AM27" s="22">
        <f>Master!AH81</f>
        <v>44036.707275752146</v>
      </c>
      <c r="AN27" s="22">
        <f>Master!AI81</f>
        <v>45438.990397800801</v>
      </c>
    </row>
    <row r="28" spans="2:40">
      <c r="B28" s="21" t="s">
        <v>592</v>
      </c>
      <c r="C28" s="22"/>
      <c r="D28" s="22"/>
      <c r="E28" s="22"/>
      <c r="F28" s="22"/>
      <c r="G28" s="22"/>
      <c r="H28" s="22"/>
      <c r="I28" s="22"/>
      <c r="J28" s="22"/>
      <c r="K28" s="22"/>
      <c r="L28" s="22"/>
      <c r="M28" s="22"/>
      <c r="N28" s="22"/>
      <c r="O28" s="22"/>
      <c r="P28" s="22"/>
      <c r="Q28" s="22">
        <f>Master!L25</f>
        <v>112</v>
      </c>
      <c r="R28" s="22">
        <f>Master!M25</f>
        <v>34</v>
      </c>
      <c r="S28" s="22">
        <f>Master!N25</f>
        <v>36.900000000000006</v>
      </c>
      <c r="T28" s="22">
        <f>Master!O25</f>
        <v>80.733000000000004</v>
      </c>
      <c r="U28" s="22">
        <f>Master!P25</f>
        <v>113</v>
      </c>
      <c r="V28" s="22">
        <f>Master!Q25</f>
        <v>-2.5</v>
      </c>
      <c r="W28" s="22">
        <f>Master!R25</f>
        <v>-29.299999999999997</v>
      </c>
      <c r="X28" s="22">
        <f>Master!S25</f>
        <v>-413</v>
      </c>
      <c r="Y28" s="22">
        <f>Master!T25</f>
        <v>-545</v>
      </c>
      <c r="Z28" s="22">
        <f>Master!U25</f>
        <v>-697</v>
      </c>
      <c r="AA28" s="22">
        <f>Master!V25</f>
        <v>-1258.9899999999998</v>
      </c>
      <c r="AB28" s="22">
        <f>Master!W25</f>
        <v>-1906.258</v>
      </c>
      <c r="AC28" s="22">
        <f>Master!X25</f>
        <v>-2535.7079999999996</v>
      </c>
      <c r="AD28" s="22">
        <f>Master!Y25</f>
        <v>-2104.5239999999999</v>
      </c>
      <c r="AE28" s="22">
        <f>Master!Z25</f>
        <v>-2049.7963986196419</v>
      </c>
      <c r="AF28" s="22">
        <f>Master!AA25</f>
        <v>-2021.1214665676478</v>
      </c>
      <c r="AG28" s="22">
        <f>Master!AB25</f>
        <v>-1955.6667391230112</v>
      </c>
      <c r="AH28" s="22">
        <f>Master!AC25</f>
        <v>-1856.3554404004174</v>
      </c>
      <c r="AI28" s="22">
        <f>Master!AD25</f>
        <v>-1757.7900475162949</v>
      </c>
      <c r="AJ28" s="22">
        <f>Master!AE25</f>
        <v>-1654.702478980947</v>
      </c>
      <c r="AK28" s="22">
        <f>Master!AF25</f>
        <v>-1598.033506574478</v>
      </c>
      <c r="AL28" s="22">
        <f>Master!AG25</f>
        <v>-1549.623823456421</v>
      </c>
      <c r="AM28" s="22">
        <f>Master!AH25</f>
        <v>-1511.5308952506296</v>
      </c>
      <c r="AN28" s="22">
        <f>Master!AI25</f>
        <v>-1420.3220044511982</v>
      </c>
    </row>
    <row r="29" spans="2:40">
      <c r="B29" s="21" t="s">
        <v>593</v>
      </c>
      <c r="C29" s="22"/>
      <c r="D29" s="22"/>
      <c r="E29" s="22"/>
      <c r="F29" s="22"/>
      <c r="G29" s="22"/>
      <c r="H29" s="22"/>
      <c r="I29" s="22"/>
      <c r="J29" s="22"/>
      <c r="K29" s="22"/>
      <c r="L29" s="22"/>
      <c r="M29" s="22"/>
      <c r="N29" s="22"/>
      <c r="O29" s="22"/>
      <c r="P29" s="22"/>
      <c r="Q29" s="22">
        <f>Master!L35</f>
        <v>1929</v>
      </c>
      <c r="R29" s="22">
        <f>Master!M35</f>
        <v>1892</v>
      </c>
      <c r="S29" s="22">
        <f>Master!N35</f>
        <v>2353.5</v>
      </c>
      <c r="T29" s="22">
        <f>Master!O35</f>
        <v>3162.7330000000002</v>
      </c>
      <c r="U29" s="22">
        <f>Master!P35</f>
        <v>3856</v>
      </c>
      <c r="V29" s="22">
        <f>Master!Q35</f>
        <v>4136.4999999999991</v>
      </c>
      <c r="W29" s="22">
        <f>Master!R35</f>
        <v>4509.3999999999996</v>
      </c>
      <c r="X29" s="22">
        <f>Master!S35</f>
        <v>4258</v>
      </c>
      <c r="Y29" s="22">
        <f>Master!T35</f>
        <v>4182.3999999999996</v>
      </c>
      <c r="Z29" s="22">
        <f>Master!U35</f>
        <v>4287.9240000000009</v>
      </c>
      <c r="AA29" s="22">
        <f>Master!V35</f>
        <v>3503.094000000001</v>
      </c>
      <c r="AB29" s="22">
        <f>Master!W35</f>
        <v>2895.7810000000004</v>
      </c>
      <c r="AC29" s="22">
        <f>Master!X35</f>
        <v>2445.3959999999997</v>
      </c>
      <c r="AD29" s="22">
        <f>Master!Y35</f>
        <v>2851.4839999999999</v>
      </c>
      <c r="AE29" s="22">
        <f>Master!Z35</f>
        <v>3986.9332212597537</v>
      </c>
      <c r="AF29" s="22">
        <f>Master!AA35</f>
        <v>4744.5734332547527</v>
      </c>
      <c r="AG29" s="22">
        <f>Master!AB35</f>
        <v>5887.4171437726372</v>
      </c>
      <c r="AH29" s="22">
        <f>Master!AC35</f>
        <v>6754.4582718960646</v>
      </c>
      <c r="AI29" s="22">
        <f>Master!AD35</f>
        <v>7508.5841846727635</v>
      </c>
      <c r="AJ29" s="22">
        <f>Master!AE35</f>
        <v>8006.5307840658397</v>
      </c>
      <c r="AK29" s="22">
        <f>Master!AF35</f>
        <v>8494.8085704459518</v>
      </c>
      <c r="AL29" s="22">
        <f>Master!AG35</f>
        <v>8999.0977931390098</v>
      </c>
      <c r="AM29" s="22">
        <f>Master!AH35</f>
        <v>9501.5307974553161</v>
      </c>
      <c r="AN29" s="22">
        <f>Master!AI35</f>
        <v>10048.09372520238</v>
      </c>
    </row>
    <row r="30" spans="2:40">
      <c r="B30" s="21" t="s">
        <v>301</v>
      </c>
      <c r="C30" s="22"/>
      <c r="D30" s="22"/>
      <c r="E30" s="22"/>
      <c r="F30" s="22"/>
      <c r="G30" s="22"/>
      <c r="H30" s="22"/>
      <c r="I30" s="22"/>
      <c r="J30" s="22"/>
      <c r="K30" s="22"/>
      <c r="L30" s="22"/>
      <c r="M30" s="22"/>
      <c r="N30" s="22"/>
      <c r="O30" s="22"/>
      <c r="P30" s="22"/>
      <c r="Q30" s="22">
        <f>Master!L342</f>
        <v>1500.56</v>
      </c>
      <c r="R30" s="22">
        <f>Master!M342</f>
        <v>1889.6</v>
      </c>
      <c r="S30" s="22">
        <f>Master!N342</f>
        <v>2208.212</v>
      </c>
      <c r="T30" s="22">
        <f>Master!O342</f>
        <v>2698.6477599999998</v>
      </c>
      <c r="U30" s="22">
        <f>Master!P342</f>
        <v>3648.84</v>
      </c>
      <c r="V30" s="22">
        <f>Master!Q342</f>
        <v>3852.1749999999993</v>
      </c>
      <c r="W30" s="22">
        <f>Master!R342</f>
        <v>4529.7119999999995</v>
      </c>
      <c r="X30" s="22">
        <f>Master!S342</f>
        <v>4237.74</v>
      </c>
      <c r="Y30" s="22">
        <f>Master!T342</f>
        <v>4339.92</v>
      </c>
      <c r="Z30" s="22">
        <f>Master!U342</f>
        <v>4613.6230000000005</v>
      </c>
      <c r="AA30" s="22">
        <f>Master!V342</f>
        <v>3678.5510300000005</v>
      </c>
      <c r="AB30" s="22">
        <f>Master!W342</f>
        <v>2740.7638000000002</v>
      </c>
      <c r="AC30" s="22">
        <f>Master!X342</f>
        <v>2363.8393999999998</v>
      </c>
      <c r="AD30" s="22">
        <f>Master!Y342</f>
        <v>2814.8577999999998</v>
      </c>
      <c r="AE30" s="22">
        <f>Master!Z342</f>
        <v>3963.9332212597537</v>
      </c>
      <c r="AF30" s="22">
        <f>Master!AA342</f>
        <v>4744.5734332547527</v>
      </c>
      <c r="AG30" s="22">
        <f>Master!AB342</f>
        <v>5887.4171437726372</v>
      </c>
      <c r="AH30" s="22">
        <f>Master!AC342</f>
        <v>6754.4582718960646</v>
      </c>
      <c r="AI30" s="22">
        <f>Master!AD342</f>
        <v>7508.5841846727635</v>
      </c>
      <c r="AJ30" s="22">
        <f>Master!AE342</f>
        <v>8006.5307840658397</v>
      </c>
      <c r="AK30" s="22">
        <f>Master!AF342</f>
        <v>8494.8085704459518</v>
      </c>
      <c r="AL30" s="22">
        <f>Master!AG342</f>
        <v>8999.0977931390098</v>
      </c>
      <c r="AM30" s="22">
        <f>Master!AH342</f>
        <v>9501.5307974553161</v>
      </c>
      <c r="AN30" s="22">
        <f>Master!AI342</f>
        <v>10048.09372520238</v>
      </c>
    </row>
    <row r="31" spans="2:40">
      <c r="B31" s="21" t="s">
        <v>594</v>
      </c>
      <c r="C31" s="22"/>
      <c r="D31" s="22"/>
      <c r="E31" s="22"/>
      <c r="F31" s="22"/>
      <c r="G31" s="22"/>
      <c r="H31" s="22"/>
      <c r="I31" s="22"/>
      <c r="J31" s="22"/>
      <c r="K31" s="22"/>
      <c r="L31" s="22"/>
      <c r="M31" s="22"/>
      <c r="N31" s="22"/>
      <c r="O31" s="22"/>
      <c r="P31" s="22"/>
      <c r="Q31" s="22"/>
      <c r="R31" s="22">
        <f>Valuation!F28</f>
        <v>1023.6999999999998</v>
      </c>
      <c r="S31" s="22">
        <f>Valuation!G28</f>
        <v>1379.0000000000002</v>
      </c>
      <c r="T31" s="22">
        <f>Valuation!H28</f>
        <v>361.73299999999995</v>
      </c>
      <c r="U31" s="22">
        <f>Valuation!I28</f>
        <v>1125</v>
      </c>
      <c r="V31" s="22">
        <f>Valuation!J28</f>
        <v>3110.5</v>
      </c>
      <c r="W31" s="22">
        <f>Valuation!K28</f>
        <v>2637.9769999999999</v>
      </c>
      <c r="X31" s="22">
        <f>Valuation!L28</f>
        <v>-843.51499999999965</v>
      </c>
      <c r="Y31" s="22">
        <f>Valuation!M28</f>
        <v>226.29900000000055</v>
      </c>
      <c r="Z31" s="22">
        <f>Valuation!N28</f>
        <v>-352.17199999999929</v>
      </c>
      <c r="AA31" s="22">
        <f>Valuation!O28</f>
        <v>-4437.9750000000013</v>
      </c>
      <c r="AB31" s="22">
        <f>Valuation!P28</f>
        <v>-3394.9230000000007</v>
      </c>
      <c r="AC31" s="22">
        <f>Valuation!Q28</f>
        <v>14.795999999999026</v>
      </c>
      <c r="AD31" s="22">
        <f>Valuation!R28</f>
        <v>2632.5992499999998</v>
      </c>
      <c r="AE31" s="22">
        <f>Valuation!S28</f>
        <v>3407.2556144239556</v>
      </c>
      <c r="AF31" s="22">
        <f>Valuation!T28</f>
        <v>4122.5972335475972</v>
      </c>
      <c r="AG31" s="22">
        <f>Valuation!U28</f>
        <v>5043.6209299212833</v>
      </c>
      <c r="AH31" s="22">
        <f>Valuation!V28</f>
        <v>5913.6508788132178</v>
      </c>
      <c r="AI31" s="22">
        <f>Valuation!W28</f>
        <v>6789.2010898668977</v>
      </c>
      <c r="AJ31" s="22">
        <f>Valuation!X28</f>
        <v>7342.9901483848871</v>
      </c>
      <c r="AK31" s="22">
        <f>Valuation!Y28</f>
        <v>7872.5138013839332</v>
      </c>
      <c r="AL31" s="22">
        <f>Valuation!Z28</f>
        <v>8275.3208846000907</v>
      </c>
      <c r="AM31" s="22">
        <f>Valuation!AA28</f>
        <v>8693.3868536050995</v>
      </c>
      <c r="AN31" s="22">
        <f>Valuation!AB28</f>
        <v>9293.424423926037</v>
      </c>
    </row>
    <row r="32" spans="2:40">
      <c r="B32" s="21" t="s">
        <v>595</v>
      </c>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row>
    <row r="33" spans="2:40">
      <c r="B33" s="21" t="s">
        <v>596</v>
      </c>
      <c r="C33" s="22"/>
      <c r="D33" s="22"/>
      <c r="E33" s="22"/>
      <c r="F33" s="22"/>
      <c r="G33" s="22"/>
      <c r="H33" s="22"/>
      <c r="I33" s="22"/>
      <c r="J33" s="22"/>
      <c r="K33" s="22"/>
      <c r="L33" s="22"/>
      <c r="M33" s="22"/>
      <c r="N33" s="22"/>
      <c r="O33" s="22"/>
      <c r="P33" s="22"/>
      <c r="Q33" s="22">
        <f>Master!L66</f>
        <v>11571</v>
      </c>
      <c r="R33" s="22">
        <f>Master!M66</f>
        <v>12486</v>
      </c>
      <c r="S33" s="22">
        <f>Master!N66</f>
        <v>14321</v>
      </c>
      <c r="T33" s="22">
        <f>Master!O66</f>
        <v>17658</v>
      </c>
      <c r="U33" s="22">
        <f>Master!P66</f>
        <v>21522</v>
      </c>
      <c r="V33" s="22">
        <f>Master!Q66</f>
        <v>24385</v>
      </c>
      <c r="W33" s="22">
        <f>Master!R66</f>
        <v>26890</v>
      </c>
      <c r="X33" s="22">
        <f>Master!S66</f>
        <v>30623</v>
      </c>
      <c r="Y33" s="22">
        <f>Master!T66</f>
        <v>33804</v>
      </c>
      <c r="Z33" s="22">
        <f>Master!U66</f>
        <v>39071.879999999997</v>
      </c>
      <c r="AA33" s="22">
        <f>Master!V66</f>
        <v>46236.025999999998</v>
      </c>
      <c r="AB33" s="22">
        <f>Master!W66</f>
        <v>53417.510999999999</v>
      </c>
      <c r="AC33" s="22">
        <f>Master!X66</f>
        <v>55563.957999999999</v>
      </c>
      <c r="AD33" s="22">
        <f>Master!Y66</f>
        <v>56099.911999999997</v>
      </c>
      <c r="AE33" s="22">
        <f>Master!Z66</f>
        <v>54396.712811176287</v>
      </c>
      <c r="AF33" s="22">
        <f>Master!AA66</f>
        <v>54609.672472779523</v>
      </c>
      <c r="AG33" s="22">
        <f>Master!AB66</f>
        <v>55026.607398304972</v>
      </c>
      <c r="AH33" s="22">
        <f>Master!AC66</f>
        <v>55415.335691472763</v>
      </c>
      <c r="AI33" s="22">
        <f>Master!AD66</f>
        <v>55657.090648408339</v>
      </c>
      <c r="AJ33" s="22">
        <f>Master!AE66</f>
        <v>55814.856145193015</v>
      </c>
      <c r="AK33" s="22">
        <f>Master!AF66</f>
        <v>55899.321595469126</v>
      </c>
      <c r="AL33" s="22">
        <f>Master!AG66</f>
        <v>56044.962149536936</v>
      </c>
      <c r="AM33" s="22">
        <f>Master!AH66</f>
        <v>56241.397933290282</v>
      </c>
      <c r="AN33" s="22">
        <f>Master!AI66</f>
        <v>56349.009422018979</v>
      </c>
    </row>
    <row r="34" spans="2:40">
      <c r="B34" s="21" t="s">
        <v>597</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row>
    <row r="35" spans="2:40">
      <c r="B35" s="21" t="s">
        <v>598</v>
      </c>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row>
    <row r="36" spans="2:40">
      <c r="B36" s="21" t="s">
        <v>599</v>
      </c>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row>
    <row r="37" spans="2:40">
      <c r="B37" s="21" t="s">
        <v>600</v>
      </c>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row>
    <row r="38" spans="2:40">
      <c r="B38" s="21" t="s">
        <v>601</v>
      </c>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row>
    <row r="39" spans="2:40">
      <c r="B39" s="21" t="s">
        <v>602</v>
      </c>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row>
    <row r="40" spans="2:40">
      <c r="B40" s="21" t="s">
        <v>603</v>
      </c>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row>
    <row r="41" spans="2:40">
      <c r="B41" s="21" t="s">
        <v>604</v>
      </c>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row>
    <row r="42" spans="2:40">
      <c r="B42" s="21" t="s">
        <v>605</v>
      </c>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row>
    <row r="43" spans="2:40">
      <c r="B43" s="21" t="s">
        <v>606</v>
      </c>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row>
    <row r="44" spans="2:40">
      <c r="B44" s="21" t="s">
        <v>607</v>
      </c>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row>
    <row r="45" spans="2:40">
      <c r="B45" s="21" t="s">
        <v>608</v>
      </c>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row>
    <row r="46" spans="2:40">
      <c r="B46" s="21" t="s">
        <v>609</v>
      </c>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row>
    <row r="47" spans="2:40">
      <c r="B47" s="21" t="s">
        <v>610</v>
      </c>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row>
    <row r="48" spans="2:40">
      <c r="B48" s="21" t="s">
        <v>611</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row>
    <row r="49" spans="2:40">
      <c r="B49" s="21" t="s">
        <v>612</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row>
    <row r="50" spans="2:40">
      <c r="B50" s="21" t="s">
        <v>613</v>
      </c>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row>
    <row r="51" spans="2:40">
      <c r="B51" s="21" t="s">
        <v>614</v>
      </c>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row>
    <row r="52" spans="2:40">
      <c r="B52" s="21" t="s">
        <v>615</v>
      </c>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row>
    <row r="53" spans="2:40">
      <c r="B53" s="21" t="s">
        <v>616</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row>
    <row r="54" spans="2:40">
      <c r="B54" s="21" t="s">
        <v>617</v>
      </c>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row>
    <row r="55" spans="2:40">
      <c r="B55" s="21" t="s">
        <v>618</v>
      </c>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row>
    <row r="56" spans="2:40">
      <c r="B56" s="21" t="s">
        <v>619</v>
      </c>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row>
    <row r="57" spans="2:40">
      <c r="B57" s="21" t="s">
        <v>620</v>
      </c>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row>
    <row r="58" spans="2:40">
      <c r="B58" s="21" t="s">
        <v>621</v>
      </c>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row>
    <row r="59" spans="2:40">
      <c r="B59" s="21" t="s">
        <v>622</v>
      </c>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row>
    <row r="60" spans="2:40">
      <c r="B60" s="21" t="s">
        <v>623</v>
      </c>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row>
    <row r="61" spans="2:40">
      <c r="B61" s="21" t="s">
        <v>624</v>
      </c>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row>
    <row r="62" spans="2:40">
      <c r="B62" s="21" t="s">
        <v>625</v>
      </c>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row>
    <row r="63" spans="2:40">
      <c r="B63" s="21" t="s">
        <v>626</v>
      </c>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row>
    <row r="64" spans="2:40">
      <c r="B64" s="21" t="s">
        <v>627</v>
      </c>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row>
    <row r="65" spans="2:40">
      <c r="B65" s="21" t="s">
        <v>628</v>
      </c>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row>
    <row r="66" spans="2:40">
      <c r="B66" s="21" t="s">
        <v>629</v>
      </c>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row>
    <row r="67" spans="2:40">
      <c r="B67" s="21" t="s">
        <v>630</v>
      </c>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row>
    <row r="68" spans="2:40">
      <c r="B68" s="21" t="s">
        <v>631</v>
      </c>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row>
    <row r="69" spans="2:40">
      <c r="B69" s="21" t="s">
        <v>632</v>
      </c>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row>
    <row r="71" spans="2:40">
      <c r="B71" s="20" t="s">
        <v>633</v>
      </c>
      <c r="C71" s="20">
        <v>1998</v>
      </c>
      <c r="D71" s="20">
        <v>1999</v>
      </c>
      <c r="E71" s="20">
        <v>2000</v>
      </c>
      <c r="F71" s="20">
        <v>2001</v>
      </c>
      <c r="G71" s="20">
        <v>2002</v>
      </c>
      <c r="H71" s="20">
        <v>2003</v>
      </c>
      <c r="I71" s="20">
        <v>2004</v>
      </c>
      <c r="J71" s="20">
        <v>2005</v>
      </c>
      <c r="K71" s="20">
        <v>2006</v>
      </c>
      <c r="L71" s="20">
        <v>2007</v>
      </c>
      <c r="M71" s="20">
        <v>2008</v>
      </c>
      <c r="N71" s="20">
        <v>2009</v>
      </c>
      <c r="O71" s="20">
        <v>2010</v>
      </c>
      <c r="P71" s="20">
        <v>2011</v>
      </c>
      <c r="Q71" s="20">
        <v>2012</v>
      </c>
      <c r="R71" s="20">
        <v>2013</v>
      </c>
      <c r="S71" s="20">
        <v>2014</v>
      </c>
      <c r="T71" s="20">
        <v>2015</v>
      </c>
      <c r="U71" s="20">
        <v>2016</v>
      </c>
      <c r="V71" s="20">
        <v>2017</v>
      </c>
      <c r="W71" s="20">
        <v>2018</v>
      </c>
      <c r="X71" s="20">
        <v>2019</v>
      </c>
      <c r="Y71" s="20">
        <f t="shared" ref="Y71:AN71" si="6">Y$2</f>
        <v>2020</v>
      </c>
      <c r="Z71" s="20">
        <f t="shared" si="6"/>
        <v>2021</v>
      </c>
      <c r="AA71" s="20">
        <f t="shared" si="6"/>
        <v>2022</v>
      </c>
      <c r="AB71" s="20">
        <f t="shared" si="6"/>
        <v>2023</v>
      </c>
      <c r="AC71" s="20">
        <f t="shared" si="6"/>
        <v>2024</v>
      </c>
      <c r="AD71" s="20">
        <f t="shared" si="6"/>
        <v>2025</v>
      </c>
      <c r="AE71" s="20">
        <f t="shared" si="6"/>
        <v>2026</v>
      </c>
      <c r="AF71" s="20">
        <f t="shared" si="6"/>
        <v>2027</v>
      </c>
      <c r="AG71" s="20">
        <f t="shared" si="6"/>
        <v>2028</v>
      </c>
      <c r="AH71" s="20">
        <f t="shared" si="6"/>
        <v>2029</v>
      </c>
      <c r="AI71" s="20">
        <f t="shared" si="6"/>
        <v>2030</v>
      </c>
      <c r="AJ71" s="20">
        <f t="shared" si="6"/>
        <v>2031</v>
      </c>
      <c r="AK71" s="20">
        <f t="shared" si="6"/>
        <v>2032</v>
      </c>
      <c r="AL71" s="20">
        <f t="shared" si="6"/>
        <v>2033</v>
      </c>
      <c r="AM71" s="20">
        <f t="shared" si="6"/>
        <v>2034</v>
      </c>
      <c r="AN71" s="20">
        <f t="shared" si="6"/>
        <v>2035</v>
      </c>
    </row>
    <row r="72" spans="2:40">
      <c r="B72" s="26"/>
      <c r="C72" s="27"/>
      <c r="D72" s="27"/>
      <c r="E72" s="28"/>
      <c r="F72" s="28"/>
      <c r="G72" s="28"/>
      <c r="H72" s="28"/>
      <c r="I72" s="28"/>
      <c r="J72" s="28"/>
      <c r="K72" s="28"/>
      <c r="L72" s="28"/>
      <c r="M72" s="28"/>
      <c r="N72" s="28"/>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row>
    <row r="73" spans="2:40">
      <c r="B73" s="26"/>
      <c r="C73" s="27"/>
      <c r="D73" s="27"/>
      <c r="E73" s="28"/>
      <c r="F73" s="28"/>
      <c r="G73" s="28"/>
      <c r="H73" s="28"/>
      <c r="I73" s="28"/>
      <c r="J73" s="28"/>
      <c r="K73" s="28"/>
      <c r="L73" s="28"/>
      <c r="M73" s="28"/>
      <c r="N73" s="28"/>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row>
    <row r="74" spans="2:40">
      <c r="B74" s="26"/>
      <c r="C74" s="27"/>
      <c r="D74" s="27"/>
      <c r="E74" s="28"/>
      <c r="F74" s="28"/>
      <c r="G74" s="28"/>
      <c r="H74" s="28"/>
      <c r="I74" s="28"/>
      <c r="J74" s="28"/>
      <c r="K74" s="28"/>
      <c r="L74" s="28"/>
      <c r="M74" s="28"/>
      <c r="N74" s="28"/>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row>
    <row r="75" spans="2:40">
      <c r="B75" s="26"/>
      <c r="C75" s="27"/>
      <c r="D75" s="27"/>
      <c r="E75" s="28"/>
      <c r="F75" s="28"/>
      <c r="G75" s="28"/>
      <c r="H75" s="28"/>
      <c r="I75" s="28"/>
      <c r="J75" s="28"/>
      <c r="K75" s="28"/>
      <c r="L75" s="28"/>
      <c r="M75" s="28"/>
      <c r="N75" s="28"/>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row>
    <row r="76" spans="2:40">
      <c r="B76" s="26"/>
      <c r="C76" s="27"/>
      <c r="D76" s="27"/>
      <c r="E76" s="28"/>
      <c r="F76" s="28"/>
      <c r="G76" s="28"/>
      <c r="H76" s="28"/>
      <c r="I76" s="28"/>
      <c r="J76" s="28"/>
      <c r="K76" s="28"/>
      <c r="L76" s="28"/>
      <c r="M76" s="28"/>
      <c r="N76" s="28"/>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row>
    <row r="77" spans="2:40">
      <c r="B77" s="26"/>
      <c r="C77" s="27"/>
      <c r="D77" s="27"/>
      <c r="E77" s="28"/>
      <c r="F77" s="28"/>
      <c r="G77" s="28"/>
      <c r="H77" s="28"/>
      <c r="I77" s="28"/>
      <c r="J77" s="28"/>
      <c r="K77" s="28"/>
      <c r="L77" s="28"/>
      <c r="M77" s="28"/>
      <c r="N77" s="28"/>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row>
    <row r="78" spans="2:40">
      <c r="B78" s="26"/>
      <c r="C78" s="27"/>
      <c r="D78" s="27"/>
      <c r="E78" s="28"/>
      <c r="F78" s="28"/>
      <c r="G78" s="28"/>
      <c r="H78" s="28"/>
      <c r="I78" s="28"/>
      <c r="J78" s="28"/>
      <c r="K78" s="28"/>
      <c r="L78" s="28"/>
      <c r="M78" s="28"/>
      <c r="N78" s="28"/>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row>
    <row r="79" spans="2:40">
      <c r="B79" s="26"/>
      <c r="C79" s="27"/>
      <c r="D79" s="27"/>
      <c r="E79" s="28"/>
      <c r="F79" s="28"/>
      <c r="G79" s="28"/>
      <c r="H79" s="28"/>
      <c r="I79" s="28"/>
      <c r="J79" s="28"/>
      <c r="K79" s="28"/>
      <c r="L79" s="28"/>
      <c r="M79" s="28"/>
      <c r="N79" s="28"/>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row>
    <row r="80" spans="2:40">
      <c r="B80" s="26"/>
      <c r="C80" s="27"/>
      <c r="D80" s="27"/>
      <c r="E80" s="28"/>
      <c r="F80" s="28"/>
      <c r="G80" s="28"/>
      <c r="H80" s="28"/>
      <c r="I80" s="28"/>
      <c r="J80" s="28"/>
      <c r="K80" s="28"/>
      <c r="L80" s="28"/>
      <c r="M80" s="28"/>
      <c r="N80" s="28"/>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row>
    <row r="81" spans="2:40">
      <c r="B81" s="26"/>
      <c r="C81" s="27"/>
      <c r="D81" s="27"/>
      <c r="E81" s="28"/>
      <c r="F81" s="28"/>
      <c r="G81" s="28"/>
      <c r="H81" s="28"/>
      <c r="I81" s="28"/>
      <c r="J81" s="28"/>
      <c r="K81" s="28"/>
      <c r="L81" s="28"/>
      <c r="M81" s="28"/>
      <c r="N81" s="28"/>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row>
    <row r="82" spans="2:40">
      <c r="B82" s="26"/>
      <c r="C82" s="27"/>
      <c r="D82" s="27"/>
      <c r="E82" s="28"/>
      <c r="F82" s="28"/>
      <c r="G82" s="28"/>
      <c r="H82" s="28"/>
      <c r="I82" s="28"/>
      <c r="J82" s="28"/>
      <c r="K82" s="28"/>
      <c r="L82" s="28"/>
      <c r="M82" s="28"/>
      <c r="N82" s="28"/>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row>
    <row r="83" spans="2:40">
      <c r="B83" s="26"/>
      <c r="C83" s="27"/>
      <c r="D83" s="27"/>
      <c r="E83" s="28"/>
      <c r="F83" s="28"/>
      <c r="G83" s="28"/>
      <c r="H83" s="28"/>
      <c r="I83" s="28"/>
      <c r="J83" s="28"/>
      <c r="K83" s="28"/>
      <c r="L83" s="28"/>
      <c r="M83" s="28"/>
      <c r="N83" s="28"/>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row>
    <row r="84" spans="2:40">
      <c r="B84" s="26"/>
      <c r="C84" s="27"/>
      <c r="D84" s="27"/>
      <c r="E84" s="28"/>
      <c r="F84" s="28"/>
      <c r="G84" s="28"/>
      <c r="H84" s="28"/>
      <c r="I84" s="28"/>
      <c r="J84" s="28"/>
      <c r="K84" s="28"/>
      <c r="L84" s="28"/>
      <c r="M84" s="28"/>
      <c r="N84" s="28"/>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row>
    <row r="85" spans="2:40">
      <c r="B85" s="26"/>
      <c r="C85" s="27"/>
      <c r="D85" s="27"/>
      <c r="E85" s="28"/>
      <c r="F85" s="28"/>
      <c r="G85" s="28"/>
      <c r="H85" s="28"/>
      <c r="I85" s="28"/>
      <c r="J85" s="28"/>
      <c r="K85" s="28"/>
      <c r="L85" s="28"/>
      <c r="M85" s="28"/>
      <c r="N85" s="28"/>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row>
    <row r="86" spans="2:40">
      <c r="B86" s="26"/>
      <c r="C86" s="27"/>
      <c r="D86" s="27"/>
      <c r="E86" s="28"/>
      <c r="F86" s="28"/>
      <c r="G86" s="28"/>
      <c r="H86" s="28"/>
      <c r="I86" s="28"/>
      <c r="J86" s="28"/>
      <c r="K86" s="28"/>
      <c r="L86" s="28"/>
      <c r="M86" s="28"/>
      <c r="N86" s="28"/>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row>
    <row r="87" spans="2:40">
      <c r="B87" s="26"/>
      <c r="C87" s="27"/>
      <c r="D87" s="27"/>
      <c r="E87" s="28"/>
      <c r="F87" s="28"/>
      <c r="G87" s="28"/>
      <c r="H87" s="28"/>
      <c r="I87" s="28"/>
      <c r="J87" s="28"/>
      <c r="K87" s="28"/>
      <c r="L87" s="28"/>
      <c r="M87" s="28"/>
      <c r="N87" s="28"/>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row>
    <row r="88" spans="2:40">
      <c r="B88" s="26"/>
      <c r="C88" s="27"/>
      <c r="D88" s="27"/>
      <c r="E88" s="28"/>
      <c r="F88" s="28"/>
      <c r="G88" s="28"/>
      <c r="H88" s="28"/>
      <c r="I88" s="28"/>
      <c r="J88" s="28"/>
      <c r="K88" s="28"/>
      <c r="L88" s="28"/>
      <c r="M88" s="28"/>
      <c r="N88" s="28"/>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row>
    <row r="89" spans="2:40">
      <c r="B89" s="26"/>
      <c r="C89" s="27"/>
      <c r="D89" s="27"/>
      <c r="E89" s="28"/>
      <c r="F89" s="28"/>
      <c r="G89" s="28"/>
      <c r="H89" s="28"/>
      <c r="I89" s="28"/>
      <c r="J89" s="28"/>
      <c r="K89" s="28"/>
      <c r="L89" s="28"/>
      <c r="M89" s="28"/>
      <c r="N89" s="28"/>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row>
    <row r="90" spans="2:40">
      <c r="B90" s="26"/>
      <c r="C90" s="27"/>
      <c r="D90" s="27"/>
      <c r="E90" s="28"/>
      <c r="F90" s="28"/>
      <c r="G90" s="28"/>
      <c r="H90" s="28"/>
      <c r="I90" s="28"/>
      <c r="J90" s="28"/>
      <c r="K90" s="28"/>
      <c r="L90" s="28"/>
      <c r="M90" s="28"/>
      <c r="N90" s="28"/>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row>
    <row r="91" spans="2:40">
      <c r="B91" s="26"/>
      <c r="C91" s="27"/>
      <c r="D91" s="27"/>
      <c r="E91" s="28"/>
      <c r="F91" s="28"/>
      <c r="G91" s="28"/>
      <c r="H91" s="28"/>
      <c r="I91" s="28"/>
      <c r="J91" s="28"/>
      <c r="K91" s="28"/>
      <c r="L91" s="28"/>
      <c r="M91" s="28"/>
      <c r="N91" s="28"/>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row>
    <row r="92" spans="2:40">
      <c r="B92" s="26"/>
      <c r="C92" s="27"/>
      <c r="D92" s="27"/>
      <c r="E92" s="28"/>
      <c r="F92" s="28"/>
      <c r="G92" s="28"/>
      <c r="H92" s="28"/>
      <c r="I92" s="28"/>
      <c r="J92" s="28"/>
      <c r="K92" s="28"/>
      <c r="L92" s="28"/>
      <c r="M92" s="28"/>
      <c r="N92" s="28"/>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row>
    <row r="93" spans="2:40">
      <c r="B93" s="26"/>
      <c r="C93" s="27"/>
      <c r="D93" s="27"/>
      <c r="E93" s="28"/>
      <c r="F93" s="28"/>
      <c r="G93" s="28"/>
      <c r="H93" s="28"/>
      <c r="I93" s="28"/>
      <c r="J93" s="28"/>
      <c r="K93" s="28"/>
      <c r="L93" s="28"/>
      <c r="M93" s="28"/>
      <c r="N93" s="28"/>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row>
    <row r="94" spans="2:40">
      <c r="B94" s="26"/>
      <c r="C94" s="27"/>
      <c r="D94" s="27"/>
      <c r="E94" s="28"/>
      <c r="F94" s="28"/>
      <c r="G94" s="28"/>
      <c r="H94" s="28"/>
      <c r="I94" s="28"/>
      <c r="J94" s="28"/>
      <c r="K94" s="28"/>
      <c r="L94" s="28"/>
      <c r="M94" s="28"/>
      <c r="N94" s="28"/>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row>
    <row r="95" spans="2:40">
      <c r="B95" s="26"/>
      <c r="C95" s="27"/>
      <c r="D95" s="27"/>
      <c r="E95" s="28"/>
      <c r="F95" s="28"/>
      <c r="G95" s="28"/>
      <c r="H95" s="28"/>
      <c r="I95" s="28"/>
      <c r="J95" s="28"/>
      <c r="K95" s="28"/>
      <c r="L95" s="28"/>
      <c r="M95" s="28"/>
      <c r="N95" s="28"/>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row>
    <row r="96" spans="2:40">
      <c r="B96" s="26"/>
      <c r="C96" s="27"/>
      <c r="D96" s="27"/>
      <c r="E96" s="28"/>
      <c r="F96" s="28"/>
      <c r="G96" s="28"/>
      <c r="H96" s="28"/>
      <c r="I96" s="28"/>
      <c r="J96" s="28"/>
      <c r="K96" s="28"/>
      <c r="L96" s="28"/>
      <c r="M96" s="28"/>
      <c r="N96" s="28"/>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row>
    <row r="97" spans="2:40">
      <c r="B97" s="26"/>
      <c r="C97" s="27"/>
      <c r="D97" s="27"/>
      <c r="E97" s="28"/>
      <c r="F97" s="28"/>
      <c r="G97" s="28"/>
      <c r="H97" s="28"/>
      <c r="I97" s="28"/>
      <c r="J97" s="28"/>
      <c r="K97" s="28"/>
      <c r="L97" s="28"/>
      <c r="M97" s="28"/>
      <c r="N97" s="28"/>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row>
    <row r="98" spans="2:40">
      <c r="B98" s="26"/>
      <c r="C98" s="27"/>
      <c r="D98" s="27"/>
      <c r="E98" s="28"/>
      <c r="F98" s="28"/>
      <c r="G98" s="28"/>
      <c r="H98" s="28"/>
      <c r="I98" s="28"/>
      <c r="J98" s="28"/>
      <c r="K98" s="28"/>
      <c r="L98" s="28"/>
      <c r="M98" s="28"/>
      <c r="N98" s="28"/>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row>
    <row r="99" spans="2:40">
      <c r="B99" s="26"/>
      <c r="C99" s="27"/>
      <c r="D99" s="27"/>
      <c r="E99" s="28"/>
      <c r="F99" s="28"/>
      <c r="G99" s="28"/>
      <c r="H99" s="28"/>
      <c r="I99" s="28"/>
      <c r="J99" s="28"/>
      <c r="K99" s="28"/>
      <c r="L99" s="28"/>
      <c r="M99" s="28"/>
      <c r="N99" s="28"/>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row>
    <row r="100" spans="2:40">
      <c r="B100" s="26"/>
      <c r="C100" s="27"/>
      <c r="D100" s="27"/>
      <c r="E100" s="28"/>
      <c r="F100" s="28"/>
      <c r="G100" s="28"/>
      <c r="H100" s="28"/>
      <c r="I100" s="28"/>
      <c r="J100" s="28"/>
      <c r="K100" s="28"/>
      <c r="L100" s="28"/>
      <c r="M100" s="28"/>
      <c r="N100" s="28"/>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row>
    <row r="101" spans="2:40">
      <c r="B101" s="26"/>
      <c r="C101" s="27"/>
      <c r="D101" s="27"/>
      <c r="E101" s="28"/>
      <c r="F101" s="28"/>
      <c r="G101" s="28"/>
      <c r="H101" s="28"/>
      <c r="I101" s="28"/>
      <c r="J101" s="28"/>
      <c r="K101" s="28"/>
      <c r="L101" s="28"/>
      <c r="M101" s="28"/>
      <c r="N101" s="28"/>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row>
    <row r="102" spans="2:40">
      <c r="B102" s="26"/>
      <c r="C102" s="27"/>
      <c r="D102" s="27"/>
      <c r="E102" s="28"/>
      <c r="F102" s="28"/>
      <c r="G102" s="28"/>
      <c r="H102" s="28"/>
      <c r="I102" s="28"/>
      <c r="J102" s="28"/>
      <c r="K102" s="28"/>
      <c r="L102" s="28"/>
      <c r="M102" s="28"/>
      <c r="N102" s="28"/>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row>
    <row r="103" spans="2:40">
      <c r="B103" s="26"/>
      <c r="C103" s="27"/>
      <c r="D103" s="27"/>
      <c r="E103" s="28"/>
      <c r="F103" s="28"/>
      <c r="G103" s="28"/>
      <c r="H103" s="28"/>
      <c r="I103" s="28"/>
      <c r="J103" s="28"/>
      <c r="K103" s="28"/>
      <c r="L103" s="28"/>
      <c r="M103" s="28"/>
      <c r="N103" s="28"/>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row>
    <row r="104" spans="2:40">
      <c r="B104" s="26"/>
      <c r="C104" s="27"/>
      <c r="D104" s="27"/>
      <c r="E104" s="28"/>
      <c r="F104" s="28"/>
      <c r="G104" s="28"/>
      <c r="H104" s="28"/>
      <c r="I104" s="28"/>
      <c r="J104" s="28"/>
      <c r="K104" s="28"/>
      <c r="L104" s="28"/>
      <c r="M104" s="28"/>
      <c r="N104" s="28"/>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row>
    <row r="105" spans="2:40">
      <c r="B105" s="26"/>
      <c r="C105" s="27"/>
      <c r="D105" s="27"/>
      <c r="E105" s="28"/>
      <c r="F105" s="28"/>
      <c r="G105" s="28"/>
      <c r="H105" s="28"/>
      <c r="I105" s="28"/>
      <c r="J105" s="28"/>
      <c r="K105" s="28"/>
      <c r="L105" s="28"/>
      <c r="M105" s="28"/>
      <c r="N105" s="28"/>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row>
    <row r="106" spans="2:40">
      <c r="B106" s="26"/>
      <c r="C106" s="27"/>
      <c r="D106" s="27"/>
      <c r="E106" s="28"/>
      <c r="F106" s="28"/>
      <c r="G106" s="28"/>
      <c r="H106" s="28"/>
      <c r="I106" s="28"/>
      <c r="J106" s="28"/>
      <c r="K106" s="28"/>
      <c r="L106" s="28"/>
      <c r="M106" s="28"/>
      <c r="N106" s="28"/>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row>
    <row r="107" spans="2:40">
      <c r="B107" s="30"/>
      <c r="C107" s="30"/>
      <c r="D107" s="30"/>
    </row>
    <row r="108" spans="2:40">
      <c r="B108" s="20" t="s">
        <v>634</v>
      </c>
      <c r="C108" s="20">
        <v>1998</v>
      </c>
      <c r="D108" s="20">
        <v>1999</v>
      </c>
      <c r="E108" s="20">
        <v>2000</v>
      </c>
      <c r="F108" s="20">
        <v>2001</v>
      </c>
      <c r="G108" s="20">
        <v>2002</v>
      </c>
      <c r="H108" s="20">
        <v>2003</v>
      </c>
      <c r="I108" s="20">
        <v>2004</v>
      </c>
      <c r="J108" s="20">
        <v>2005</v>
      </c>
      <c r="K108" s="20">
        <v>2006</v>
      </c>
      <c r="L108" s="20">
        <v>2007</v>
      </c>
      <c r="M108" s="20">
        <v>2008</v>
      </c>
      <c r="N108" s="20">
        <v>2009</v>
      </c>
      <c r="O108" s="20">
        <v>2010</v>
      </c>
      <c r="P108" s="20">
        <v>2011</v>
      </c>
      <c r="Q108" s="20">
        <v>2012</v>
      </c>
      <c r="R108" s="20">
        <v>2013</v>
      </c>
      <c r="S108" s="20">
        <v>2014</v>
      </c>
      <c r="T108" s="20">
        <v>2015</v>
      </c>
      <c r="U108" s="20">
        <v>2016</v>
      </c>
      <c r="V108" s="20">
        <v>2017</v>
      </c>
      <c r="W108" s="20">
        <v>2018</v>
      </c>
      <c r="X108" s="20">
        <v>2019</v>
      </c>
      <c r="Y108" s="20">
        <f t="shared" ref="Y108:AN108" si="7">Y$2</f>
        <v>2020</v>
      </c>
      <c r="Z108" s="20">
        <f t="shared" si="7"/>
        <v>2021</v>
      </c>
      <c r="AA108" s="20">
        <f t="shared" si="7"/>
        <v>2022</v>
      </c>
      <c r="AB108" s="20">
        <f t="shared" si="7"/>
        <v>2023</v>
      </c>
      <c r="AC108" s="20">
        <f t="shared" si="7"/>
        <v>2024</v>
      </c>
      <c r="AD108" s="20">
        <f t="shared" si="7"/>
        <v>2025</v>
      </c>
      <c r="AE108" s="20">
        <f t="shared" si="7"/>
        <v>2026</v>
      </c>
      <c r="AF108" s="20">
        <f t="shared" si="7"/>
        <v>2027</v>
      </c>
      <c r="AG108" s="20">
        <f t="shared" si="7"/>
        <v>2028</v>
      </c>
      <c r="AH108" s="20">
        <f t="shared" si="7"/>
        <v>2029</v>
      </c>
      <c r="AI108" s="20">
        <f t="shared" si="7"/>
        <v>2030</v>
      </c>
      <c r="AJ108" s="20">
        <f t="shared" si="7"/>
        <v>2031</v>
      </c>
      <c r="AK108" s="20">
        <f t="shared" si="7"/>
        <v>2032</v>
      </c>
      <c r="AL108" s="20">
        <f t="shared" si="7"/>
        <v>2033</v>
      </c>
      <c r="AM108" s="20">
        <f t="shared" si="7"/>
        <v>2034</v>
      </c>
      <c r="AN108" s="20">
        <f t="shared" si="7"/>
        <v>2035</v>
      </c>
    </row>
    <row r="109" spans="2:40">
      <c r="B109" s="21" t="s">
        <v>92</v>
      </c>
      <c r="C109" s="29"/>
      <c r="D109" s="31"/>
      <c r="E109" s="31"/>
      <c r="F109" s="31"/>
      <c r="G109" s="31"/>
      <c r="H109" s="31"/>
      <c r="I109" s="31"/>
      <c r="J109" s="31"/>
      <c r="K109" s="31"/>
      <c r="L109" s="31"/>
      <c r="M109" s="31"/>
      <c r="N109" s="22"/>
      <c r="O109" s="22"/>
      <c r="P109" s="22"/>
      <c r="Q109" s="22">
        <f t="shared" ref="Q109:AI109" si="8">Q23</f>
        <v>1792</v>
      </c>
      <c r="R109" s="22">
        <f t="shared" si="8"/>
        <v>2356</v>
      </c>
      <c r="S109" s="22">
        <f t="shared" si="8"/>
        <v>2511</v>
      </c>
      <c r="T109" s="22">
        <f t="shared" si="8"/>
        <v>2078</v>
      </c>
      <c r="U109" s="22">
        <f t="shared" si="8"/>
        <v>2041</v>
      </c>
      <c r="V109" s="22">
        <f t="shared" si="8"/>
        <v>3023</v>
      </c>
      <c r="W109" s="22">
        <f t="shared" si="8"/>
        <v>3593.8770000000004</v>
      </c>
      <c r="X109" s="22">
        <f t="shared" si="8"/>
        <v>3626</v>
      </c>
      <c r="Y109" s="22">
        <f t="shared" si="8"/>
        <v>2956</v>
      </c>
      <c r="Z109" s="22">
        <f t="shared" si="8"/>
        <v>2649.4269999999997</v>
      </c>
      <c r="AA109" s="22">
        <f t="shared" si="8"/>
        <v>933.01800000000003</v>
      </c>
      <c r="AB109" s="22">
        <f t="shared" si="8"/>
        <v>370.99300000000039</v>
      </c>
      <c r="AC109" s="22">
        <f t="shared" si="8"/>
        <v>4289.8529999999992</v>
      </c>
      <c r="AD109" s="22">
        <f t="shared" si="8"/>
        <v>6748.6419999999998</v>
      </c>
      <c r="AE109" s="22">
        <f t="shared" si="8"/>
        <v>7600.6554673000028</v>
      </c>
      <c r="AF109" s="22">
        <f t="shared" si="8"/>
        <v>9035.0979620000053</v>
      </c>
      <c r="AG109" s="22">
        <f t="shared" si="8"/>
        <v>10434.048178706402</v>
      </c>
      <c r="AH109" s="22">
        <f t="shared" si="8"/>
        <v>11640.484999369328</v>
      </c>
      <c r="AI109" s="22">
        <f t="shared" si="8"/>
        <v>12808.826894838408</v>
      </c>
      <c r="AJ109" s="22">
        <f t="shared" ref="AJ109:AN109" si="9">AJ23</f>
        <v>13547.758373735154</v>
      </c>
      <c r="AK109" s="22">
        <f t="shared" si="9"/>
        <v>14313.075235453951</v>
      </c>
      <c r="AL109" s="22">
        <f t="shared" si="9"/>
        <v>14979.96140719966</v>
      </c>
      <c r="AM109" s="22">
        <f t="shared" si="9"/>
        <v>15670.291268702656</v>
      </c>
      <c r="AN109" s="22">
        <f t="shared" si="9"/>
        <v>16516.101981944008</v>
      </c>
    </row>
    <row r="110" spans="2:40">
      <c r="B110" s="21" t="s">
        <v>635</v>
      </c>
      <c r="C110" s="29"/>
      <c r="D110" s="31"/>
      <c r="E110" s="31"/>
      <c r="F110" s="31"/>
      <c r="G110" s="31"/>
      <c r="H110" s="31"/>
      <c r="I110" s="31"/>
      <c r="J110" s="31"/>
      <c r="K110" s="31"/>
      <c r="L110" s="31"/>
      <c r="M110" s="31"/>
      <c r="N110" s="22"/>
      <c r="O110" s="22"/>
      <c r="P110" s="22"/>
      <c r="Q110" s="22">
        <f>Master!L93</f>
        <v>112</v>
      </c>
      <c r="R110" s="22">
        <f>Master!M93</f>
        <v>34</v>
      </c>
      <c r="S110" s="22">
        <f>Master!N93</f>
        <v>36.900000000000006</v>
      </c>
      <c r="T110" s="22">
        <f>Master!O93</f>
        <v>80.733000000000004</v>
      </c>
      <c r="U110" s="22">
        <f>Master!P93</f>
        <v>113</v>
      </c>
      <c r="V110" s="22">
        <f>Master!Q93</f>
        <v>-2.5</v>
      </c>
      <c r="W110" s="22">
        <f>Master!R93</f>
        <v>-29.299999999999997</v>
      </c>
      <c r="X110" s="22">
        <f>Master!S93</f>
        <v>-413</v>
      </c>
      <c r="Y110" s="22">
        <f>Master!T93</f>
        <v>-545</v>
      </c>
      <c r="Z110" s="22">
        <f>Master!U93</f>
        <v>-697</v>
      </c>
      <c r="AA110" s="22">
        <f>Master!V93</f>
        <v>-1258.9899999999998</v>
      </c>
      <c r="AB110" s="22">
        <f>Master!W93</f>
        <v>-1906.258</v>
      </c>
      <c r="AC110" s="22">
        <f>Master!X93</f>
        <v>-2535.7079999999996</v>
      </c>
      <c r="AD110" s="22">
        <f>Master!Y93</f>
        <v>-2104.5239999999999</v>
      </c>
      <c r="AE110" s="22">
        <f>Master!Z93</f>
        <v>-2049.7963986196419</v>
      </c>
      <c r="AF110" s="22">
        <f>Master!AA93</f>
        <v>-2021.1214665676478</v>
      </c>
      <c r="AG110" s="22">
        <f>Master!AB93</f>
        <v>-1955.6667391230112</v>
      </c>
      <c r="AH110" s="22">
        <f>Master!AC93</f>
        <v>-1856.3554404004174</v>
      </c>
      <c r="AI110" s="22">
        <f>Master!AD93</f>
        <v>-1757.7900475162949</v>
      </c>
      <c r="AJ110" s="22">
        <f>Master!AE93</f>
        <v>-1654.702478980947</v>
      </c>
      <c r="AK110" s="22">
        <f>Master!AF93</f>
        <v>-1598.033506574478</v>
      </c>
      <c r="AL110" s="22">
        <f>Master!AG93</f>
        <v>-1549.623823456421</v>
      </c>
      <c r="AM110" s="22">
        <f>Master!AH93</f>
        <v>-1511.5308952506296</v>
      </c>
      <c r="AN110" s="22">
        <f>Master!AI93</f>
        <v>-1420.3220044511982</v>
      </c>
    </row>
    <row r="111" spans="2:40">
      <c r="B111" s="21" t="s">
        <v>636</v>
      </c>
      <c r="C111" s="29"/>
      <c r="D111" s="31"/>
      <c r="E111" s="31"/>
      <c r="F111" s="31"/>
      <c r="G111" s="31"/>
      <c r="H111" s="31"/>
      <c r="I111" s="31"/>
      <c r="J111" s="31"/>
      <c r="K111" s="31"/>
      <c r="L111" s="31"/>
      <c r="M111" s="31"/>
      <c r="N111" s="22"/>
      <c r="O111" s="22"/>
      <c r="P111" s="22"/>
      <c r="Q111" s="22">
        <f>Master!L95</f>
        <v>-502</v>
      </c>
      <c r="R111" s="22">
        <f>Master!M95</f>
        <v>-871.99999999999989</v>
      </c>
      <c r="S111" s="22">
        <f>Master!N95</f>
        <v>-785.5</v>
      </c>
      <c r="T111" s="22">
        <f>Master!O95</f>
        <v>-959</v>
      </c>
      <c r="U111" s="22">
        <f>Master!P95</f>
        <v>-845</v>
      </c>
      <c r="V111" s="22">
        <f>Master!Q95</f>
        <v>-1013</v>
      </c>
      <c r="W111" s="22">
        <f>Master!R95</f>
        <v>-1347</v>
      </c>
      <c r="X111" s="22">
        <f>Master!S95</f>
        <v>-1267</v>
      </c>
      <c r="Y111" s="22">
        <f>Master!T95</f>
        <v>-1430</v>
      </c>
      <c r="Z111" s="22">
        <f>Master!U95</f>
        <v>-1645.319</v>
      </c>
      <c r="AA111" s="22">
        <f>Master!V95</f>
        <v>-1614.981</v>
      </c>
      <c r="AB111" s="22">
        <f>Master!W95</f>
        <v>-1301.4839999999999</v>
      </c>
      <c r="AC111" s="22">
        <f>Master!X95</f>
        <v>-1095</v>
      </c>
      <c r="AD111" s="22">
        <f>Master!Y95</f>
        <v>-1299.261</v>
      </c>
      <c r="AE111" s="22">
        <f>Master!Z95</f>
        <v>-1429.0995535855532</v>
      </c>
      <c r="AF111" s="22">
        <f>Master!AA95</f>
        <v>-2132.9916656806081</v>
      </c>
      <c r="AG111" s="22">
        <f>Master!AB95</f>
        <v>-2632.7421324739876</v>
      </c>
      <c r="AH111" s="22">
        <f>Master!AC95</f>
        <v>-3015.2875230411705</v>
      </c>
      <c r="AI111" s="22">
        <f>Master!AD95</f>
        <v>-3350.5363120254701</v>
      </c>
      <c r="AJ111" s="22">
        <f>Master!AE95</f>
        <v>-3577.199163624789</v>
      </c>
      <c r="AK111" s="22">
        <f>Master!AF95</f>
        <v>-3801.0439548330651</v>
      </c>
      <c r="AL111" s="22">
        <f>Master!AG95</f>
        <v>-4033.2090784514276</v>
      </c>
      <c r="AM111" s="22">
        <f>Master!AH95</f>
        <v>-4266.1827970118857</v>
      </c>
      <c r="AN111" s="22">
        <f>Master!AI95</f>
        <v>-4519.8338687137311</v>
      </c>
    </row>
    <row r="112" spans="2:40">
      <c r="B112" s="21" t="s">
        <v>637</v>
      </c>
      <c r="C112" s="29"/>
      <c r="D112" s="31"/>
      <c r="E112" s="31"/>
      <c r="F112" s="31"/>
      <c r="G112" s="31"/>
      <c r="H112" s="31"/>
      <c r="I112" s="31"/>
      <c r="J112" s="31"/>
      <c r="K112" s="31"/>
      <c r="L112" s="31"/>
      <c r="M112" s="31"/>
      <c r="N112" s="22"/>
      <c r="O112" s="22"/>
      <c r="P112" s="22"/>
      <c r="Q112" s="22">
        <f>Master!L96</f>
        <v>659</v>
      </c>
      <c r="R112" s="22">
        <f>Master!M96</f>
        <v>-295.30000000000018</v>
      </c>
      <c r="S112" s="22">
        <f>Master!N96</f>
        <v>-318.69999999999982</v>
      </c>
      <c r="T112" s="22">
        <f>Master!O96</f>
        <v>-677</v>
      </c>
      <c r="U112" s="22">
        <f>Master!P96</f>
        <v>-11</v>
      </c>
      <c r="V112" s="22">
        <f>Master!Q96</f>
        <v>1276</v>
      </c>
      <c r="W112" s="22">
        <f>Master!R96</f>
        <v>594.40000000000009</v>
      </c>
      <c r="X112" s="22">
        <f>Master!S96</f>
        <v>-2224.4</v>
      </c>
      <c r="Y112" s="22">
        <f>Master!T96</f>
        <v>1152.1639999999998</v>
      </c>
      <c r="Z112" s="22">
        <f>Master!U96</f>
        <v>1058.8350000000009</v>
      </c>
      <c r="AA112" s="22">
        <f>Master!V96</f>
        <v>-701.96100000000115</v>
      </c>
      <c r="AB112" s="22">
        <f>Master!W96</f>
        <v>114.62099999999919</v>
      </c>
      <c r="AC112" s="22">
        <f>Master!X96</f>
        <v>32.791999999999462</v>
      </c>
      <c r="AD112" s="22">
        <f>Master!Y96</f>
        <v>0</v>
      </c>
      <c r="AE112" s="22">
        <f>Master!Z96</f>
        <v>42.970336829149915</v>
      </c>
      <c r="AF112" s="22">
        <f>Master!AA96</f>
        <v>47.524313170849723</v>
      </c>
      <c r="AG112" s="22">
        <f>Master!AB96</f>
        <v>55.809483655631652</v>
      </c>
      <c r="AH112" s="22">
        <f>Master!AC96</f>
        <v>58.310488371413385</v>
      </c>
      <c r="AI112" s="22">
        <f>Master!AD96</f>
        <v>61.937913090490269</v>
      </c>
      <c r="AJ112" s="22">
        <f>Master!AE96</f>
        <v>64.499337537716656</v>
      </c>
      <c r="AK112" s="22">
        <f>Master!AF96</f>
        <v>64.763606853486522</v>
      </c>
      <c r="AL112" s="22">
        <f>Master!AG96</f>
        <v>58.46703734159712</v>
      </c>
      <c r="AM112" s="22">
        <f>Master!AH96</f>
        <v>60.683837595658474</v>
      </c>
      <c r="AN112" s="22">
        <f>Master!AI96</f>
        <v>62.99139004448125</v>
      </c>
    </row>
    <row r="113" spans="2:40">
      <c r="B113" s="21" t="s">
        <v>638</v>
      </c>
      <c r="C113" s="29"/>
      <c r="D113" s="29"/>
      <c r="E113" s="29"/>
      <c r="F113" s="29"/>
      <c r="G113" s="29"/>
      <c r="H113" s="31"/>
      <c r="I113" s="31"/>
      <c r="J113" s="31"/>
      <c r="K113" s="31"/>
      <c r="L113" s="31"/>
      <c r="M113" s="31"/>
      <c r="N113" s="22"/>
      <c r="O113" s="22"/>
      <c r="P113" s="22"/>
      <c r="Q113" s="22"/>
      <c r="R113" s="22"/>
      <c r="S113" s="22"/>
      <c r="T113" s="22"/>
      <c r="U113" s="22"/>
      <c r="V113" s="22"/>
      <c r="W113" s="22"/>
      <c r="X113" s="22">
        <f>Master!S94</f>
        <v>-100</v>
      </c>
      <c r="Y113" s="22">
        <f>Master!T94</f>
        <v>-1735.2650000000001</v>
      </c>
      <c r="Z113" s="22">
        <f>Master!U94</f>
        <v>-1557.3579999999999</v>
      </c>
      <c r="AA113" s="22">
        <f>Master!V94</f>
        <v>-1626.65</v>
      </c>
      <c r="AB113" s="22">
        <f>Master!W94</f>
        <v>-505.54</v>
      </c>
      <c r="AC113" s="22">
        <f>Master!X94</f>
        <v>-495.41500000000002</v>
      </c>
      <c r="AD113" s="22">
        <f>Master!Y94</f>
        <v>-520.1857500000001</v>
      </c>
      <c r="AE113" s="22">
        <f>Master!Z94</f>
        <v>-546.19503750000013</v>
      </c>
      <c r="AF113" s="22">
        <f>Master!AA94</f>
        <v>-573.5047893750002</v>
      </c>
      <c r="AG113" s="22">
        <f>Master!AB94</f>
        <v>-602.18002884375028</v>
      </c>
      <c r="AH113" s="22">
        <f>Master!AC94</f>
        <v>-632.28903028593777</v>
      </c>
      <c r="AI113" s="22">
        <f>Master!AD94</f>
        <v>-663.90348180023466</v>
      </c>
      <c r="AJ113" s="22">
        <f>Master!AE94</f>
        <v>-697.09865589024639</v>
      </c>
      <c r="AK113" s="22">
        <f>Master!AF94</f>
        <v>-731.95358868475876</v>
      </c>
      <c r="AL113" s="22">
        <f>Master!AG94</f>
        <v>-768.55126811899675</v>
      </c>
      <c r="AM113" s="22">
        <f>Master!AH94</f>
        <v>-806.9788315249466</v>
      </c>
      <c r="AN113" s="22">
        <f>Master!AI94</f>
        <v>-847.327773101194</v>
      </c>
    </row>
    <row r="114" spans="2:40">
      <c r="C114" s="29"/>
      <c r="D114" s="29"/>
      <c r="E114" s="29"/>
      <c r="F114" s="29"/>
      <c r="G114" s="29"/>
      <c r="H114" s="31"/>
      <c r="I114" s="31"/>
      <c r="J114" s="31"/>
      <c r="K114" s="31"/>
      <c r="L114" s="31"/>
      <c r="M114" s="31"/>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row>
    <row r="115" spans="2:40">
      <c r="B115" s="21" t="s">
        <v>639</v>
      </c>
      <c r="C115" s="29"/>
      <c r="D115" s="28"/>
      <c r="E115" s="28"/>
      <c r="F115" s="28"/>
      <c r="G115" s="28"/>
      <c r="H115" s="31"/>
      <c r="I115" s="31"/>
      <c r="J115" s="31"/>
      <c r="K115" s="31"/>
      <c r="L115" s="31"/>
      <c r="M115" s="31"/>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row>
    <row r="116" spans="2:40">
      <c r="B116" s="21" t="s">
        <v>177</v>
      </c>
      <c r="C116" s="29"/>
      <c r="D116" s="31"/>
      <c r="E116" s="31"/>
      <c r="F116" s="31"/>
      <c r="G116" s="31"/>
      <c r="H116" s="31"/>
      <c r="I116" s="31"/>
      <c r="J116" s="31"/>
      <c r="K116" s="31"/>
      <c r="L116" s="31"/>
      <c r="M116" s="31"/>
      <c r="N116" s="22"/>
      <c r="O116" s="22"/>
      <c r="P116" s="22"/>
      <c r="Q116" s="22">
        <f>Master!L98</f>
        <v>-533.11290791850001</v>
      </c>
      <c r="R116" s="22">
        <f>Master!M98</f>
        <v>-1568.522957337</v>
      </c>
      <c r="S116" s="22">
        <f>Master!N98</f>
        <v>0</v>
      </c>
      <c r="T116" s="22">
        <f>Master!O98</f>
        <v>-979.55297999999982</v>
      </c>
      <c r="U116" s="22">
        <f>Master!P98</f>
        <v>-1168.58952</v>
      </c>
      <c r="V116" s="22">
        <f>Master!Q98</f>
        <v>-1391.9963399999999</v>
      </c>
      <c r="W116" s="22">
        <f>Master!R98</f>
        <v>-1529.4774599999998</v>
      </c>
      <c r="X116" s="22">
        <f>Master!S98</f>
        <v>-1873.1802600000001</v>
      </c>
      <c r="Y116" s="22">
        <f>Master!T98</f>
        <v>-1529.4774599999998</v>
      </c>
      <c r="Z116" s="22">
        <f>Master!U98</f>
        <v>-2201.6972799999999</v>
      </c>
      <c r="AA116" s="22">
        <f>Master!V98</f>
        <v>-2418.08232</v>
      </c>
      <c r="AB116" s="22">
        <f>Master!W98</f>
        <v>-2538.5477999999998</v>
      </c>
      <c r="AC116" s="22">
        <f>Master!X98</f>
        <v>-2644.18154</v>
      </c>
      <c r="AD116" s="22">
        <f>Master!Y98</f>
        <v>-2867.39167</v>
      </c>
      <c r="AE116" s="22">
        <f>Master!Z98</f>
        <v>-3175.0588000000002</v>
      </c>
      <c r="AF116" s="22">
        <f>Master!AA98</f>
        <v>-3636.7693248600012</v>
      </c>
      <c r="AG116" s="22">
        <f>Master!AB98</f>
        <v>-4156.1450625200014</v>
      </c>
      <c r="AH116" s="22">
        <f>Master!AC98</f>
        <v>-4699.6692004923425</v>
      </c>
      <c r="AI116" s="22">
        <f>Master!AD98</f>
        <v>-5203.9815291298173</v>
      </c>
      <c r="AJ116" s="22">
        <f>Master!AE98</f>
        <v>-5692.8119532615146</v>
      </c>
      <c r="AK116" s="22">
        <f>Master!AF98</f>
        <v>-6101.3297533142959</v>
      </c>
      <c r="AL116" s="22">
        <f>Master!AG98</f>
        <v>-6529.7236332777857</v>
      </c>
      <c r="AM116" s="22">
        <f>Master!AH98</f>
        <v>-6978.8996673541951</v>
      </c>
      <c r="AN116" s="22">
        <f>Master!AI98</f>
        <v>-7449.8106031537218</v>
      </c>
    </row>
    <row r="117" spans="2:40">
      <c r="B117" s="21" t="s">
        <v>640</v>
      </c>
      <c r="C117" s="29"/>
      <c r="D117" s="31"/>
      <c r="E117" s="31"/>
      <c r="F117" s="31"/>
      <c r="G117" s="31"/>
      <c r="H117" s="31"/>
      <c r="I117" s="31"/>
      <c r="J117" s="31"/>
      <c r="K117" s="31"/>
      <c r="L117" s="31"/>
      <c r="M117" s="31"/>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row>
    <row r="118" spans="2:40">
      <c r="B118" s="21" t="s">
        <v>641</v>
      </c>
      <c r="C118" s="29"/>
      <c r="D118" s="29"/>
      <c r="E118" s="28"/>
      <c r="F118" s="28"/>
      <c r="G118" s="28"/>
      <c r="H118" s="31"/>
      <c r="I118" s="31"/>
      <c r="J118" s="31"/>
      <c r="K118" s="31"/>
      <c r="L118" s="31"/>
      <c r="M118" s="31"/>
      <c r="N118" s="22"/>
      <c r="O118" s="22"/>
      <c r="P118" s="22"/>
      <c r="Q118" s="22"/>
      <c r="R118" s="22">
        <f>-R119-SUM(R109:R117)</f>
        <v>399.52295733699998</v>
      </c>
      <c r="S118" s="22">
        <f t="shared" ref="S118:Y118" si="10">-S119-SUM(S109:S117)</f>
        <v>-751.40000000000009</v>
      </c>
      <c r="T118" s="22">
        <f t="shared" si="10"/>
        <v>-1042.1800200000002</v>
      </c>
      <c r="U118" s="22">
        <f t="shared" si="10"/>
        <v>-2212.41048</v>
      </c>
      <c r="V118" s="22">
        <f t="shared" si="10"/>
        <v>-343.50366000000008</v>
      </c>
      <c r="W118" s="22">
        <f t="shared" si="10"/>
        <v>-914.39954000000057</v>
      </c>
      <c r="X118" s="22">
        <f t="shared" si="10"/>
        <v>-1974.5197400000002</v>
      </c>
      <c r="Y118" s="22">
        <f t="shared" si="10"/>
        <v>2303.2424599999999</v>
      </c>
      <c r="Z118" s="22">
        <f t="shared" ref="Z118:AI118" si="11">-Z119-SUM(Z109:Z117)</f>
        <v>1347.1972799999994</v>
      </c>
      <c r="AA118" s="22">
        <f t="shared" si="11"/>
        <v>-1486.7256799999996</v>
      </c>
      <c r="AB118" s="22">
        <f t="shared" si="11"/>
        <v>-1622.4251999999997</v>
      </c>
      <c r="AC118" s="22">
        <f t="shared" si="11"/>
        <v>718.01854000000139</v>
      </c>
      <c r="AD118" s="22">
        <f t="shared" si="11"/>
        <v>546.61141999999563</v>
      </c>
      <c r="AE118" s="22">
        <f t="shared" si="11"/>
        <v>-1.8189894035458565E-12</v>
      </c>
      <c r="AF118" s="22">
        <f t="shared" si="11"/>
        <v>-1.3642420526593924E-12</v>
      </c>
      <c r="AG118" s="22">
        <f t="shared" si="11"/>
        <v>0</v>
      </c>
      <c r="AH118" s="22">
        <f t="shared" si="11"/>
        <v>1.8189894035458565E-12</v>
      </c>
      <c r="AI118" s="22">
        <f t="shared" si="11"/>
        <v>0</v>
      </c>
      <c r="AJ118" s="22">
        <f t="shared" ref="AJ118:AN118" si="12">-AJ119-SUM(AJ109:AJ117)</f>
        <v>0</v>
      </c>
      <c r="AK118" s="22">
        <f t="shared" si="12"/>
        <v>0</v>
      </c>
      <c r="AL118" s="22">
        <f t="shared" si="12"/>
        <v>0</v>
      </c>
      <c r="AM118" s="22">
        <f t="shared" si="12"/>
        <v>0</v>
      </c>
      <c r="AN118" s="22">
        <f t="shared" si="12"/>
        <v>0</v>
      </c>
    </row>
    <row r="119" spans="2:40">
      <c r="B119" s="21" t="s">
        <v>171</v>
      </c>
      <c r="C119" s="29"/>
      <c r="D119" s="29"/>
      <c r="E119" s="28"/>
      <c r="F119" s="28"/>
      <c r="G119" s="28"/>
      <c r="H119" s="31"/>
      <c r="I119" s="31"/>
      <c r="J119" s="31"/>
      <c r="K119" s="31"/>
      <c r="L119" s="31"/>
      <c r="M119" s="31"/>
      <c r="N119" s="22"/>
      <c r="O119" s="22"/>
      <c r="P119" s="22"/>
      <c r="Q119" s="22"/>
      <c r="R119" s="22">
        <f>R120-Q120</f>
        <v>-53.699999999999818</v>
      </c>
      <c r="S119" s="22">
        <f t="shared" ref="S119:AN119" si="13">S120-R120</f>
        <v>-692.30000000000018</v>
      </c>
      <c r="T119" s="22">
        <f t="shared" si="13"/>
        <v>1499</v>
      </c>
      <c r="U119" s="22">
        <f t="shared" si="13"/>
        <v>2083</v>
      </c>
      <c r="V119" s="22">
        <f t="shared" si="13"/>
        <v>-1548</v>
      </c>
      <c r="W119" s="22">
        <f t="shared" si="13"/>
        <v>-368.09999999999991</v>
      </c>
      <c r="X119" s="22">
        <f t="shared" si="13"/>
        <v>4226.1000000000004</v>
      </c>
      <c r="Y119" s="22">
        <f t="shared" si="13"/>
        <v>-1171.6639999999998</v>
      </c>
      <c r="Z119" s="22">
        <f t="shared" si="13"/>
        <v>1045.915</v>
      </c>
      <c r="AA119" s="22">
        <f t="shared" si="13"/>
        <v>8174.3719999999994</v>
      </c>
      <c r="AB119" s="22">
        <f t="shared" si="13"/>
        <v>7388.6409999999996</v>
      </c>
      <c r="AC119" s="22">
        <f t="shared" si="13"/>
        <v>1729.6409999999996</v>
      </c>
      <c r="AD119" s="22">
        <f t="shared" si="13"/>
        <v>-503.89099999999598</v>
      </c>
      <c r="AE119" s="22">
        <f t="shared" si="13"/>
        <v>-443.47601442395535</v>
      </c>
      <c r="AF119" s="22">
        <f t="shared" si="13"/>
        <v>-718.23502868759533</v>
      </c>
      <c r="AG119" s="22">
        <f t="shared" si="13"/>
        <v>-1143.1236994012834</v>
      </c>
      <c r="AH119" s="22">
        <f t="shared" si="13"/>
        <v>-1495.1942935208754</v>
      </c>
      <c r="AI119" s="22">
        <f t="shared" si="13"/>
        <v>-1894.5534374570816</v>
      </c>
      <c r="AJ119" s="22">
        <f t="shared" si="13"/>
        <v>-1990.4454595153729</v>
      </c>
      <c r="AK119" s="22">
        <f t="shared" si="13"/>
        <v>-2145.4780389008392</v>
      </c>
      <c r="AL119" s="22">
        <f t="shared" si="13"/>
        <v>-2157.3206412366253</v>
      </c>
      <c r="AM119" s="22">
        <f t="shared" si="13"/>
        <v>-2167.382915156657</v>
      </c>
      <c r="AN119" s="22">
        <f t="shared" si="13"/>
        <v>-2341.7991225686428</v>
      </c>
    </row>
    <row r="120" spans="2:40">
      <c r="B120" s="21" t="s">
        <v>24</v>
      </c>
      <c r="C120" s="29"/>
      <c r="D120" s="29"/>
      <c r="E120" s="29"/>
      <c r="F120" s="29"/>
      <c r="G120" s="29"/>
      <c r="H120" s="31"/>
      <c r="I120" s="31"/>
      <c r="J120" s="31"/>
      <c r="K120" s="31"/>
      <c r="L120" s="31"/>
      <c r="M120" s="31"/>
      <c r="N120" s="22"/>
      <c r="O120" s="22"/>
      <c r="P120" s="22"/>
      <c r="Q120" s="22">
        <f>Master!L104</f>
        <v>-352</v>
      </c>
      <c r="R120" s="22">
        <f>Master!M104</f>
        <v>-405.69999999999982</v>
      </c>
      <c r="S120" s="22">
        <f>Master!N104</f>
        <v>-1098</v>
      </c>
      <c r="T120" s="22">
        <f>Master!O104</f>
        <v>401</v>
      </c>
      <c r="U120" s="22">
        <f>Master!P104</f>
        <v>2484</v>
      </c>
      <c r="V120" s="22">
        <f>Master!Q104</f>
        <v>936</v>
      </c>
      <c r="W120" s="22">
        <f>Master!R104</f>
        <v>567.90000000000009</v>
      </c>
      <c r="X120" s="22">
        <f>Master!S104</f>
        <v>4794</v>
      </c>
      <c r="Y120" s="22">
        <f>Master!T104</f>
        <v>3622.3360000000002</v>
      </c>
      <c r="Z120" s="22">
        <f>Master!U104</f>
        <v>4668.2510000000002</v>
      </c>
      <c r="AA120" s="22">
        <f>Master!V104</f>
        <v>12842.623</v>
      </c>
      <c r="AB120" s="22">
        <f>Master!W104</f>
        <v>20231.263999999999</v>
      </c>
      <c r="AC120" s="22">
        <f>Master!X104</f>
        <v>21960.904999999999</v>
      </c>
      <c r="AD120" s="22">
        <f>Master!Y104</f>
        <v>21457.014000000003</v>
      </c>
      <c r="AE120" s="22">
        <f>Master!Z104</f>
        <v>21013.537985576048</v>
      </c>
      <c r="AF120" s="22">
        <f>Master!AA104</f>
        <v>20295.302956888452</v>
      </c>
      <c r="AG120" s="22">
        <f>Master!AB104</f>
        <v>19152.179257487169</v>
      </c>
      <c r="AH120" s="22">
        <f>Master!AC104</f>
        <v>17656.984963966293</v>
      </c>
      <c r="AI120" s="22">
        <f>Master!AD104</f>
        <v>15762.431526509212</v>
      </c>
      <c r="AJ120" s="22">
        <f>Master!AE104</f>
        <v>13771.986066993839</v>
      </c>
      <c r="AK120" s="22">
        <f>Master!AF104</f>
        <v>11626.508028093</v>
      </c>
      <c r="AL120" s="22">
        <f>Master!AG104</f>
        <v>9469.1873868563744</v>
      </c>
      <c r="AM120" s="22">
        <f>Master!AH104</f>
        <v>7301.8044716997174</v>
      </c>
      <c r="AN120" s="22">
        <f>Master!AI104</f>
        <v>4960.0053491310746</v>
      </c>
    </row>
    <row r="121" spans="2:40">
      <c r="E121" s="32"/>
      <c r="F121" s="32"/>
    </row>
    <row r="122" spans="2:40">
      <c r="B122" s="20" t="s">
        <v>642</v>
      </c>
      <c r="C122" s="20">
        <v>1998</v>
      </c>
      <c r="D122" s="20">
        <v>1999</v>
      </c>
      <c r="E122" s="20">
        <v>2000</v>
      </c>
      <c r="F122" s="20">
        <v>2001</v>
      </c>
      <c r="G122" s="20">
        <v>2002</v>
      </c>
      <c r="H122" s="20">
        <v>2003</v>
      </c>
      <c r="I122" s="20">
        <v>2004</v>
      </c>
      <c r="J122" s="20">
        <v>2005</v>
      </c>
      <c r="K122" s="20">
        <v>2006</v>
      </c>
      <c r="L122" s="20">
        <v>2007</v>
      </c>
      <c r="M122" s="20">
        <v>2008</v>
      </c>
      <c r="N122" s="20">
        <v>2009</v>
      </c>
      <c r="O122" s="20">
        <v>2010</v>
      </c>
      <c r="P122" s="20">
        <v>2011</v>
      </c>
      <c r="Q122" s="20">
        <v>2012</v>
      </c>
      <c r="R122" s="20">
        <v>2013</v>
      </c>
      <c r="S122" s="20">
        <v>2014</v>
      </c>
      <c r="T122" s="20">
        <v>2015</v>
      </c>
      <c r="U122" s="20">
        <v>2016</v>
      </c>
      <c r="V122" s="20">
        <v>2017</v>
      </c>
      <c r="W122" s="20">
        <v>2018</v>
      </c>
      <c r="X122" s="20">
        <v>2019</v>
      </c>
      <c r="Y122" s="20">
        <f t="shared" ref="Y122:AN122" si="14">Y$2</f>
        <v>2020</v>
      </c>
      <c r="Z122" s="20">
        <f t="shared" si="14"/>
        <v>2021</v>
      </c>
      <c r="AA122" s="20">
        <f t="shared" si="14"/>
        <v>2022</v>
      </c>
      <c r="AB122" s="20">
        <f t="shared" si="14"/>
        <v>2023</v>
      </c>
      <c r="AC122" s="20">
        <f t="shared" si="14"/>
        <v>2024</v>
      </c>
      <c r="AD122" s="20">
        <f t="shared" si="14"/>
        <v>2025</v>
      </c>
      <c r="AE122" s="20">
        <f t="shared" si="14"/>
        <v>2026</v>
      </c>
      <c r="AF122" s="20">
        <f t="shared" si="14"/>
        <v>2027</v>
      </c>
      <c r="AG122" s="20">
        <f t="shared" si="14"/>
        <v>2028</v>
      </c>
      <c r="AH122" s="20">
        <f t="shared" si="14"/>
        <v>2029</v>
      </c>
      <c r="AI122" s="20">
        <f t="shared" si="14"/>
        <v>2030</v>
      </c>
      <c r="AJ122" s="20">
        <f t="shared" si="14"/>
        <v>2031</v>
      </c>
      <c r="AK122" s="20">
        <f t="shared" si="14"/>
        <v>2032</v>
      </c>
      <c r="AL122" s="20">
        <f t="shared" si="14"/>
        <v>2033</v>
      </c>
      <c r="AM122" s="20">
        <f t="shared" si="14"/>
        <v>2034</v>
      </c>
      <c r="AN122" s="20">
        <f t="shared" si="14"/>
        <v>2035</v>
      </c>
    </row>
    <row r="123" spans="2:40">
      <c r="B123" s="21" t="s">
        <v>643</v>
      </c>
      <c r="C123" s="29"/>
      <c r="D123" s="31"/>
      <c r="E123" s="31"/>
      <c r="F123" s="31"/>
      <c r="G123" s="31"/>
      <c r="H123" s="31"/>
      <c r="I123" s="31"/>
      <c r="J123" s="31"/>
      <c r="K123" s="31"/>
      <c r="L123" s="31"/>
      <c r="M123" s="31"/>
      <c r="N123" s="31"/>
      <c r="O123" s="31"/>
      <c r="P123" s="31"/>
      <c r="Q123" s="31"/>
      <c r="R123" s="31"/>
      <c r="S123" s="29"/>
      <c r="T123" s="29"/>
      <c r="U123" s="29"/>
      <c r="V123" s="29"/>
      <c r="W123" s="29"/>
      <c r="X123" s="29"/>
      <c r="Y123" s="29"/>
      <c r="Z123" s="29"/>
      <c r="AA123" s="29"/>
      <c r="AB123" s="29"/>
      <c r="AC123" s="29"/>
      <c r="AD123" s="29"/>
      <c r="AE123" s="29"/>
      <c r="AF123" s="29"/>
      <c r="AG123" s="29"/>
      <c r="AH123" s="29"/>
      <c r="AI123" s="29"/>
      <c r="AJ123" s="29"/>
      <c r="AK123" s="29"/>
      <c r="AL123" s="29"/>
      <c r="AM123" s="29"/>
      <c r="AN123" s="29"/>
    </row>
    <row r="124" spans="2:40">
      <c r="B124" s="21" t="s">
        <v>644</v>
      </c>
      <c r="C124" s="29"/>
      <c r="D124" s="29"/>
      <c r="E124" s="28"/>
      <c r="F124" s="28"/>
      <c r="G124" s="28"/>
      <c r="H124" s="28"/>
      <c r="I124" s="28"/>
      <c r="J124" s="28"/>
      <c r="K124" s="28"/>
      <c r="L124" s="28"/>
      <c r="M124" s="28"/>
      <c r="N124" s="28"/>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row>
    <row r="125" spans="2:40">
      <c r="B125" s="21" t="s">
        <v>645</v>
      </c>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row>
    <row r="126" spans="2:40">
      <c r="B126" s="21" t="s">
        <v>646</v>
      </c>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row>
    <row r="127" spans="2:40">
      <c r="B127" s="21" t="s">
        <v>647</v>
      </c>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row>
    <row r="128" spans="2:40">
      <c r="B128" s="21" t="s">
        <v>648</v>
      </c>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row>
    <row r="130" spans="2:40">
      <c r="B130" s="20" t="s">
        <v>649</v>
      </c>
      <c r="C130" s="20">
        <v>1998</v>
      </c>
      <c r="D130" s="20">
        <v>1999</v>
      </c>
      <c r="E130" s="20">
        <v>2000</v>
      </c>
      <c r="F130" s="20">
        <v>2001</v>
      </c>
      <c r="G130" s="20">
        <v>2002</v>
      </c>
      <c r="H130" s="20">
        <v>2003</v>
      </c>
      <c r="I130" s="20">
        <v>2004</v>
      </c>
      <c r="J130" s="20">
        <v>2005</v>
      </c>
      <c r="K130" s="20">
        <v>2006</v>
      </c>
      <c r="L130" s="20">
        <v>2007</v>
      </c>
      <c r="M130" s="20">
        <v>2008</v>
      </c>
      <c r="N130" s="20">
        <v>2009</v>
      </c>
      <c r="O130" s="20">
        <v>2010</v>
      </c>
      <c r="P130" s="20">
        <v>2011</v>
      </c>
      <c r="Q130" s="20">
        <v>2012</v>
      </c>
      <c r="R130" s="20">
        <v>2013</v>
      </c>
      <c r="S130" s="20">
        <v>2014</v>
      </c>
      <c r="T130" s="20">
        <v>2015</v>
      </c>
      <c r="U130" s="20">
        <v>2016</v>
      </c>
      <c r="V130" s="20">
        <v>2017</v>
      </c>
      <c r="W130" s="20">
        <v>2018</v>
      </c>
      <c r="X130" s="20">
        <v>2019</v>
      </c>
      <c r="Y130" s="20">
        <f t="shared" ref="Y130:AN130" si="15">Y$2</f>
        <v>2020</v>
      </c>
      <c r="Z130" s="20">
        <f t="shared" si="15"/>
        <v>2021</v>
      </c>
      <c r="AA130" s="20">
        <f t="shared" si="15"/>
        <v>2022</v>
      </c>
      <c r="AB130" s="20">
        <f t="shared" si="15"/>
        <v>2023</v>
      </c>
      <c r="AC130" s="20">
        <f t="shared" si="15"/>
        <v>2024</v>
      </c>
      <c r="AD130" s="20">
        <f t="shared" si="15"/>
        <v>2025</v>
      </c>
      <c r="AE130" s="20">
        <f t="shared" si="15"/>
        <v>2026</v>
      </c>
      <c r="AF130" s="20">
        <f t="shared" si="15"/>
        <v>2027</v>
      </c>
      <c r="AG130" s="20">
        <f t="shared" si="15"/>
        <v>2028</v>
      </c>
      <c r="AH130" s="20">
        <f t="shared" si="15"/>
        <v>2029</v>
      </c>
      <c r="AI130" s="20">
        <f t="shared" si="15"/>
        <v>2030</v>
      </c>
      <c r="AJ130" s="20">
        <f t="shared" si="15"/>
        <v>2031</v>
      </c>
      <c r="AK130" s="20">
        <f t="shared" si="15"/>
        <v>2032</v>
      </c>
      <c r="AL130" s="20">
        <f t="shared" si="15"/>
        <v>2033</v>
      </c>
      <c r="AM130" s="20">
        <f t="shared" si="15"/>
        <v>2034</v>
      </c>
      <c r="AN130" s="20">
        <f t="shared" si="15"/>
        <v>2035</v>
      </c>
    </row>
    <row r="131" spans="2:40">
      <c r="B131" s="33" t="s">
        <v>650</v>
      </c>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row>
    <row r="132" spans="2:40">
      <c r="B132" s="12" t="s">
        <v>651</v>
      </c>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row>
    <row r="133" spans="2:40">
      <c r="B133" s="12" t="s">
        <v>652</v>
      </c>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row>
    <row r="134" spans="2:40" ht="15.75">
      <c r="B134" s="34" t="s">
        <v>653</v>
      </c>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row>
    <row r="135" spans="2:40" ht="15.75">
      <c r="B135" s="34" t="s">
        <v>39</v>
      </c>
      <c r="C135" s="22"/>
      <c r="D135" s="22"/>
      <c r="E135" s="22"/>
      <c r="F135" s="22"/>
      <c r="G135" s="22"/>
      <c r="H135" s="22"/>
      <c r="I135" s="22"/>
      <c r="J135" s="22"/>
      <c r="K135" s="22"/>
      <c r="L135" s="22"/>
      <c r="M135" s="22"/>
      <c r="N135" s="35"/>
      <c r="O135" s="35"/>
      <c r="P135" s="35"/>
      <c r="Q135" s="35">
        <f t="shared" ref="Q135:AI135" si="16">Q18</f>
        <v>8977</v>
      </c>
      <c r="R135" s="35">
        <f t="shared" si="16"/>
        <v>10068</v>
      </c>
      <c r="S135" s="35">
        <f t="shared" si="16"/>
        <v>11475</v>
      </c>
      <c r="T135" s="35">
        <f t="shared" si="16"/>
        <v>14557</v>
      </c>
      <c r="U135" s="35">
        <f t="shared" si="16"/>
        <v>16957</v>
      </c>
      <c r="V135" s="35">
        <f t="shared" si="16"/>
        <v>17287</v>
      </c>
      <c r="W135" s="35">
        <f t="shared" si="16"/>
        <v>19436</v>
      </c>
      <c r="X135" s="35">
        <f t="shared" si="16"/>
        <v>21604</v>
      </c>
      <c r="Y135" s="35">
        <f t="shared" si="16"/>
        <v>22383</v>
      </c>
      <c r="Z135" s="35">
        <f t="shared" si="16"/>
        <v>24634</v>
      </c>
      <c r="AA135" s="35">
        <f t="shared" si="16"/>
        <v>27155.555</v>
      </c>
      <c r="AB135" s="35">
        <f t="shared" si="16"/>
        <v>29870.54</v>
      </c>
      <c r="AC135" s="35">
        <f t="shared" si="16"/>
        <v>32840.847999999998</v>
      </c>
      <c r="AD135" s="35">
        <f t="shared" si="16"/>
        <v>35429.71</v>
      </c>
      <c r="AE135" s="35">
        <f t="shared" si="16"/>
        <v>38484.331480000008</v>
      </c>
      <c r="AF135" s="35">
        <f t="shared" si="16"/>
        <v>41068.627100000012</v>
      </c>
      <c r="AG135" s="35">
        <f t="shared" si="16"/>
        <v>43475.200744610011</v>
      </c>
      <c r="AH135" s="35">
        <f t="shared" si="16"/>
        <v>45648.960781840506</v>
      </c>
      <c r="AI135" s="35">
        <f t="shared" si="16"/>
        <v>47440.099610512625</v>
      </c>
      <c r="AJ135" s="35">
        <f t="shared" ref="AJ135:AN135" si="17">AJ18</f>
        <v>48384.851334768406</v>
      </c>
      <c r="AK135" s="35">
        <f t="shared" si="17"/>
        <v>49355.43184639293</v>
      </c>
      <c r="AL135" s="35">
        <f t="shared" si="17"/>
        <v>50352.811452771966</v>
      </c>
      <c r="AM135" s="35">
        <f t="shared" si="17"/>
        <v>51378.004159680844</v>
      </c>
      <c r="AN135" s="35">
        <f t="shared" si="17"/>
        <v>52432.069783949228</v>
      </c>
    </row>
    <row r="136" spans="2:40" ht="15.75">
      <c r="B136" s="34"/>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row>
    <row r="137" spans="2:40">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row>
    <row r="138" spans="2:40" ht="15.75">
      <c r="B138" s="34"/>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row>
    <row r="139" spans="2:40">
      <c r="B139" s="33" t="s">
        <v>295</v>
      </c>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row>
    <row r="140" spans="2:40">
      <c r="B140" s="12" t="str">
        <f>B132</f>
        <v>Content/other</v>
      </c>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row>
    <row r="141" spans="2:40">
      <c r="B141" s="12" t="s">
        <v>652</v>
      </c>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row>
    <row r="142" spans="2:40" ht="15.75">
      <c r="B142" s="34" t="s">
        <v>653</v>
      </c>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row>
    <row r="143" spans="2:40" ht="15.75">
      <c r="B143" s="34" t="s">
        <v>39</v>
      </c>
      <c r="C143" s="22"/>
      <c r="D143" s="22"/>
      <c r="E143" s="22"/>
      <c r="F143" s="22"/>
      <c r="G143" s="22"/>
      <c r="H143" s="22"/>
      <c r="I143" s="22"/>
      <c r="J143" s="22"/>
      <c r="K143" s="22"/>
      <c r="L143" s="22"/>
      <c r="M143" s="22"/>
      <c r="N143" s="35"/>
      <c r="O143" s="35"/>
      <c r="P143" s="35"/>
      <c r="Q143" s="35">
        <f t="shared" ref="Q143:AI143" si="18">Q19</f>
        <v>3777</v>
      </c>
      <c r="R143" s="35">
        <f t="shared" si="18"/>
        <v>4356</v>
      </c>
      <c r="S143" s="35">
        <f t="shared" si="18"/>
        <v>4847</v>
      </c>
      <c r="T143" s="35">
        <f t="shared" si="18"/>
        <v>5843</v>
      </c>
      <c r="U143" s="35">
        <f t="shared" si="18"/>
        <v>6915</v>
      </c>
      <c r="V143" s="35">
        <f t="shared" si="18"/>
        <v>7715</v>
      </c>
      <c r="W143" s="35">
        <f t="shared" si="18"/>
        <v>9347</v>
      </c>
      <c r="X143" s="35">
        <f t="shared" si="18"/>
        <v>10161</v>
      </c>
      <c r="Y143" s="35">
        <f t="shared" si="18"/>
        <v>11037</v>
      </c>
      <c r="Z143" s="35">
        <f t="shared" si="18"/>
        <v>12116</v>
      </c>
      <c r="AA143" s="35">
        <f t="shared" si="18"/>
        <v>12769.018</v>
      </c>
      <c r="AB143" s="35">
        <f t="shared" si="18"/>
        <v>13319.993</v>
      </c>
      <c r="AC143" s="35">
        <f t="shared" si="18"/>
        <v>14629.852999999999</v>
      </c>
      <c r="AD143" s="35">
        <f t="shared" si="18"/>
        <v>15936.034</v>
      </c>
      <c r="AE143" s="35">
        <f t="shared" si="18"/>
        <v>17317.949166000006</v>
      </c>
      <c r="AF143" s="35">
        <f t="shared" si="18"/>
        <v>18891.568466000008</v>
      </c>
      <c r="AG143" s="35">
        <f t="shared" si="18"/>
        <v>20433.344349966705</v>
      </c>
      <c r="AH143" s="35">
        <f t="shared" si="18"/>
        <v>21683.256371374238</v>
      </c>
      <c r="AI143" s="35">
        <f t="shared" si="18"/>
        <v>22771.247813046059</v>
      </c>
      <c r="AJ143" s="35">
        <f t="shared" ref="AJ143:AN143" si="19">AJ19</f>
        <v>23466.652897362677</v>
      </c>
      <c r="AK143" s="35">
        <f t="shared" si="19"/>
        <v>24184.161604732537</v>
      </c>
      <c r="AL143" s="35">
        <f t="shared" si="19"/>
        <v>24924.641669122124</v>
      </c>
      <c r="AM143" s="35">
        <f t="shared" si="19"/>
        <v>25689.002079840422</v>
      </c>
      <c r="AN143" s="35">
        <f t="shared" si="19"/>
        <v>26478.195240894362</v>
      </c>
    </row>
    <row r="144" spans="2:40">
      <c r="C144" s="22"/>
      <c r="D144" s="22"/>
      <c r="E144" s="22"/>
      <c r="F144" s="22"/>
      <c r="G144" s="22"/>
      <c r="H144" s="22"/>
      <c r="I144" s="22"/>
      <c r="J144" s="22"/>
      <c r="K144" s="22"/>
      <c r="L144" s="22"/>
      <c r="M144" s="22"/>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row>
    <row r="145" spans="2:40" ht="15.75">
      <c r="B145" s="34"/>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row>
    <row r="146" spans="2:40">
      <c r="B146" s="33" t="s">
        <v>147</v>
      </c>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row>
    <row r="147" spans="2:40">
      <c r="B147" s="12" t="str">
        <f>B140</f>
        <v>Content/other</v>
      </c>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row>
    <row r="148" spans="2:40">
      <c r="B148" s="12" t="str">
        <f>B141</f>
        <v>Sky</v>
      </c>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row>
    <row r="149" spans="2:40">
      <c r="B149" s="12" t="str">
        <f>B142</f>
        <v>Cable</v>
      </c>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row>
    <row r="150" spans="2:40">
      <c r="B150" s="12" t="str">
        <f>B143</f>
        <v>Total</v>
      </c>
      <c r="C150" s="22"/>
      <c r="D150" s="22"/>
      <c r="E150" s="22"/>
      <c r="F150" s="22"/>
      <c r="G150" s="22"/>
      <c r="H150" s="22"/>
      <c r="I150" s="22"/>
      <c r="J150" s="22"/>
      <c r="K150" s="22"/>
      <c r="L150" s="22"/>
      <c r="M150" s="22"/>
      <c r="N150" s="35"/>
      <c r="O150" s="35"/>
      <c r="P150" s="35"/>
      <c r="Q150" s="35">
        <f t="shared" ref="Q150:AI150" si="20">Q22</f>
        <v>1985</v>
      </c>
      <c r="R150" s="35">
        <f t="shared" si="20"/>
        <v>2000</v>
      </c>
      <c r="S150" s="35">
        <f t="shared" si="20"/>
        <v>2336</v>
      </c>
      <c r="T150" s="35">
        <f t="shared" si="20"/>
        <v>3765</v>
      </c>
      <c r="U150" s="35">
        <f t="shared" si="20"/>
        <v>4874</v>
      </c>
      <c r="V150" s="35">
        <f t="shared" si="20"/>
        <v>4692</v>
      </c>
      <c r="W150" s="35">
        <f t="shared" si="20"/>
        <v>5753.1229999999996</v>
      </c>
      <c r="X150" s="35">
        <f t="shared" si="20"/>
        <v>6535</v>
      </c>
      <c r="Y150" s="35">
        <f t="shared" si="20"/>
        <v>8081</v>
      </c>
      <c r="Z150" s="35">
        <f t="shared" si="20"/>
        <v>9466.5730000000003</v>
      </c>
      <c r="AA150" s="35">
        <f t="shared" si="20"/>
        <v>11836</v>
      </c>
      <c r="AB150" s="35">
        <f t="shared" si="20"/>
        <v>12949</v>
      </c>
      <c r="AC150" s="35">
        <f t="shared" si="20"/>
        <v>10340</v>
      </c>
      <c r="AD150" s="35">
        <f t="shared" si="20"/>
        <v>9187.3919999999998</v>
      </c>
      <c r="AE150" s="35">
        <f t="shared" si="20"/>
        <v>9717.293698700003</v>
      </c>
      <c r="AF150" s="35">
        <f t="shared" si="20"/>
        <v>9856.4705040000026</v>
      </c>
      <c r="AG150" s="35">
        <f t="shared" si="20"/>
        <v>9999.2961712603028</v>
      </c>
      <c r="AH150" s="35">
        <f t="shared" si="20"/>
        <v>10042.771372004911</v>
      </c>
      <c r="AI150" s="35">
        <f t="shared" si="20"/>
        <v>9962.4209182076502</v>
      </c>
      <c r="AJ150" s="35">
        <f t="shared" ref="AJ150:AN150" si="21">AJ22</f>
        <v>9918.8945236275231</v>
      </c>
      <c r="AK150" s="35">
        <f t="shared" si="21"/>
        <v>9871.0863692785861</v>
      </c>
      <c r="AL150" s="35">
        <f t="shared" si="21"/>
        <v>9944.6802619224636</v>
      </c>
      <c r="AM150" s="35">
        <f t="shared" si="21"/>
        <v>10018.710811137766</v>
      </c>
      <c r="AN150" s="35">
        <f t="shared" si="21"/>
        <v>9962.0932589503536</v>
      </c>
    </row>
    <row r="151" spans="2:40">
      <c r="B151" s="1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row>
    <row r="152" spans="2:40" ht="15.75">
      <c r="B152" s="36" t="s">
        <v>92</v>
      </c>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row>
    <row r="153" spans="2:40">
      <c r="B153" s="12" t="s">
        <v>651</v>
      </c>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row>
    <row r="154" spans="2:40">
      <c r="B154" s="12" t="s">
        <v>652</v>
      </c>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row>
    <row r="155" spans="2:40">
      <c r="B155" s="12" t="s">
        <v>653</v>
      </c>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row>
    <row r="156" spans="2:40">
      <c r="B156" s="12" t="s">
        <v>39</v>
      </c>
      <c r="C156" s="22"/>
      <c r="D156" s="22"/>
      <c r="E156" s="22"/>
      <c r="F156" s="22"/>
      <c r="G156" s="22"/>
      <c r="H156" s="22"/>
      <c r="I156" s="22"/>
      <c r="J156" s="22"/>
      <c r="K156" s="22"/>
      <c r="L156" s="22"/>
      <c r="M156" s="22"/>
      <c r="N156" s="35"/>
      <c r="O156" s="35"/>
      <c r="P156" s="35"/>
      <c r="Q156" s="35">
        <f>Q143-Q150</f>
        <v>1792</v>
      </c>
      <c r="R156" s="35">
        <f t="shared" ref="R156:Y156" si="22">R143-R150</f>
        <v>2356</v>
      </c>
      <c r="S156" s="35">
        <f t="shared" si="22"/>
        <v>2511</v>
      </c>
      <c r="T156" s="35">
        <f t="shared" si="22"/>
        <v>2078</v>
      </c>
      <c r="U156" s="35">
        <f t="shared" si="22"/>
        <v>2041</v>
      </c>
      <c r="V156" s="35">
        <f t="shared" si="22"/>
        <v>3023</v>
      </c>
      <c r="W156" s="35">
        <f t="shared" si="22"/>
        <v>3593.8770000000004</v>
      </c>
      <c r="X156" s="35">
        <f t="shared" si="22"/>
        <v>3626</v>
      </c>
      <c r="Y156" s="35">
        <f t="shared" si="22"/>
        <v>2956</v>
      </c>
      <c r="Z156" s="35">
        <f t="shared" ref="Z156:AI156" si="23">Z143-Z150</f>
        <v>2649.4269999999997</v>
      </c>
      <c r="AA156" s="35">
        <f t="shared" si="23"/>
        <v>933.01800000000003</v>
      </c>
      <c r="AB156" s="35">
        <f t="shared" si="23"/>
        <v>370.99300000000039</v>
      </c>
      <c r="AC156" s="35">
        <f t="shared" si="23"/>
        <v>4289.8529999999992</v>
      </c>
      <c r="AD156" s="35">
        <f t="shared" si="23"/>
        <v>6748.6419999999998</v>
      </c>
      <c r="AE156" s="35">
        <f t="shared" si="23"/>
        <v>7600.6554673000028</v>
      </c>
      <c r="AF156" s="35">
        <f t="shared" si="23"/>
        <v>9035.0979620000053</v>
      </c>
      <c r="AG156" s="35">
        <f t="shared" si="23"/>
        <v>10434.048178706402</v>
      </c>
      <c r="AH156" s="35">
        <f t="shared" si="23"/>
        <v>11640.484999369328</v>
      </c>
      <c r="AI156" s="35">
        <f t="shared" si="23"/>
        <v>12808.826894838408</v>
      </c>
      <c r="AJ156" s="35">
        <f t="shared" ref="AJ156:AN156" si="24">AJ143-AJ150</f>
        <v>13547.758373735154</v>
      </c>
      <c r="AK156" s="35">
        <f t="shared" si="24"/>
        <v>14313.075235453951</v>
      </c>
      <c r="AL156" s="35">
        <f t="shared" si="24"/>
        <v>14979.96140719966</v>
      </c>
      <c r="AM156" s="35">
        <f t="shared" si="24"/>
        <v>15670.291268702656</v>
      </c>
      <c r="AN156" s="35">
        <f t="shared" si="24"/>
        <v>16516.101981944008</v>
      </c>
    </row>
    <row r="157" spans="2:40">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row>
    <row r="158" spans="2:40">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row>
    <row r="159" spans="2:40">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row>
    <row r="160" spans="2:40">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row>
    <row r="161" spans="2:40">
      <c r="B161" s="33"/>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row>
    <row r="162" spans="2:40">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row>
    <row r="163" spans="2:40">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row>
    <row r="164" spans="2:40">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row>
    <row r="165" spans="2:40">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row>
    <row r="166" spans="2:40">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row>
    <row r="167" spans="2:40">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row>
    <row r="168" spans="2:40">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row>
    <row r="170" spans="2:40">
      <c r="B170" s="20" t="s">
        <v>654</v>
      </c>
      <c r="C170" s="20" t="s">
        <v>655</v>
      </c>
      <c r="D170" s="20" t="s">
        <v>656</v>
      </c>
      <c r="E170" s="20" t="s">
        <v>657</v>
      </c>
      <c r="F170" s="20"/>
      <c r="G170" s="20" t="s">
        <v>658</v>
      </c>
      <c r="H170" s="20" t="s">
        <v>659</v>
      </c>
      <c r="I170" s="20" t="s">
        <v>660</v>
      </c>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row>
    <row r="171" spans="2:40" ht="15.75">
      <c r="C171" s="37"/>
      <c r="D171" s="37"/>
      <c r="E171" s="37"/>
      <c r="F171" s="38"/>
      <c r="G171" s="37"/>
      <c r="H171" s="37"/>
      <c r="I171" s="37"/>
      <c r="J171" s="37"/>
      <c r="K171" s="37"/>
      <c r="L171" s="37"/>
      <c r="M171" s="37"/>
      <c r="N171" s="37"/>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row>
    <row r="172" spans="2:40">
      <c r="B172" s="12"/>
      <c r="C172" s="22"/>
      <c r="D172" s="22"/>
      <c r="E172" s="22"/>
      <c r="F172" s="22"/>
      <c r="G172" s="22"/>
      <c r="H172" s="22"/>
      <c r="I172" s="22"/>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row>
    <row r="173" spans="2:40">
      <c r="B173" s="12"/>
      <c r="C173" s="22"/>
      <c r="D173" s="22"/>
      <c r="E173" s="22"/>
      <c r="F173" s="22"/>
      <c r="G173" s="22"/>
      <c r="H173" s="22"/>
      <c r="I173" s="22"/>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row>
    <row r="174" spans="2:40" ht="15.75">
      <c r="B174" s="34"/>
      <c r="C174" s="22"/>
      <c r="D174" s="22"/>
      <c r="E174" s="22"/>
      <c r="F174" s="22"/>
      <c r="G174" s="22"/>
      <c r="H174" s="22"/>
      <c r="I174" s="22"/>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row>
    <row r="175" spans="2:40" ht="15.75">
      <c r="B175" s="34"/>
      <c r="C175" s="22"/>
      <c r="D175" s="22"/>
      <c r="E175" s="22"/>
      <c r="F175" s="22"/>
      <c r="G175" s="22"/>
      <c r="H175" s="22"/>
      <c r="I175" s="22"/>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row>
    <row r="176" spans="2:40" ht="15.75">
      <c r="B176" s="711" t="s">
        <v>31</v>
      </c>
      <c r="C176" s="711">
        <f>C2</f>
        <v>1998</v>
      </c>
      <c r="D176" s="711">
        <f t="shared" ref="D176:AI176" si="25">D2</f>
        <v>1999</v>
      </c>
      <c r="E176" s="711">
        <f t="shared" si="25"/>
        <v>2000</v>
      </c>
      <c r="F176" s="711">
        <f t="shared" si="25"/>
        <v>2001</v>
      </c>
      <c r="G176" s="711">
        <f t="shared" si="25"/>
        <v>2002</v>
      </c>
      <c r="H176" s="711">
        <f t="shared" si="25"/>
        <v>2003</v>
      </c>
      <c r="I176" s="711">
        <f t="shared" si="25"/>
        <v>2004</v>
      </c>
      <c r="J176" s="711">
        <f t="shared" si="25"/>
        <v>2005</v>
      </c>
      <c r="K176" s="711">
        <f t="shared" si="25"/>
        <v>2006</v>
      </c>
      <c r="L176" s="711">
        <f t="shared" si="25"/>
        <v>2007</v>
      </c>
      <c r="M176" s="711">
        <f t="shared" si="25"/>
        <v>2008</v>
      </c>
      <c r="N176" s="711">
        <f t="shared" si="25"/>
        <v>2009</v>
      </c>
      <c r="O176" s="711">
        <f t="shared" si="25"/>
        <v>2010</v>
      </c>
      <c r="P176" s="711">
        <f t="shared" si="25"/>
        <v>2011</v>
      </c>
      <c r="Q176" s="711">
        <f t="shared" si="25"/>
        <v>2012</v>
      </c>
      <c r="R176" s="711">
        <f t="shared" si="25"/>
        <v>2013</v>
      </c>
      <c r="S176" s="711">
        <f t="shared" si="25"/>
        <v>2014</v>
      </c>
      <c r="T176" s="711">
        <f t="shared" si="25"/>
        <v>2015</v>
      </c>
      <c r="U176" s="711">
        <f t="shared" si="25"/>
        <v>2016</v>
      </c>
      <c r="V176" s="711">
        <f t="shared" si="25"/>
        <v>2017</v>
      </c>
      <c r="W176" s="711">
        <f t="shared" si="25"/>
        <v>2018</v>
      </c>
      <c r="X176" s="711">
        <f t="shared" si="25"/>
        <v>2019</v>
      </c>
      <c r="Y176" s="711">
        <f t="shared" si="25"/>
        <v>2020</v>
      </c>
      <c r="Z176" s="711">
        <f t="shared" si="25"/>
        <v>2021</v>
      </c>
      <c r="AA176" s="711">
        <f t="shared" si="25"/>
        <v>2022</v>
      </c>
      <c r="AB176" s="711">
        <f t="shared" si="25"/>
        <v>2023</v>
      </c>
      <c r="AC176" s="711">
        <f t="shared" si="25"/>
        <v>2024</v>
      </c>
      <c r="AD176" s="711">
        <f t="shared" si="25"/>
        <v>2025</v>
      </c>
      <c r="AE176" s="711">
        <f t="shared" si="25"/>
        <v>2026</v>
      </c>
      <c r="AF176" s="711">
        <f t="shared" si="25"/>
        <v>2027</v>
      </c>
      <c r="AG176" s="711">
        <f t="shared" si="25"/>
        <v>2028</v>
      </c>
      <c r="AH176" s="711">
        <f t="shared" si="25"/>
        <v>2029</v>
      </c>
      <c r="AI176" s="711">
        <f t="shared" si="25"/>
        <v>2030</v>
      </c>
      <c r="AJ176" s="711">
        <f t="shared" ref="AJ176:AN176" si="26">AJ2</f>
        <v>2031</v>
      </c>
      <c r="AK176" s="711">
        <f t="shared" si="26"/>
        <v>2032</v>
      </c>
      <c r="AL176" s="711">
        <f t="shared" si="26"/>
        <v>2033</v>
      </c>
      <c r="AM176" s="711">
        <f t="shared" si="26"/>
        <v>2034</v>
      </c>
      <c r="AN176" s="711">
        <f t="shared" si="26"/>
        <v>2035</v>
      </c>
    </row>
    <row r="177" spans="2:40" ht="15.75">
      <c r="B177" s="712" t="s">
        <v>295</v>
      </c>
      <c r="C177" s="713"/>
      <c r="D177" s="713"/>
      <c r="E177" s="713"/>
      <c r="F177" s="713"/>
      <c r="G177" s="713"/>
      <c r="H177" s="713"/>
      <c r="I177" s="713"/>
      <c r="J177" s="713"/>
      <c r="K177" s="713"/>
      <c r="L177" s="713"/>
      <c r="M177" s="713"/>
      <c r="N177" s="713"/>
      <c r="O177" s="713"/>
      <c r="P177" s="713"/>
      <c r="Q177" s="713"/>
      <c r="R177" s="713"/>
      <c r="S177" s="713"/>
      <c r="T177" s="713"/>
      <c r="U177" s="713"/>
      <c r="V177" s="713"/>
      <c r="W177" s="713"/>
      <c r="X177" s="713"/>
      <c r="Y177" s="713">
        <f>Valuation!M21</f>
        <v>11037</v>
      </c>
      <c r="Z177" s="713">
        <f>Valuation!N21</f>
        <v>12116</v>
      </c>
      <c r="AA177" s="713">
        <f>Valuation!O21</f>
        <v>12769.018</v>
      </c>
      <c r="AB177" s="713">
        <f>Valuation!P21</f>
        <v>13319.993</v>
      </c>
      <c r="AC177" s="713">
        <f>Valuation!Q21</f>
        <v>14629.852999999999</v>
      </c>
      <c r="AD177" s="713">
        <f>Valuation!R21</f>
        <v>15936.034</v>
      </c>
      <c r="AE177" s="713">
        <f>Valuation!S21</f>
        <v>17317.949166000006</v>
      </c>
      <c r="AF177" s="713">
        <f>Valuation!T21</f>
        <v>18891.568466000008</v>
      </c>
      <c r="AG177" s="713">
        <f>Valuation!U21</f>
        <v>20433.344349966705</v>
      </c>
      <c r="AH177" s="713">
        <f>Valuation!V21</f>
        <v>21683.256371374238</v>
      </c>
      <c r="AI177" s="713">
        <f>Valuation!W21</f>
        <v>22771.247813046059</v>
      </c>
      <c r="AJ177" s="713">
        <f>Valuation!X21</f>
        <v>23466.652897362677</v>
      </c>
      <c r="AK177" s="713">
        <f>Valuation!Y21</f>
        <v>24184.161604732537</v>
      </c>
      <c r="AL177" s="713">
        <f>Valuation!Z21</f>
        <v>24924.641669122124</v>
      </c>
      <c r="AM177" s="713">
        <f>Valuation!AA21</f>
        <v>25689.002079840422</v>
      </c>
      <c r="AN177" s="713">
        <f>Valuation!AB21</f>
        <v>26478.195240894362</v>
      </c>
    </row>
    <row r="178" spans="2:40" ht="15.75">
      <c r="B178" s="712" t="s">
        <v>661</v>
      </c>
      <c r="C178" s="713"/>
      <c r="D178" s="713"/>
      <c r="E178" s="713"/>
      <c r="F178" s="713"/>
      <c r="G178" s="713"/>
      <c r="H178" s="713"/>
      <c r="I178" s="713"/>
      <c r="J178" s="713"/>
      <c r="K178" s="713"/>
      <c r="L178" s="713"/>
      <c r="M178" s="713"/>
      <c r="N178" s="713"/>
      <c r="O178" s="713"/>
      <c r="P178" s="713"/>
      <c r="Q178" s="713"/>
      <c r="R178" s="713"/>
      <c r="S178" s="713"/>
      <c r="T178" s="713"/>
      <c r="U178" s="713"/>
      <c r="V178" s="713"/>
      <c r="W178" s="713"/>
      <c r="X178" s="713"/>
      <c r="Y178" s="713">
        <f>Master!T96</f>
        <v>1152.1639999999998</v>
      </c>
      <c r="Z178" s="713">
        <f>Master!U96</f>
        <v>1058.8350000000009</v>
      </c>
      <c r="AA178" s="713">
        <f>Master!V96</f>
        <v>-701.96100000000115</v>
      </c>
      <c r="AB178" s="713">
        <f>Master!W96</f>
        <v>114.62099999999919</v>
      </c>
      <c r="AC178" s="713">
        <f>Master!X96</f>
        <v>32.791999999999462</v>
      </c>
      <c r="AD178" s="713">
        <f>Master!Y96</f>
        <v>0</v>
      </c>
      <c r="AE178" s="713">
        <f>Master!Z96</f>
        <v>42.970336829149915</v>
      </c>
      <c r="AF178" s="713">
        <f>Master!AA96</f>
        <v>47.524313170849723</v>
      </c>
      <c r="AG178" s="713">
        <f>Master!AB96</f>
        <v>55.809483655631652</v>
      </c>
      <c r="AH178" s="713">
        <f>Master!AC96</f>
        <v>58.310488371413385</v>
      </c>
      <c r="AI178" s="713">
        <f>Master!AD96</f>
        <v>61.937913090490269</v>
      </c>
      <c r="AJ178" s="713">
        <f>Master!AE96</f>
        <v>64.499337537716656</v>
      </c>
      <c r="AK178" s="713">
        <f>Master!AF96</f>
        <v>64.763606853486522</v>
      </c>
      <c r="AL178" s="713">
        <f>Master!AG96</f>
        <v>58.46703734159712</v>
      </c>
      <c r="AM178" s="713">
        <f>Master!AH96</f>
        <v>60.683837595658474</v>
      </c>
      <c r="AN178" s="713">
        <f>Master!AI96</f>
        <v>62.99139004448125</v>
      </c>
    </row>
    <row r="179" spans="2:40" ht="15.75">
      <c r="B179" s="712" t="s">
        <v>662</v>
      </c>
      <c r="C179" s="713"/>
      <c r="D179" s="713"/>
      <c r="E179" s="713"/>
      <c r="F179" s="713"/>
      <c r="G179" s="713"/>
      <c r="H179" s="713"/>
      <c r="I179" s="713"/>
      <c r="J179" s="713"/>
      <c r="K179" s="713"/>
      <c r="L179" s="713"/>
      <c r="M179" s="713"/>
      <c r="N179" s="713"/>
      <c r="O179" s="713"/>
      <c r="P179" s="713"/>
      <c r="Q179" s="713"/>
      <c r="R179" s="713"/>
      <c r="S179" s="713"/>
      <c r="T179" s="713"/>
      <c r="U179" s="713"/>
      <c r="V179" s="713"/>
      <c r="W179" s="713"/>
      <c r="X179" s="713"/>
      <c r="Y179" s="713">
        <f>Valuation!M26</f>
        <v>-1430</v>
      </c>
      <c r="Z179" s="713">
        <f>Valuation!N26</f>
        <v>-1645.319</v>
      </c>
      <c r="AA179" s="713">
        <f>Valuation!O26</f>
        <v>-1614.981</v>
      </c>
      <c r="AB179" s="713">
        <f>Valuation!P26</f>
        <v>-1301.4839999999999</v>
      </c>
      <c r="AC179" s="713">
        <f>Valuation!Q26</f>
        <v>-1095</v>
      </c>
      <c r="AD179" s="713">
        <f>Valuation!R26</f>
        <v>-1299.261</v>
      </c>
      <c r="AE179" s="713">
        <f>Valuation!S26</f>
        <v>-1429.0995535855532</v>
      </c>
      <c r="AF179" s="713">
        <f>Valuation!T26</f>
        <v>-2132.9916656806081</v>
      </c>
      <c r="AG179" s="713">
        <f>Valuation!U26</f>
        <v>-2632.7421324739876</v>
      </c>
      <c r="AH179" s="713">
        <f>Valuation!V26</f>
        <v>-3015.2875230411705</v>
      </c>
      <c r="AI179" s="713">
        <f>Valuation!W26</f>
        <v>-3350.5363120254701</v>
      </c>
      <c r="AJ179" s="713">
        <f>Valuation!X26</f>
        <v>-3577.199163624789</v>
      </c>
      <c r="AK179" s="713">
        <f>Valuation!Y26</f>
        <v>-3801.0439548330651</v>
      </c>
      <c r="AL179" s="713">
        <f>Valuation!Z26</f>
        <v>-4033.2090784514276</v>
      </c>
      <c r="AM179" s="713">
        <f>Valuation!AA26</f>
        <v>-4266.1827970118857</v>
      </c>
      <c r="AN179" s="713">
        <f>Valuation!AB26</f>
        <v>-4519.8338687137311</v>
      </c>
    </row>
    <row r="180" spans="2:40" ht="15.75">
      <c r="B180" s="712" t="s">
        <v>147</v>
      </c>
      <c r="C180" s="713"/>
      <c r="D180" s="713"/>
      <c r="E180" s="713"/>
      <c r="F180" s="713"/>
      <c r="G180" s="713"/>
      <c r="H180" s="713"/>
      <c r="I180" s="713"/>
      <c r="J180" s="713"/>
      <c r="K180" s="713"/>
      <c r="L180" s="713"/>
      <c r="M180" s="713"/>
      <c r="N180" s="713"/>
      <c r="O180" s="713"/>
      <c r="P180" s="713"/>
      <c r="Q180" s="713"/>
      <c r="R180" s="713"/>
      <c r="S180" s="713"/>
      <c r="T180" s="713"/>
      <c r="U180" s="713"/>
      <c r="V180" s="713"/>
      <c r="W180" s="713"/>
      <c r="X180" s="713"/>
      <c r="Y180" s="713">
        <f>Valuation!M23</f>
        <v>-8081</v>
      </c>
      <c r="Z180" s="713">
        <f>Valuation!N23</f>
        <v>-9466.5730000000003</v>
      </c>
      <c r="AA180" s="713">
        <f>Valuation!O23</f>
        <v>-11836</v>
      </c>
      <c r="AB180" s="713">
        <f>Valuation!P23</f>
        <v>-12949</v>
      </c>
      <c r="AC180" s="713">
        <f>Valuation!Q23</f>
        <v>-10340</v>
      </c>
      <c r="AD180" s="713">
        <f>Valuation!R23</f>
        <v>-9187.3919999999998</v>
      </c>
      <c r="AE180" s="713">
        <f>Valuation!S23</f>
        <v>-9717.293698700003</v>
      </c>
      <c r="AF180" s="713">
        <f>Valuation!T23</f>
        <v>-9856.4705040000026</v>
      </c>
      <c r="AG180" s="713">
        <f>Valuation!U23</f>
        <v>-9999.2961712603028</v>
      </c>
      <c r="AH180" s="713">
        <f>Valuation!V23</f>
        <v>-10042.771372004911</v>
      </c>
      <c r="AI180" s="713">
        <f>Valuation!W23</f>
        <v>-9962.4209182076502</v>
      </c>
      <c r="AJ180" s="713">
        <f>Valuation!X23</f>
        <v>-9918.8945236275231</v>
      </c>
      <c r="AK180" s="713">
        <f>Valuation!Y23</f>
        <v>-9871.0863692785861</v>
      </c>
      <c r="AL180" s="713">
        <f>Valuation!Z23</f>
        <v>-9944.6802619224636</v>
      </c>
      <c r="AM180" s="713">
        <f>Valuation!AA23</f>
        <v>-10018.710811137766</v>
      </c>
      <c r="AN180" s="713">
        <f>Valuation!AB23</f>
        <v>-9962.0932589503536</v>
      </c>
    </row>
    <row r="181" spans="2:40" ht="15.75">
      <c r="B181" s="712" t="s">
        <v>663</v>
      </c>
      <c r="C181" s="713"/>
      <c r="D181" s="713"/>
      <c r="E181" s="713"/>
      <c r="F181" s="713"/>
      <c r="G181" s="713"/>
      <c r="H181" s="713"/>
      <c r="I181" s="713"/>
      <c r="J181" s="713"/>
      <c r="K181" s="713"/>
      <c r="L181" s="713"/>
      <c r="M181" s="713"/>
      <c r="N181" s="713"/>
      <c r="O181" s="713"/>
      <c r="P181" s="713"/>
      <c r="Q181" s="713"/>
      <c r="R181" s="713"/>
      <c r="S181" s="713"/>
      <c r="T181" s="713"/>
      <c r="U181" s="713"/>
      <c r="V181" s="713"/>
      <c r="W181" s="713"/>
      <c r="X181" s="713"/>
      <c r="Y181" s="713"/>
      <c r="Z181" s="713"/>
      <c r="AA181" s="713"/>
      <c r="AB181" s="713"/>
      <c r="AC181" s="713"/>
      <c r="AD181" s="713"/>
      <c r="AE181" s="713"/>
      <c r="AF181" s="713"/>
      <c r="AG181" s="713"/>
      <c r="AH181" s="713"/>
      <c r="AI181" s="713"/>
      <c r="AJ181" s="713"/>
      <c r="AK181" s="713"/>
      <c r="AL181" s="713"/>
      <c r="AM181" s="713"/>
      <c r="AN181" s="713"/>
    </row>
    <row r="182" spans="2:40" ht="15.75">
      <c r="B182" s="712" t="s">
        <v>664</v>
      </c>
      <c r="C182" s="713"/>
      <c r="D182" s="713"/>
      <c r="E182" s="713"/>
      <c r="F182" s="713"/>
      <c r="G182" s="713"/>
      <c r="H182" s="713"/>
      <c r="I182" s="713"/>
      <c r="J182" s="713"/>
      <c r="K182" s="713"/>
      <c r="L182" s="713"/>
      <c r="M182" s="713"/>
      <c r="N182" s="713"/>
      <c r="O182" s="713"/>
      <c r="P182" s="713"/>
      <c r="Q182" s="713"/>
      <c r="R182" s="713"/>
      <c r="S182" s="713"/>
      <c r="T182" s="713"/>
      <c r="U182" s="713"/>
      <c r="V182" s="713"/>
      <c r="W182" s="713"/>
      <c r="X182" s="713"/>
      <c r="Y182" s="713">
        <f>Valuation!M27</f>
        <v>-171.60000000000002</v>
      </c>
      <c r="Z182" s="713">
        <f>Valuation!N27</f>
        <v>-160.75700000000001</v>
      </c>
      <c r="AA182" s="713">
        <f>Valuation!O27</f>
        <v>-168.411</v>
      </c>
      <c r="AB182" s="713">
        <f>Valuation!P27</f>
        <v>-167.255</v>
      </c>
      <c r="AC182" s="713">
        <f>Valuation!Q27</f>
        <v>-181.726</v>
      </c>
      <c r="AD182" s="713">
        <f>Valuation!R27</f>
        <v>-192.072</v>
      </c>
      <c r="AE182" s="713">
        <f>Valuation!S27</f>
        <v>-211.27920000000003</v>
      </c>
      <c r="AF182" s="713">
        <f>Valuation!T27</f>
        <v>-232.40712000000005</v>
      </c>
      <c r="AG182" s="713">
        <f>Valuation!U27</f>
        <v>-255.64783200000008</v>
      </c>
      <c r="AH182" s="713">
        <f>Valuation!V27</f>
        <v>-281.21261520000013</v>
      </c>
      <c r="AI182" s="713">
        <f>Valuation!W27</f>
        <v>-309.33387672000015</v>
      </c>
      <c r="AJ182" s="713">
        <f>Valuation!X27</f>
        <v>-340.26726439200019</v>
      </c>
      <c r="AK182" s="713">
        <f>Valuation!Y27</f>
        <v>-374.29399083120023</v>
      </c>
      <c r="AL182" s="713">
        <f>Valuation!Z27</f>
        <v>-411.72338991432031</v>
      </c>
      <c r="AM182" s="713">
        <f>Valuation!AA27</f>
        <v>-452.89572890575238</v>
      </c>
      <c r="AN182" s="713">
        <f>Valuation!AB27</f>
        <v>-498.18530179632768</v>
      </c>
    </row>
    <row r="183" spans="2:40" ht="15.75">
      <c r="B183" s="712" t="s">
        <v>665</v>
      </c>
      <c r="C183" s="713"/>
      <c r="D183" s="713"/>
      <c r="E183" s="713"/>
      <c r="F183" s="713"/>
      <c r="G183" s="713"/>
      <c r="H183" s="713"/>
      <c r="I183" s="713"/>
      <c r="J183" s="713"/>
      <c r="K183" s="713"/>
      <c r="L183" s="713"/>
      <c r="M183" s="713"/>
      <c r="N183" s="713"/>
      <c r="O183" s="713"/>
      <c r="P183" s="713"/>
      <c r="Q183" s="713"/>
      <c r="R183" s="713"/>
      <c r="S183" s="713"/>
      <c r="T183" s="713"/>
      <c r="U183" s="713"/>
      <c r="V183" s="713"/>
      <c r="W183" s="713"/>
      <c r="X183" s="713"/>
      <c r="Y183" s="713"/>
      <c r="Z183" s="713"/>
      <c r="AA183" s="713"/>
      <c r="AB183" s="713"/>
      <c r="AC183" s="713"/>
      <c r="AD183" s="713"/>
      <c r="AE183" s="713"/>
      <c r="AF183" s="713"/>
      <c r="AG183" s="713"/>
      <c r="AH183" s="713"/>
      <c r="AI183" s="713"/>
      <c r="AJ183" s="713"/>
      <c r="AK183" s="713"/>
      <c r="AL183" s="713"/>
      <c r="AM183" s="713"/>
      <c r="AN183" s="713"/>
    </row>
    <row r="184" spans="2:40" ht="15.75">
      <c r="B184" s="714" t="s">
        <v>666</v>
      </c>
      <c r="C184" s="715"/>
      <c r="D184" s="715"/>
      <c r="E184" s="715"/>
      <c r="F184" s="715"/>
      <c r="G184" s="715"/>
      <c r="H184" s="715"/>
      <c r="I184" s="715"/>
      <c r="J184" s="715"/>
      <c r="K184" s="715"/>
      <c r="L184" s="715"/>
      <c r="M184" s="715"/>
      <c r="N184" s="715"/>
      <c r="O184" s="715"/>
      <c r="P184" s="715"/>
      <c r="Q184" s="715"/>
      <c r="R184" s="715"/>
      <c r="S184" s="715"/>
      <c r="T184" s="715"/>
      <c r="U184" s="715">
        <f>SUM(U177:U183)</f>
        <v>0</v>
      </c>
      <c r="V184" s="715">
        <f t="shared" ref="V184:AC184" si="27">SUM(V177:V183)</f>
        <v>0</v>
      </c>
      <c r="W184" s="715">
        <f t="shared" si="27"/>
        <v>0</v>
      </c>
      <c r="X184" s="715">
        <f t="shared" si="27"/>
        <v>0</v>
      </c>
      <c r="Y184" s="715">
        <f>SUM(Y177:Y183)</f>
        <v>2506.5640000000008</v>
      </c>
      <c r="Z184" s="715">
        <f>SUM(Z177:Z183)</f>
        <v>1902.1860000000011</v>
      </c>
      <c r="AA184" s="715">
        <f>SUM(AA177:AA183)</f>
        <v>-1552.3350000000009</v>
      </c>
      <c r="AB184" s="715">
        <f>SUM(AB177:AB183)</f>
        <v>-983.1250000000008</v>
      </c>
      <c r="AC184" s="715">
        <f t="shared" si="27"/>
        <v>3045.9189999999985</v>
      </c>
      <c r="AD184" s="715">
        <f t="shared" ref="AD184:AI184" si="28">SUM(AD177:AD183)</f>
        <v>5257.3089999999993</v>
      </c>
      <c r="AE184" s="715">
        <f t="shared" si="28"/>
        <v>6003.2470505435986</v>
      </c>
      <c r="AF184" s="715">
        <f t="shared" si="28"/>
        <v>6717.2234894902449</v>
      </c>
      <c r="AG184" s="715">
        <f t="shared" si="28"/>
        <v>7601.4676978880443</v>
      </c>
      <c r="AH184" s="715">
        <f t="shared" si="28"/>
        <v>8402.2953494995727</v>
      </c>
      <c r="AI184" s="715">
        <f t="shared" si="28"/>
        <v>9210.8946191834275</v>
      </c>
      <c r="AJ184" s="715">
        <f t="shared" ref="AJ184:AN184" si="29">SUM(AJ177:AJ183)</f>
        <v>9694.7912832560833</v>
      </c>
      <c r="AK184" s="715">
        <f t="shared" si="29"/>
        <v>10202.500896643171</v>
      </c>
      <c r="AL184" s="715">
        <f t="shared" si="29"/>
        <v>10593.495976175511</v>
      </c>
      <c r="AM184" s="715">
        <f t="shared" si="29"/>
        <v>11011.896580380675</v>
      </c>
      <c r="AN184" s="715">
        <f t="shared" si="29"/>
        <v>11561.074201478432</v>
      </c>
    </row>
    <row r="185" spans="2:40" ht="15.75">
      <c r="B185" s="716"/>
      <c r="C185" s="713"/>
      <c r="D185" s="713"/>
      <c r="E185" s="713"/>
      <c r="F185" s="713"/>
      <c r="G185" s="713"/>
      <c r="H185" s="713"/>
      <c r="I185" s="713"/>
      <c r="J185" s="713"/>
      <c r="K185" s="713"/>
      <c r="L185" s="713"/>
      <c r="M185" s="713"/>
      <c r="N185" s="713"/>
      <c r="O185" s="713"/>
      <c r="P185" s="713"/>
      <c r="Q185" s="713"/>
      <c r="R185" s="713"/>
      <c r="S185" s="713"/>
      <c r="T185" s="713"/>
      <c r="U185" s="713"/>
      <c r="V185" s="713"/>
      <c r="W185" s="713"/>
      <c r="X185" s="713"/>
      <c r="Y185" s="713"/>
      <c r="Z185" s="713"/>
      <c r="AA185" s="713"/>
      <c r="AB185" s="713"/>
      <c r="AC185" s="713"/>
      <c r="AD185" s="713"/>
      <c r="AE185" s="713"/>
      <c r="AF185" s="713"/>
      <c r="AG185" s="713"/>
      <c r="AH185" s="713"/>
      <c r="AI185" s="713"/>
      <c r="AJ185" s="713"/>
      <c r="AK185" s="713"/>
      <c r="AL185" s="713"/>
      <c r="AM185" s="713"/>
      <c r="AN185" s="713"/>
    </row>
    <row r="186" spans="2:40" ht="15.75">
      <c r="B186" s="712" t="s">
        <v>667</v>
      </c>
      <c r="C186" s="713"/>
      <c r="D186" s="713"/>
      <c r="E186" s="713"/>
      <c r="F186" s="713"/>
      <c r="G186" s="713"/>
      <c r="H186" s="713"/>
      <c r="I186" s="713"/>
      <c r="J186" s="713"/>
      <c r="K186" s="713"/>
      <c r="L186" s="713"/>
      <c r="M186" s="713"/>
      <c r="N186" s="713"/>
      <c r="O186" s="713"/>
      <c r="P186" s="713"/>
      <c r="Q186" s="713"/>
      <c r="R186" s="713"/>
      <c r="S186" s="713"/>
      <c r="T186" s="713"/>
      <c r="U186" s="713"/>
      <c r="V186" s="713"/>
      <c r="W186" s="713"/>
      <c r="X186" s="713"/>
      <c r="Y186" s="713">
        <f>Valuation!M24</f>
        <v>-545</v>
      </c>
      <c r="Z186" s="713">
        <f>Valuation!N24</f>
        <v>-697</v>
      </c>
      <c r="AA186" s="713">
        <f>Valuation!O24</f>
        <v>-1258.9899999999998</v>
      </c>
      <c r="AB186" s="713">
        <f>Valuation!P24</f>
        <v>-1906.258</v>
      </c>
      <c r="AC186" s="713">
        <f>Valuation!Q24</f>
        <v>-2535.7079999999996</v>
      </c>
      <c r="AD186" s="713">
        <f>Valuation!R24</f>
        <v>-2104.5239999999999</v>
      </c>
      <c r="AE186" s="713">
        <f>Valuation!S24</f>
        <v>-2049.7963986196419</v>
      </c>
      <c r="AF186" s="713">
        <f>Valuation!T24</f>
        <v>-2021.1214665676478</v>
      </c>
      <c r="AG186" s="713">
        <f>Valuation!U24</f>
        <v>-1955.6667391230112</v>
      </c>
      <c r="AH186" s="713">
        <f>Valuation!V24</f>
        <v>-1856.3554404004174</v>
      </c>
      <c r="AI186" s="713">
        <f>Valuation!W24</f>
        <v>-1757.7900475162949</v>
      </c>
      <c r="AJ186" s="713">
        <f>Valuation!X24</f>
        <v>-1654.702478980947</v>
      </c>
      <c r="AK186" s="713">
        <f>Valuation!Y24</f>
        <v>-1598.033506574478</v>
      </c>
      <c r="AL186" s="713">
        <f>Valuation!Z24</f>
        <v>-1549.623823456421</v>
      </c>
      <c r="AM186" s="713">
        <f>Valuation!AA24</f>
        <v>-1511.5308952506296</v>
      </c>
      <c r="AN186" s="713">
        <f>Valuation!AB24</f>
        <v>-1420.3220044511982</v>
      </c>
    </row>
    <row r="187" spans="2:40" ht="15.75">
      <c r="B187" s="712" t="s">
        <v>668</v>
      </c>
      <c r="C187" s="713"/>
      <c r="D187" s="713"/>
      <c r="E187" s="713"/>
      <c r="F187" s="713"/>
      <c r="G187" s="713"/>
      <c r="H187" s="713"/>
      <c r="I187" s="713"/>
      <c r="J187" s="713"/>
      <c r="K187" s="713"/>
      <c r="L187" s="713"/>
      <c r="M187" s="713"/>
      <c r="N187" s="713"/>
      <c r="O187" s="713"/>
      <c r="P187" s="713"/>
      <c r="Q187" s="713"/>
      <c r="R187" s="713"/>
      <c r="S187" s="713"/>
      <c r="T187" s="713"/>
      <c r="U187" s="713"/>
      <c r="V187" s="713"/>
      <c r="W187" s="713"/>
      <c r="X187" s="713"/>
      <c r="Y187" s="713">
        <f>-Master!T141</f>
        <v>-1735.2650000000001</v>
      </c>
      <c r="Z187" s="713">
        <f>-Master!U141</f>
        <v>-1557.3579999999999</v>
      </c>
      <c r="AA187" s="713">
        <f>-Master!V141</f>
        <v>-1626.65</v>
      </c>
      <c r="AB187" s="713">
        <f>-Master!W141</f>
        <v>-505.54</v>
      </c>
      <c r="AC187" s="713">
        <f>-Master!X141</f>
        <v>-495.41500000000002</v>
      </c>
      <c r="AD187" s="713">
        <f>-Master!Y141</f>
        <v>-520.1857500000001</v>
      </c>
      <c r="AE187" s="713">
        <f>-Master!Z141</f>
        <v>-546.19503750000013</v>
      </c>
      <c r="AF187" s="713">
        <f>-Master!AA141</f>
        <v>-573.5047893750002</v>
      </c>
      <c r="AG187" s="713">
        <f>-Master!AB141</f>
        <v>-602.18002884375028</v>
      </c>
      <c r="AH187" s="713">
        <f>-Master!AC141</f>
        <v>-632.28903028593777</v>
      </c>
      <c r="AI187" s="713">
        <f>-Master!AD141</f>
        <v>-663.90348180023466</v>
      </c>
      <c r="AJ187" s="713">
        <f>-Master!AE141</f>
        <v>-697.09865589024639</v>
      </c>
      <c r="AK187" s="713">
        <f>-Master!AF141</f>
        <v>-731.95358868475876</v>
      </c>
      <c r="AL187" s="713">
        <f>-Master!AG141</f>
        <v>-768.55126811899675</v>
      </c>
      <c r="AM187" s="713">
        <f>-Master!AH141</f>
        <v>-806.9788315249466</v>
      </c>
      <c r="AN187" s="713">
        <f>-Master!AI141</f>
        <v>-847.327773101194</v>
      </c>
    </row>
    <row r="188" spans="2:40" ht="15.75">
      <c r="B188" s="717" t="s">
        <v>669</v>
      </c>
      <c r="C188" s="718"/>
      <c r="D188" s="718"/>
      <c r="E188" s="718"/>
      <c r="F188" s="718"/>
      <c r="G188" s="718"/>
      <c r="H188" s="718"/>
      <c r="I188" s="718"/>
      <c r="J188" s="718"/>
      <c r="K188" s="718"/>
      <c r="L188" s="718"/>
      <c r="M188" s="718"/>
      <c r="N188" s="718"/>
      <c r="O188" s="718"/>
      <c r="P188" s="718"/>
      <c r="Q188" s="718"/>
      <c r="R188" s="718"/>
      <c r="S188" s="718"/>
      <c r="T188" s="718"/>
      <c r="U188" s="718">
        <f>SUM(U184:U187)</f>
        <v>0</v>
      </c>
      <c r="V188" s="718">
        <f t="shared" ref="V188:AC188" si="30">SUM(V184:V187)</f>
        <v>0</v>
      </c>
      <c r="W188" s="718">
        <f t="shared" si="30"/>
        <v>0</v>
      </c>
      <c r="X188" s="718">
        <f t="shared" si="30"/>
        <v>0</v>
      </c>
      <c r="Y188" s="718">
        <f>SUM(Y184:Y187)</f>
        <v>226.29900000000066</v>
      </c>
      <c r="Z188" s="718">
        <f>SUM(Z184:Z187)</f>
        <v>-352.17199999999889</v>
      </c>
      <c r="AA188" s="718">
        <f>SUM(AA184:AA187)</f>
        <v>-4437.9750000000004</v>
      </c>
      <c r="AB188" s="718">
        <f>SUM(AB184:AB187)</f>
        <v>-3394.9230000000007</v>
      </c>
      <c r="AC188" s="718">
        <f t="shared" si="30"/>
        <v>14.795999999998855</v>
      </c>
      <c r="AD188" s="718">
        <f t="shared" ref="AD188:AI188" si="31">SUM(AD184:AD187)</f>
        <v>2632.5992499999993</v>
      </c>
      <c r="AE188" s="718">
        <f t="shared" si="31"/>
        <v>3407.2556144239566</v>
      </c>
      <c r="AF188" s="718">
        <f t="shared" si="31"/>
        <v>4122.5972335475963</v>
      </c>
      <c r="AG188" s="718">
        <f t="shared" si="31"/>
        <v>5043.6209299212824</v>
      </c>
      <c r="AH188" s="718">
        <f t="shared" si="31"/>
        <v>5913.6508788132178</v>
      </c>
      <c r="AI188" s="718">
        <f t="shared" si="31"/>
        <v>6789.2010898668977</v>
      </c>
      <c r="AJ188" s="718">
        <f t="shared" ref="AJ188:AN188" si="32">SUM(AJ184:AJ187)</f>
        <v>7342.9901483848898</v>
      </c>
      <c r="AK188" s="718">
        <f t="shared" si="32"/>
        <v>7872.5138013839332</v>
      </c>
      <c r="AL188" s="718">
        <f t="shared" si="32"/>
        <v>8275.3208846000925</v>
      </c>
      <c r="AM188" s="718">
        <f t="shared" si="32"/>
        <v>8693.3868536050995</v>
      </c>
      <c r="AN188" s="718">
        <f t="shared" si="32"/>
        <v>9293.4244239260406</v>
      </c>
    </row>
    <row r="189" spans="2:40" ht="15.75">
      <c r="B189" s="712"/>
      <c r="C189" s="719"/>
      <c r="D189" s="719"/>
      <c r="E189" s="719"/>
      <c r="F189" s="719"/>
      <c r="G189" s="719"/>
      <c r="H189" s="719"/>
      <c r="I189" s="719"/>
      <c r="J189" s="719"/>
      <c r="K189" s="719"/>
      <c r="L189" s="719"/>
      <c r="M189" s="719"/>
      <c r="N189" s="719"/>
      <c r="O189" s="719"/>
      <c r="P189" s="719"/>
      <c r="Q189" s="719"/>
      <c r="R189" s="719"/>
      <c r="S189" s="719"/>
      <c r="T189" s="719"/>
      <c r="U189" s="719"/>
      <c r="V189" s="719"/>
      <c r="W189" s="719"/>
      <c r="X189" s="719"/>
      <c r="Y189" s="719"/>
      <c r="Z189" s="719"/>
      <c r="AA189" s="719"/>
      <c r="AB189" s="719"/>
      <c r="AC189" s="719"/>
      <c r="AD189" s="719"/>
      <c r="AE189" s="719"/>
      <c r="AF189" s="719"/>
      <c r="AG189" s="719"/>
      <c r="AH189" s="719"/>
      <c r="AI189" s="719"/>
      <c r="AJ189" s="719"/>
      <c r="AK189" s="719"/>
      <c r="AL189" s="719"/>
      <c r="AM189" s="719"/>
      <c r="AN189" s="719"/>
    </row>
    <row r="190" spans="2:40" ht="15.75">
      <c r="B190" s="712" t="s">
        <v>670</v>
      </c>
      <c r="C190" s="719"/>
      <c r="D190" s="719"/>
      <c r="E190" s="719"/>
      <c r="F190" s="719"/>
      <c r="G190" s="719"/>
      <c r="H190" s="719"/>
      <c r="I190" s="719"/>
      <c r="J190" s="719"/>
      <c r="K190" s="719"/>
      <c r="L190" s="719"/>
      <c r="M190" s="719"/>
      <c r="N190" s="719"/>
      <c r="O190" s="719"/>
      <c r="P190" s="719"/>
      <c r="Q190" s="719"/>
      <c r="R190" s="719"/>
      <c r="S190" s="719"/>
      <c r="T190" s="719"/>
      <c r="U190" s="719"/>
      <c r="V190" s="719"/>
      <c r="W190" s="719"/>
      <c r="X190" s="719"/>
      <c r="Y190" s="719"/>
      <c r="Z190" s="719"/>
      <c r="AA190" s="719"/>
      <c r="AB190" s="719"/>
      <c r="AC190" s="719"/>
      <c r="AD190" s="719"/>
      <c r="AE190" s="719"/>
      <c r="AF190" s="719"/>
      <c r="AG190" s="719"/>
      <c r="AH190" s="719"/>
      <c r="AI190" s="719"/>
      <c r="AJ190" s="719"/>
      <c r="AK190" s="719"/>
      <c r="AL190" s="719"/>
      <c r="AM190" s="719"/>
      <c r="AN190" s="719"/>
    </row>
    <row r="191" spans="2:40" ht="15.75">
      <c r="B191" s="720" t="s">
        <v>31</v>
      </c>
      <c r="C191" s="715"/>
      <c r="D191" s="715"/>
      <c r="E191" s="715"/>
      <c r="F191" s="715"/>
      <c r="G191" s="715"/>
      <c r="H191" s="715"/>
      <c r="I191" s="715"/>
      <c r="J191" s="715"/>
      <c r="K191" s="715"/>
      <c r="L191" s="715"/>
      <c r="M191" s="715"/>
      <c r="N191" s="715"/>
      <c r="O191" s="715"/>
      <c r="P191" s="715"/>
      <c r="Q191" s="715"/>
      <c r="R191" s="715"/>
      <c r="S191" s="715"/>
      <c r="T191" s="715"/>
      <c r="U191" s="715">
        <f>SUM(U188:U190)</f>
        <v>0</v>
      </c>
      <c r="V191" s="715">
        <f t="shared" ref="V191:AC191" si="33">SUM(V188:V190)</f>
        <v>0</v>
      </c>
      <c r="W191" s="715">
        <f t="shared" si="33"/>
        <v>0</v>
      </c>
      <c r="X191" s="715">
        <f t="shared" si="33"/>
        <v>0</v>
      </c>
      <c r="Y191" s="715">
        <f>SUM(Y188:Y190)</f>
        <v>226.29900000000066</v>
      </c>
      <c r="Z191" s="715">
        <f>SUM(Z188:Z190)</f>
        <v>-352.17199999999889</v>
      </c>
      <c r="AA191" s="715">
        <f>SUM(AA188:AA190)</f>
        <v>-4437.9750000000004</v>
      </c>
      <c r="AB191" s="715">
        <f>SUM(AB188:AB190)</f>
        <v>-3394.9230000000007</v>
      </c>
      <c r="AC191" s="715">
        <f t="shared" si="33"/>
        <v>14.795999999998855</v>
      </c>
      <c r="AD191" s="715">
        <f t="shared" ref="AD191:AI191" si="34">SUM(AD188:AD190)</f>
        <v>2632.5992499999993</v>
      </c>
      <c r="AE191" s="715">
        <f t="shared" si="34"/>
        <v>3407.2556144239566</v>
      </c>
      <c r="AF191" s="715">
        <f t="shared" si="34"/>
        <v>4122.5972335475963</v>
      </c>
      <c r="AG191" s="715">
        <f t="shared" si="34"/>
        <v>5043.6209299212824</v>
      </c>
      <c r="AH191" s="715">
        <f t="shared" si="34"/>
        <v>5913.6508788132178</v>
      </c>
      <c r="AI191" s="715">
        <f t="shared" si="34"/>
        <v>6789.2010898668977</v>
      </c>
      <c r="AJ191" s="715">
        <f t="shared" ref="AJ191:AN191" si="35">SUM(AJ188:AJ190)</f>
        <v>7342.9901483848898</v>
      </c>
      <c r="AK191" s="715">
        <f t="shared" si="35"/>
        <v>7872.5138013839332</v>
      </c>
      <c r="AL191" s="715">
        <f t="shared" si="35"/>
        <v>8275.3208846000925</v>
      </c>
      <c r="AM191" s="715">
        <f t="shared" si="35"/>
        <v>8693.3868536050995</v>
      </c>
      <c r="AN191" s="715">
        <f t="shared" si="35"/>
        <v>9293.4244239260406</v>
      </c>
    </row>
    <row r="192" spans="2:40" ht="15.75">
      <c r="B192" s="712"/>
      <c r="C192" s="721"/>
      <c r="D192" s="721"/>
      <c r="E192" s="721"/>
      <c r="F192" s="721"/>
      <c r="G192" s="721"/>
      <c r="H192" s="721"/>
      <c r="I192" s="721"/>
      <c r="J192" s="721"/>
      <c r="K192" s="721"/>
      <c r="L192" s="721"/>
      <c r="M192" s="721"/>
      <c r="N192" s="721"/>
      <c r="O192" s="721"/>
      <c r="P192" s="721"/>
      <c r="Q192" s="721"/>
      <c r="R192" s="721"/>
      <c r="S192" s="721"/>
      <c r="T192" s="721"/>
      <c r="U192" s="721"/>
      <c r="V192" s="721"/>
      <c r="W192" s="721"/>
      <c r="X192" s="721"/>
      <c r="Y192" s="721"/>
      <c r="Z192" s="721"/>
      <c r="AA192" s="721"/>
      <c r="AB192" s="721"/>
      <c r="AC192" s="721"/>
      <c r="AD192" s="721"/>
      <c r="AE192" s="721"/>
      <c r="AF192" s="721"/>
      <c r="AG192" s="721"/>
      <c r="AH192" s="721"/>
      <c r="AI192" s="721"/>
      <c r="AJ192" s="721"/>
      <c r="AK192" s="721"/>
      <c r="AL192" s="721"/>
      <c r="AM192" s="721"/>
      <c r="AN192" s="721"/>
    </row>
    <row r="193" spans="2:42" ht="15.75">
      <c r="B193" s="712" t="s">
        <v>284</v>
      </c>
      <c r="C193" s="719"/>
      <c r="D193" s="719"/>
      <c r="E193" s="719"/>
      <c r="F193" s="719"/>
      <c r="G193" s="719"/>
      <c r="H193" s="719"/>
      <c r="I193" s="719"/>
      <c r="J193" s="719"/>
      <c r="K193" s="719"/>
      <c r="L193" s="719"/>
      <c r="M193" s="719"/>
      <c r="N193" s="719"/>
      <c r="O193" s="719"/>
      <c r="P193" s="719"/>
      <c r="Q193" s="719"/>
      <c r="R193" s="719"/>
      <c r="S193" s="719"/>
      <c r="T193" s="719"/>
      <c r="U193" s="719"/>
      <c r="V193" s="719"/>
      <c r="W193" s="719"/>
      <c r="X193" s="719"/>
      <c r="Y193" s="719">
        <f>Master!T362</f>
        <v>2201.6972799999999</v>
      </c>
      <c r="Z193" s="719">
        <f>Master!U362</f>
        <v>2418.08232</v>
      </c>
      <c r="AA193" s="719">
        <f>Master!V362</f>
        <v>2538.5477999999998</v>
      </c>
      <c r="AB193" s="719">
        <f>Master!W362</f>
        <v>2644.18154</v>
      </c>
      <c r="AC193" s="719">
        <f>Master!X362</f>
        <v>2867.39167</v>
      </c>
      <c r="AD193" s="719">
        <f>Master!Y362</f>
        <v>3175.0588000000002</v>
      </c>
      <c r="AE193" s="719">
        <f>Master!Z362</f>
        <v>3636.7693248600012</v>
      </c>
      <c r="AF193" s="719">
        <f>Master!AA362</f>
        <v>4156.1450625200014</v>
      </c>
      <c r="AG193" s="719">
        <f>Master!AB362</f>
        <v>4699.6692004923425</v>
      </c>
      <c r="AH193" s="719">
        <f>Master!AC362</f>
        <v>5203.9815291298173</v>
      </c>
      <c r="AI193" s="719">
        <f>Master!AD362</f>
        <v>5692.8119532615146</v>
      </c>
      <c r="AJ193" s="719">
        <f>Master!AE362</f>
        <v>6101.3297533142959</v>
      </c>
      <c r="AK193" s="719">
        <f>Master!AF362</f>
        <v>6529.7236332777857</v>
      </c>
      <c r="AL193" s="719">
        <f>Master!AG362</f>
        <v>6978.8996673541951</v>
      </c>
      <c r="AM193" s="719">
        <f>Master!AH362</f>
        <v>7449.8106031537218</v>
      </c>
      <c r="AN193" s="719">
        <f>Master!AI362</f>
        <v>7943.4585722683078</v>
      </c>
    </row>
    <row r="194" spans="2:42" ht="15.75">
      <c r="B194" s="712" t="s">
        <v>285</v>
      </c>
      <c r="C194" s="719"/>
      <c r="D194" s="719"/>
      <c r="E194" s="719"/>
      <c r="F194" s="719"/>
      <c r="G194" s="719"/>
      <c r="H194" s="719"/>
      <c r="I194" s="719"/>
      <c r="J194" s="719"/>
      <c r="K194" s="719"/>
      <c r="L194" s="719"/>
      <c r="M194" s="719"/>
      <c r="N194" s="719"/>
      <c r="O194" s="719"/>
      <c r="P194" s="719"/>
      <c r="Q194" s="719"/>
      <c r="R194" s="719"/>
      <c r="S194" s="719"/>
      <c r="T194" s="719"/>
      <c r="U194" s="719"/>
      <c r="V194" s="719"/>
      <c r="W194" s="719"/>
      <c r="X194" s="719"/>
      <c r="Y194" s="719"/>
      <c r="Z194" s="719"/>
      <c r="AA194" s="719"/>
      <c r="AB194" s="719"/>
      <c r="AC194" s="719"/>
      <c r="AD194" s="719"/>
      <c r="AE194" s="719"/>
      <c r="AF194" s="719"/>
      <c r="AG194" s="719"/>
      <c r="AH194" s="719"/>
      <c r="AI194" s="719"/>
      <c r="AJ194" s="719"/>
      <c r="AK194" s="719"/>
      <c r="AL194" s="719"/>
      <c r="AM194" s="719"/>
      <c r="AN194" s="719"/>
    </row>
    <row r="196" spans="2:42" ht="15.75">
      <c r="B196" s="822" t="s">
        <v>671</v>
      </c>
      <c r="Y196" s="821">
        <f>Valuation!M36</f>
        <v>51768.967039999996</v>
      </c>
      <c r="Z196" s="821">
        <f>Valuation!N36</f>
        <v>51616.323079999995</v>
      </c>
      <c r="AA196" s="821">
        <f>Valuation!O36</f>
        <v>51624.753649999991</v>
      </c>
      <c r="AB196" s="821">
        <f>Valuation!P36</f>
        <v>51677.362789999999</v>
      </c>
      <c r="AC196" s="821">
        <f>Valuation!Q36</f>
        <v>51677.362789999999</v>
      </c>
      <c r="AD196" s="821">
        <f>Valuation!R36</f>
        <v>51654.930919999999</v>
      </c>
      <c r="AE196" s="821">
        <f>Valuation!S36</f>
        <v>51654.930919999999</v>
      </c>
      <c r="AF196" s="821">
        <f>Valuation!T36</f>
        <v>51654.930919999999</v>
      </c>
      <c r="AG196" s="821">
        <f>Valuation!U36</f>
        <v>51654.930919999999</v>
      </c>
      <c r="AH196" s="821">
        <f>Valuation!V36</f>
        <v>51654.930919999999</v>
      </c>
      <c r="AI196" s="821">
        <f>Valuation!W36</f>
        <v>51654.930919999999</v>
      </c>
      <c r="AJ196" s="821">
        <f>Valuation!X36</f>
        <v>51654.930919999999</v>
      </c>
      <c r="AK196" s="821">
        <f>Valuation!Y36</f>
        <v>51654.930919999999</v>
      </c>
      <c r="AL196" s="821">
        <f>Valuation!Z36</f>
        <v>51654.930919999999</v>
      </c>
      <c r="AM196" s="821">
        <f>Valuation!AA36</f>
        <v>51654.930919999999</v>
      </c>
      <c r="AN196" s="821">
        <f>Valuation!AB36</f>
        <v>51654.930919999999</v>
      </c>
    </row>
    <row r="197" spans="2:42">
      <c r="B197" s="33" t="s">
        <v>29</v>
      </c>
      <c r="C197" s="33"/>
      <c r="D197" s="33"/>
      <c r="E197" s="33"/>
      <c r="F197" s="33"/>
      <c r="G197" s="33"/>
      <c r="H197" s="33"/>
      <c r="I197" s="33"/>
      <c r="J197" s="33"/>
      <c r="K197" s="33"/>
      <c r="L197" s="33"/>
      <c r="M197" s="33"/>
      <c r="N197" s="33"/>
      <c r="O197" s="33"/>
      <c r="P197" s="33"/>
      <c r="Q197" s="33"/>
      <c r="R197" s="33"/>
      <c r="S197" s="33"/>
      <c r="T197" s="33"/>
      <c r="U197" s="33"/>
      <c r="V197" s="33"/>
      <c r="W197" s="33"/>
      <c r="X197" s="33"/>
      <c r="Y197" s="1061">
        <f>Y191/Y196</f>
        <v>4.3713253893041303E-3</v>
      </c>
      <c r="Z197" s="1061">
        <f t="shared" ref="Z197:AI197" si="36">Z191/Z196</f>
        <v>-6.8228804181609077E-3</v>
      </c>
      <c r="AA197" s="1061">
        <f t="shared" si="36"/>
        <v>-8.5966027655804633E-2</v>
      </c>
      <c r="AB197" s="1061">
        <f t="shared" si="36"/>
        <v>-6.5694586888960724E-2</v>
      </c>
      <c r="AC197" s="1061">
        <f t="shared" si="36"/>
        <v>2.8631492013485652E-4</v>
      </c>
      <c r="AD197" s="1061">
        <f t="shared" si="36"/>
        <v>5.0965110263668886E-2</v>
      </c>
      <c r="AE197" s="1061">
        <f t="shared" si="36"/>
        <v>6.596186566778893E-2</v>
      </c>
      <c r="AF197" s="1061">
        <f t="shared" si="36"/>
        <v>7.981033291734381E-2</v>
      </c>
      <c r="AG197" s="1061">
        <f t="shared" si="36"/>
        <v>9.7640648048344783E-2</v>
      </c>
      <c r="AH197" s="1061">
        <f t="shared" si="36"/>
        <v>0.11448376318558859</v>
      </c>
      <c r="AI197" s="1061">
        <f t="shared" si="36"/>
        <v>0.13143374638099115</v>
      </c>
      <c r="AJ197" s="1061">
        <f t="shared" ref="AJ197:AN197" si="37">AJ191/AJ196</f>
        <v>0.14215467947788499</v>
      </c>
      <c r="AK197" s="1061">
        <f t="shared" si="37"/>
        <v>0.15240585286187686</v>
      </c>
      <c r="AL197" s="1061">
        <f t="shared" si="37"/>
        <v>0.16020389026202367</v>
      </c>
      <c r="AM197" s="1061">
        <f t="shared" si="37"/>
        <v>0.16829732803377254</v>
      </c>
      <c r="AN197" s="1061">
        <f t="shared" si="37"/>
        <v>0.17991359698688067</v>
      </c>
      <c r="AP197" s="21">
        <f>(AG191/AD191)^(1/3)-1</f>
        <v>0.24199322944291946</v>
      </c>
    </row>
    <row r="198" spans="2:42">
      <c r="B198" s="21" t="s">
        <v>672</v>
      </c>
      <c r="Z198" s="832">
        <f t="shared" ref="Z198:AN198" si="38">Z191/Y191-1</f>
        <v>-2.5562242873366561</v>
      </c>
      <c r="AA198" s="832">
        <f t="shared" si="38"/>
        <v>11.60172586122694</v>
      </c>
      <c r="AB198" s="832">
        <f t="shared" si="38"/>
        <v>-0.23502881381711249</v>
      </c>
      <c r="AC198" s="832">
        <f t="shared" si="38"/>
        <v>-1.0043582726323981</v>
      </c>
      <c r="AD198" s="832">
        <f t="shared" si="38"/>
        <v>176.92641592323622</v>
      </c>
      <c r="AE198" s="832">
        <f t="shared" si="38"/>
        <v>0.29425533127533843</v>
      </c>
      <c r="AF198" s="832">
        <f t="shared" si="38"/>
        <v>0.20994656699526137</v>
      </c>
      <c r="AG198" s="832">
        <f t="shared" si="38"/>
        <v>0.22340860486657887</v>
      </c>
      <c r="AH198" s="832">
        <f t="shared" si="38"/>
        <v>0.17250105846188446</v>
      </c>
      <c r="AI198" s="832">
        <f t="shared" si="38"/>
        <v>0.1480557829665774</v>
      </c>
      <c r="AJ198" s="832">
        <f t="shared" si="38"/>
        <v>8.1569105287592647E-2</v>
      </c>
      <c r="AK198" s="832">
        <f t="shared" si="38"/>
        <v>7.2112809945075851E-2</v>
      </c>
      <c r="AL198" s="832">
        <f t="shared" si="38"/>
        <v>5.1166259390405644E-2</v>
      </c>
      <c r="AM198" s="832">
        <f t="shared" si="38"/>
        <v>5.0519608222444168E-2</v>
      </c>
      <c r="AN198" s="832">
        <f t="shared" si="38"/>
        <v>6.9022301713411949E-2</v>
      </c>
    </row>
    <row r="200" spans="2:42">
      <c r="B200" s="21" t="s">
        <v>84</v>
      </c>
      <c r="Y200" s="823">
        <f>Y193/Y196</f>
        <v>4.2529287445485023E-2</v>
      </c>
      <c r="Z200" s="823">
        <f t="shared" ref="Z200:AI200" si="39">Z193/Z196</f>
        <v>4.684724086704551E-2</v>
      </c>
      <c r="AA200" s="823">
        <f t="shared" si="39"/>
        <v>4.9173073390540049E-2</v>
      </c>
      <c r="AB200" s="823">
        <f t="shared" si="39"/>
        <v>5.1167114520628582E-2</v>
      </c>
      <c r="AC200" s="823">
        <f t="shared" si="39"/>
        <v>5.5486416395746578E-2</v>
      </c>
      <c r="AD200" s="823">
        <f t="shared" si="39"/>
        <v>6.1466712731013763E-2</v>
      </c>
      <c r="AE200" s="823">
        <f t="shared" si="39"/>
        <v>7.0405075761158356E-2</v>
      </c>
      <c r="AF200" s="823">
        <f t="shared" si="39"/>
        <v>8.0459793256848697E-2</v>
      </c>
      <c r="AG200" s="823">
        <f t="shared" si="39"/>
        <v>9.0982005334029059E-2</v>
      </c>
      <c r="AH200" s="823">
        <f t="shared" si="39"/>
        <v>0.10074510673897573</v>
      </c>
      <c r="AI200" s="823">
        <f t="shared" si="39"/>
        <v>0.11020849030033926</v>
      </c>
      <c r="AJ200" s="823">
        <f t="shared" ref="AJ200:AN200" si="40">AJ193/AJ196</f>
        <v>0.11811708281564953</v>
      </c>
      <c r="AK200" s="823">
        <f t="shared" si="40"/>
        <v>0.12641046105338177</v>
      </c>
      <c r="AL200" s="823">
        <f t="shared" si="40"/>
        <v>0.13510616591788088</v>
      </c>
      <c r="AM200" s="823">
        <f t="shared" si="40"/>
        <v>0.14422264187501352</v>
      </c>
      <c r="AN200" s="823">
        <f t="shared" si="40"/>
        <v>0.15377928942680519</v>
      </c>
    </row>
    <row r="201" spans="2:42">
      <c r="B201" s="21" t="s">
        <v>673</v>
      </c>
      <c r="Y201" s="823">
        <f>Y194/Y196</f>
        <v>0</v>
      </c>
      <c r="Z201" s="823">
        <f t="shared" ref="Z201:AI201" si="41">Z194/Z196</f>
        <v>0</v>
      </c>
      <c r="AA201" s="823">
        <f t="shared" si="41"/>
        <v>0</v>
      </c>
      <c r="AB201" s="823">
        <f t="shared" si="41"/>
        <v>0</v>
      </c>
      <c r="AC201" s="823">
        <f t="shared" si="41"/>
        <v>0</v>
      </c>
      <c r="AD201" s="823">
        <f t="shared" si="41"/>
        <v>0</v>
      </c>
      <c r="AE201" s="823">
        <f t="shared" si="41"/>
        <v>0</v>
      </c>
      <c r="AF201" s="823">
        <f t="shared" si="41"/>
        <v>0</v>
      </c>
      <c r="AG201" s="823">
        <f t="shared" si="41"/>
        <v>0</v>
      </c>
      <c r="AH201" s="823">
        <f t="shared" si="41"/>
        <v>0</v>
      </c>
      <c r="AI201" s="823">
        <f t="shared" si="41"/>
        <v>0</v>
      </c>
      <c r="AJ201" s="823">
        <f t="shared" ref="AJ201:AN201" si="42">AJ194/AJ196</f>
        <v>0</v>
      </c>
      <c r="AK201" s="823">
        <f t="shared" si="42"/>
        <v>0</v>
      </c>
      <c r="AL201" s="823">
        <f t="shared" si="42"/>
        <v>0</v>
      </c>
      <c r="AM201" s="823">
        <f t="shared" si="42"/>
        <v>0</v>
      </c>
      <c r="AN201" s="823">
        <f t="shared" si="42"/>
        <v>0</v>
      </c>
    </row>
    <row r="202" spans="2:42">
      <c r="B202" s="21" t="s">
        <v>674</v>
      </c>
      <c r="Y202" s="823">
        <f>Y200+Y201</f>
        <v>4.2529287445485023E-2</v>
      </c>
      <c r="Z202" s="823">
        <f t="shared" ref="Z202:AI202" si="43">Z200+Z201</f>
        <v>4.684724086704551E-2</v>
      </c>
      <c r="AA202" s="823">
        <f t="shared" si="43"/>
        <v>4.9173073390540049E-2</v>
      </c>
      <c r="AB202" s="823">
        <f t="shared" si="43"/>
        <v>5.1167114520628582E-2</v>
      </c>
      <c r="AC202" s="823">
        <f t="shared" si="43"/>
        <v>5.5486416395746578E-2</v>
      </c>
      <c r="AD202" s="823">
        <f t="shared" si="43"/>
        <v>6.1466712731013763E-2</v>
      </c>
      <c r="AE202" s="823">
        <f t="shared" si="43"/>
        <v>7.0405075761158356E-2</v>
      </c>
      <c r="AF202" s="823">
        <f t="shared" si="43"/>
        <v>8.0459793256848697E-2</v>
      </c>
      <c r="AG202" s="823">
        <f t="shared" si="43"/>
        <v>9.0982005334029059E-2</v>
      </c>
      <c r="AH202" s="823">
        <f t="shared" si="43"/>
        <v>0.10074510673897573</v>
      </c>
      <c r="AI202" s="823">
        <f t="shared" si="43"/>
        <v>0.11020849030033926</v>
      </c>
      <c r="AJ202" s="823">
        <f t="shared" ref="AJ202:AN202" si="44">AJ200+AJ201</f>
        <v>0.11811708281564953</v>
      </c>
      <c r="AK202" s="823">
        <f t="shared" si="44"/>
        <v>0.12641046105338177</v>
      </c>
      <c r="AL202" s="823">
        <f t="shared" si="44"/>
        <v>0.13510616591788088</v>
      </c>
      <c r="AM202" s="823">
        <f t="shared" si="44"/>
        <v>0.14422264187501352</v>
      </c>
      <c r="AN202" s="823">
        <f t="shared" si="44"/>
        <v>0.15377928942680519</v>
      </c>
    </row>
    <row r="204" spans="2:42">
      <c r="Y204" s="821">
        <f>Valuation!M28</f>
        <v>226.29900000000055</v>
      </c>
      <c r="Z204" s="821">
        <f>Valuation!N28</f>
        <v>-352.17199999999929</v>
      </c>
      <c r="AA204" s="821">
        <f>Valuation!O28</f>
        <v>-4437.9750000000013</v>
      </c>
      <c r="AB204" s="821">
        <f>Valuation!P28</f>
        <v>-3394.9230000000007</v>
      </c>
      <c r="AC204" s="821">
        <f>Valuation!Q28</f>
        <v>14.795999999999026</v>
      </c>
      <c r="AD204" s="821">
        <f>Valuation!R28</f>
        <v>2632.5992499999998</v>
      </c>
      <c r="AE204" s="821">
        <f>Valuation!S28</f>
        <v>3407.2556144239556</v>
      </c>
      <c r="AF204" s="821">
        <f>Valuation!T28</f>
        <v>4122.5972335475972</v>
      </c>
      <c r="AG204" s="821">
        <f>Valuation!U28</f>
        <v>5043.6209299212833</v>
      </c>
      <c r="AH204" s="821">
        <f>Valuation!V28</f>
        <v>5913.6508788132178</v>
      </c>
      <c r="AI204" s="821">
        <f>Valuation!W28</f>
        <v>6789.2010898668977</v>
      </c>
      <c r="AJ204" s="821">
        <f>Valuation!X28</f>
        <v>7342.9901483848871</v>
      </c>
      <c r="AK204" s="821">
        <f>Valuation!Y28</f>
        <v>7872.5138013839332</v>
      </c>
      <c r="AL204" s="821">
        <f>Valuation!Z28</f>
        <v>8275.3208846000907</v>
      </c>
      <c r="AM204" s="821">
        <f>Valuation!AA28</f>
        <v>8693.3868536050995</v>
      </c>
      <c r="AN204" s="821">
        <f>Valuation!AB28</f>
        <v>9293.424423926037</v>
      </c>
    </row>
  </sheetData>
  <pageMargins left="0.7" right="0.7" top="0.75" bottom="0.75" header="0.3" footer="0.3"/>
  <pageSetup paperSize="9" scale="2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a64ecaf-0ff2-4962-b687-c42052c96c69">
      <Terms xmlns="http://schemas.microsoft.com/office/infopath/2007/PartnerControls"/>
    </lcf76f155ced4ddcb4097134ff3c332f>
    <TaxCatchAll xmlns="ac44878d-96d9-4f15-b496-a713624269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45DFD126F1C944A14E489380A940D9" ma:contentTypeVersion="13" ma:contentTypeDescription="Create a new document." ma:contentTypeScope="" ma:versionID="e7acdc210f4cf5f473d94777a06df922">
  <xsd:schema xmlns:xsd="http://www.w3.org/2001/XMLSchema" xmlns:xs="http://www.w3.org/2001/XMLSchema" xmlns:p="http://schemas.microsoft.com/office/2006/metadata/properties" xmlns:ns2="7a64ecaf-0ff2-4962-b687-c42052c96c69" xmlns:ns3="ac44878d-96d9-4f15-b496-a71362426953" targetNamespace="http://schemas.microsoft.com/office/2006/metadata/properties" ma:root="true" ma:fieldsID="c5f8146c6253f578a072380d557b0e17" ns2:_="" ns3:_="">
    <xsd:import namespace="7a64ecaf-0ff2-4962-b687-c42052c96c69"/>
    <xsd:import namespace="ac44878d-96d9-4f15-b496-a713624269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64ecaf-0ff2-4962-b687-c42052c96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47c01aa-fa72-499e-a558-c0906cb7ca6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44878d-96d9-4f15-b496-a7136242695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b3b699d-aa6c-457c-8a6e-4428a86250e7}" ma:internalName="TaxCatchAll" ma:showField="CatchAllData" ma:web="ac44878d-96d9-4f15-b496-a713624269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CD2155-1215-414F-BEF8-BB4BCD320AED}">
  <ds:schemaRefs>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7a64ecaf-0ff2-4962-b687-c42052c96c69"/>
    <ds:schemaRef ds:uri="ac44878d-96d9-4f15-b496-a71362426953"/>
    <ds:schemaRef ds:uri="http://www.w3.org/XML/1998/namespace"/>
    <ds:schemaRef ds:uri="http://purl.org/dc/dcmitype/"/>
  </ds:schemaRefs>
</ds:datastoreItem>
</file>

<file path=customXml/itemProps2.xml><?xml version="1.0" encoding="utf-8"?>
<ds:datastoreItem xmlns:ds="http://schemas.openxmlformats.org/officeDocument/2006/customXml" ds:itemID="{B83B6CFE-A82B-4BB3-96C6-2D067A436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64ecaf-0ff2-4962-b687-c42052c96c69"/>
    <ds:schemaRef ds:uri="ac44878d-96d9-4f15-b496-a71362426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1B68FD-D350-40E6-A243-6700270358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Cover</vt:lpstr>
      <vt:lpstr>Summary</vt:lpstr>
      <vt:lpstr>Valuation</vt:lpstr>
      <vt:lpstr>Master</vt:lpstr>
      <vt:lpstr>Fixed</vt:lpstr>
      <vt:lpstr>Mobile</vt:lpstr>
      <vt:lpstr>Quarts</vt:lpstr>
      <vt:lpstr>Earnings snaps</vt:lpstr>
      <vt:lpstr>Anna</vt:lpstr>
      <vt:lpstr>Market BB quarts</vt:lpstr>
      <vt:lpstr>Analysis</vt:lpstr>
      <vt:lpstr>Notes</vt:lpstr>
      <vt:lpstr>PF model</vt:lpstr>
      <vt:lpstr>FKLink</vt:lpstr>
      <vt:lpstr>Sheet1</vt:lpstr>
      <vt:lpstr>Sheet2</vt:lpstr>
      <vt:lpstr>Master!Print_Area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Soomit Datta</dc:creator>
  <cp:keywords/>
  <dc:description/>
  <cp:lastModifiedBy>David-Mickael Lopes</cp:lastModifiedBy>
  <cp:revision/>
  <dcterms:created xsi:type="dcterms:W3CDTF">2014-07-04T07:53:15Z</dcterms:created>
  <dcterms:modified xsi:type="dcterms:W3CDTF">2026-06-16T00:08:48Z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0x0101004E45DFD126F1C944A14E489380A940D9</vt:lpwstr>
  </property>
  <property fmtid="{D5CDD505-2E9C-101B-9397-08002B2CF9AE}" pid="3" name="Order">
    <vt:r8>8471800</vt:r8>
  </property>
  <property fmtid="{D5CDD505-2E9C-101B-9397-08002B2CF9AE}" pid="4" name="MediaServiceImageTags">
    <vt:lpwstr/>
  </property>
</Properties>
</file>